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C:\Users\MINA\Downloads\Bra3em\"/>
    </mc:Choice>
  </mc:AlternateContent>
  <xr:revisionPtr revIDLastSave="0" documentId="13_ncr:1_{D2D874F2-A961-4F78-BD60-19B04F6CCFDC}" xr6:coauthVersionLast="47" xr6:coauthVersionMax="47" xr10:uidLastSave="{00000000-0000-0000-0000-000000000000}"/>
  <bookViews>
    <workbookView xWindow="11424" yWindow="0" windowWidth="11712" windowHeight="12336" tabRatio="500" activeTab="1" xr2:uid="{00000000-000D-0000-FFFF-FFFF00000000}"/>
  </bookViews>
  <sheets>
    <sheet name="الرئيسية" sheetId="1" r:id="rId1"/>
    <sheet name="قاعدة البيانات" sheetId="2" r:id="rId2"/>
    <sheet name="فصل سوريال" sheetId="3" r:id="rId3"/>
    <sheet name="فصل غبريال" sheetId="4" r:id="rId4"/>
    <sheet name="فصل رفائيل" sheetId="5" r:id="rId5"/>
    <sheet name="فصل ميخائيل" sheetId="6" r:id="rId6"/>
    <sheet name="حضور سوريال" sheetId="7" r:id="rId7"/>
    <sheet name="حضور غبريال" sheetId="8" r:id="rId8"/>
    <sheet name="حضور رفائيل" sheetId="9" r:id="rId9"/>
    <sheet name="حضور ميخائيل" sheetId="10" r:id="rId10"/>
    <sheet name="الافتقاد" sheetId="11" r:id="rId11"/>
    <sheet name="الإعدادات" sheetId="12" r:id="rId12"/>
    <sheet name="دليل الاستخدام"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3" l="1"/>
  <c r="B13" i="12"/>
  <c r="B14" i="12" s="1"/>
  <c r="B11" i="12"/>
  <c r="A2" i="12"/>
  <c r="H2" i="11"/>
  <c r="F2" i="11"/>
  <c r="C2" i="11"/>
  <c r="A2" i="11"/>
  <c r="P2" i="10"/>
  <c r="J2" i="10"/>
  <c r="G2" i="10"/>
  <c r="C2" i="10"/>
  <c r="A2" i="10"/>
  <c r="A1" i="10"/>
  <c r="P2" i="9"/>
  <c r="J2" i="9"/>
  <c r="G2" i="9"/>
  <c r="C2" i="9"/>
  <c r="A2" i="9"/>
  <c r="A1" i="9"/>
  <c r="P2" i="8"/>
  <c r="J2" i="8"/>
  <c r="G2" i="8"/>
  <c r="C2" i="8"/>
  <c r="A2" i="8"/>
  <c r="A1" i="8"/>
  <c r="P2" i="7"/>
  <c r="J2" i="7"/>
  <c r="G2" i="7"/>
  <c r="C2" i="7"/>
  <c r="A2" i="7"/>
  <c r="A1" i="7"/>
  <c r="F5" i="6"/>
  <c r="B5" i="6"/>
  <c r="L2" i="6"/>
  <c r="J2" i="6"/>
  <c r="G2" i="6"/>
  <c r="D2" i="6"/>
  <c r="B2" i="6"/>
  <c r="B1" i="6"/>
  <c r="F5" i="5"/>
  <c r="B5" i="5"/>
  <c r="L2" i="5"/>
  <c r="J2" i="5"/>
  <c r="G2" i="5"/>
  <c r="D2" i="5"/>
  <c r="B2" i="5"/>
  <c r="B1" i="5"/>
  <c r="F5" i="4"/>
  <c r="B5" i="4"/>
  <c r="L2" i="4"/>
  <c r="J2" i="4"/>
  <c r="G2" i="4"/>
  <c r="D2" i="4"/>
  <c r="B2" i="4"/>
  <c r="B1" i="4"/>
  <c r="F5" i="3"/>
  <c r="B5" i="3"/>
  <c r="L2" i="3"/>
  <c r="J2" i="3"/>
  <c r="G2" i="3"/>
  <c r="D2" i="3"/>
  <c r="B2" i="3"/>
  <c r="B1" i="3"/>
  <c r="O305" i="2"/>
  <c r="N305" i="2" s="1"/>
  <c r="B305" i="2"/>
  <c r="A305" i="2"/>
  <c r="O304" i="2"/>
  <c r="N304" i="2" s="1"/>
  <c r="B304" i="2"/>
  <c r="A304" i="2"/>
  <c r="O303" i="2"/>
  <c r="N303" i="2" s="1"/>
  <c r="B303" i="2"/>
  <c r="A303" i="2"/>
  <c r="O302" i="2"/>
  <c r="N302" i="2" s="1"/>
  <c r="B302" i="2"/>
  <c r="A302" i="2"/>
  <c r="O301" i="2"/>
  <c r="N301" i="2" s="1"/>
  <c r="B301" i="2"/>
  <c r="A301" i="2"/>
  <c r="O300" i="2"/>
  <c r="N300" i="2"/>
  <c r="B300" i="2"/>
  <c r="A300" i="2"/>
  <c r="O299" i="2"/>
  <c r="N299" i="2" s="1"/>
  <c r="B299" i="2"/>
  <c r="A299" i="2"/>
  <c r="O298" i="2"/>
  <c r="N298" i="2" s="1"/>
  <c r="B298" i="2"/>
  <c r="A298" i="2"/>
  <c r="O297" i="2"/>
  <c r="N297" i="2" s="1"/>
  <c r="B297" i="2"/>
  <c r="A297" i="2"/>
  <c r="O296" i="2"/>
  <c r="N296" i="2" s="1"/>
  <c r="B296" i="2"/>
  <c r="A296" i="2"/>
  <c r="O295" i="2"/>
  <c r="N295" i="2" s="1"/>
  <c r="B295" i="2"/>
  <c r="A295" i="2"/>
  <c r="O294" i="2"/>
  <c r="N294" i="2" s="1"/>
  <c r="B294" i="2"/>
  <c r="A294" i="2"/>
  <c r="O293" i="2"/>
  <c r="N293" i="2" s="1"/>
  <c r="B293" i="2"/>
  <c r="A293" i="2"/>
  <c r="O292" i="2"/>
  <c r="N292" i="2" s="1"/>
  <c r="B292" i="2"/>
  <c r="A292" i="2"/>
  <c r="O291" i="2"/>
  <c r="N291" i="2" s="1"/>
  <c r="B291" i="2"/>
  <c r="A291" i="2"/>
  <c r="O290" i="2"/>
  <c r="N290" i="2" s="1"/>
  <c r="B290" i="2"/>
  <c r="A290" i="2"/>
  <c r="O289" i="2"/>
  <c r="N289" i="2" s="1"/>
  <c r="B289" i="2"/>
  <c r="A289" i="2"/>
  <c r="O288" i="2"/>
  <c r="N288" i="2" s="1"/>
  <c r="B288" i="2"/>
  <c r="A288" i="2"/>
  <c r="O287" i="2"/>
  <c r="N287" i="2" s="1"/>
  <c r="B287" i="2"/>
  <c r="A287" i="2"/>
  <c r="O286" i="2"/>
  <c r="N286" i="2" s="1"/>
  <c r="B286" i="2"/>
  <c r="A286" i="2"/>
  <c r="O285" i="2"/>
  <c r="N285" i="2" s="1"/>
  <c r="B285" i="2"/>
  <c r="A285" i="2"/>
  <c r="O284" i="2"/>
  <c r="N284" i="2" s="1"/>
  <c r="B284" i="2"/>
  <c r="A284" i="2"/>
  <c r="O283" i="2"/>
  <c r="N283" i="2"/>
  <c r="B283" i="2"/>
  <c r="A283" i="2"/>
  <c r="O282" i="2"/>
  <c r="N282" i="2" s="1"/>
  <c r="B282" i="2"/>
  <c r="A282" i="2"/>
  <c r="O281" i="2"/>
  <c r="N281" i="2" s="1"/>
  <c r="B281" i="2"/>
  <c r="A281" i="2"/>
  <c r="O280" i="2"/>
  <c r="N280" i="2" s="1"/>
  <c r="B280" i="2"/>
  <c r="A280" i="2"/>
  <c r="O279" i="2"/>
  <c r="N279" i="2" s="1"/>
  <c r="B279" i="2"/>
  <c r="A279" i="2"/>
  <c r="O278" i="2"/>
  <c r="N278" i="2" s="1"/>
  <c r="B278" i="2"/>
  <c r="A278" i="2"/>
  <c r="O277" i="2"/>
  <c r="N277" i="2" s="1"/>
  <c r="B277" i="2"/>
  <c r="A277" i="2"/>
  <c r="O276" i="2"/>
  <c r="N276" i="2" s="1"/>
  <c r="B276" i="2"/>
  <c r="A276" i="2"/>
  <c r="O275" i="2"/>
  <c r="N275" i="2" s="1"/>
  <c r="B275" i="2"/>
  <c r="A275" i="2"/>
  <c r="O274" i="2"/>
  <c r="N274" i="2" s="1"/>
  <c r="B274" i="2"/>
  <c r="A274" i="2"/>
  <c r="O273" i="2"/>
  <c r="N273" i="2" s="1"/>
  <c r="B273" i="2"/>
  <c r="A273" i="2"/>
  <c r="O272" i="2"/>
  <c r="N272" i="2" s="1"/>
  <c r="B272" i="2"/>
  <c r="A272" i="2"/>
  <c r="O271" i="2"/>
  <c r="N271" i="2" s="1"/>
  <c r="B271" i="2"/>
  <c r="A271" i="2"/>
  <c r="O270" i="2"/>
  <c r="N270" i="2" s="1"/>
  <c r="B270" i="2"/>
  <c r="A270" i="2"/>
  <c r="O269" i="2"/>
  <c r="N269" i="2" s="1"/>
  <c r="B269" i="2"/>
  <c r="A269" i="2"/>
  <c r="O268" i="2"/>
  <c r="N268" i="2" s="1"/>
  <c r="B268" i="2"/>
  <c r="A268" i="2"/>
  <c r="O267" i="2"/>
  <c r="N267" i="2" s="1"/>
  <c r="B267" i="2"/>
  <c r="A267" i="2"/>
  <c r="O266" i="2"/>
  <c r="N266" i="2" s="1"/>
  <c r="B266" i="2"/>
  <c r="A266" i="2"/>
  <c r="O265" i="2"/>
  <c r="N265" i="2" s="1"/>
  <c r="B265" i="2"/>
  <c r="A265" i="2"/>
  <c r="O264" i="2"/>
  <c r="N264" i="2" s="1"/>
  <c r="B264" i="2"/>
  <c r="A264" i="2"/>
  <c r="O263" i="2"/>
  <c r="N263" i="2" s="1"/>
  <c r="B263" i="2"/>
  <c r="A263" i="2"/>
  <c r="O262" i="2"/>
  <c r="N262" i="2" s="1"/>
  <c r="B262" i="2"/>
  <c r="A262" i="2"/>
  <c r="O261" i="2"/>
  <c r="N261" i="2" s="1"/>
  <c r="B261" i="2"/>
  <c r="A261" i="2"/>
  <c r="O260" i="2"/>
  <c r="N260" i="2" s="1"/>
  <c r="B260" i="2"/>
  <c r="A260" i="2"/>
  <c r="O259" i="2"/>
  <c r="N259" i="2" s="1"/>
  <c r="B259" i="2"/>
  <c r="A259" i="2"/>
  <c r="O258" i="2"/>
  <c r="N258" i="2" s="1"/>
  <c r="B258" i="2"/>
  <c r="A258" i="2"/>
  <c r="O257" i="2"/>
  <c r="N257" i="2" s="1"/>
  <c r="B257" i="2"/>
  <c r="A257" i="2"/>
  <c r="O256" i="2"/>
  <c r="N256" i="2" s="1"/>
  <c r="B256" i="2"/>
  <c r="A256" i="2"/>
  <c r="O255" i="2"/>
  <c r="N255" i="2" s="1"/>
  <c r="B255" i="2"/>
  <c r="A255" i="2"/>
  <c r="O254" i="2"/>
  <c r="N254" i="2" s="1"/>
  <c r="B254" i="2"/>
  <c r="A254" i="2"/>
  <c r="O253" i="2"/>
  <c r="N253" i="2" s="1"/>
  <c r="B253" i="2"/>
  <c r="A253" i="2"/>
  <c r="O252" i="2"/>
  <c r="N252" i="2" s="1"/>
  <c r="B252" i="2"/>
  <c r="A252" i="2"/>
  <c r="O251" i="2"/>
  <c r="N251" i="2" s="1"/>
  <c r="B251" i="2"/>
  <c r="A251" i="2"/>
  <c r="O250" i="2"/>
  <c r="N250" i="2" s="1"/>
  <c r="B250" i="2"/>
  <c r="A250" i="2"/>
  <c r="O249" i="2"/>
  <c r="N249" i="2" s="1"/>
  <c r="B249" i="2"/>
  <c r="A249" i="2"/>
  <c r="O248" i="2"/>
  <c r="N248" i="2" s="1"/>
  <c r="B248" i="2"/>
  <c r="A248" i="2"/>
  <c r="O247" i="2"/>
  <c r="N247" i="2" s="1"/>
  <c r="B247" i="2"/>
  <c r="A247" i="2"/>
  <c r="O246" i="2"/>
  <c r="N246" i="2" s="1"/>
  <c r="B246" i="2"/>
  <c r="A246" i="2"/>
  <c r="O245" i="2"/>
  <c r="N245" i="2" s="1"/>
  <c r="B245" i="2"/>
  <c r="A245" i="2"/>
  <c r="O244" i="2"/>
  <c r="N244" i="2" s="1"/>
  <c r="B244" i="2"/>
  <c r="A244" i="2"/>
  <c r="O243" i="2"/>
  <c r="N243" i="2" s="1"/>
  <c r="B243" i="2"/>
  <c r="A243" i="2"/>
  <c r="O242" i="2"/>
  <c r="N242" i="2" s="1"/>
  <c r="B242" i="2"/>
  <c r="A242" i="2"/>
  <c r="O241" i="2"/>
  <c r="N241" i="2" s="1"/>
  <c r="B241" i="2"/>
  <c r="A241" i="2"/>
  <c r="O240" i="2"/>
  <c r="N240" i="2" s="1"/>
  <c r="B240" i="2"/>
  <c r="A240" i="2"/>
  <c r="O239" i="2"/>
  <c r="N239" i="2" s="1"/>
  <c r="B239" i="2"/>
  <c r="A239" i="2"/>
  <c r="O238" i="2"/>
  <c r="B238" i="2"/>
  <c r="A238" i="2"/>
  <c r="O237" i="2"/>
  <c r="N237" i="2" s="1"/>
  <c r="B237" i="2"/>
  <c r="A237" i="2"/>
  <c r="O236" i="2"/>
  <c r="N236" i="2" s="1"/>
  <c r="B236" i="2"/>
  <c r="A236" i="2"/>
  <c r="O235" i="2"/>
  <c r="N235" i="2" s="1"/>
  <c r="B235" i="2"/>
  <c r="A235" i="2"/>
  <c r="O234" i="2"/>
  <c r="N234" i="2" s="1"/>
  <c r="B234" i="2"/>
  <c r="A234" i="2"/>
  <c r="O233" i="2"/>
  <c r="N233" i="2" s="1"/>
  <c r="B233" i="2"/>
  <c r="A233" i="2"/>
  <c r="O232" i="2"/>
  <c r="N232" i="2" s="1"/>
  <c r="B232" i="2"/>
  <c r="A232" i="2"/>
  <c r="O231" i="2"/>
  <c r="N231" i="2" s="1"/>
  <c r="B231" i="2"/>
  <c r="A231" i="2"/>
  <c r="O230" i="2"/>
  <c r="N230" i="2" s="1"/>
  <c r="B230" i="2"/>
  <c r="A230" i="2"/>
  <c r="O229" i="2"/>
  <c r="N229" i="2" s="1"/>
  <c r="B229" i="2"/>
  <c r="A229" i="2"/>
  <c r="O228" i="2"/>
  <c r="N228" i="2" s="1"/>
  <c r="B228" i="2"/>
  <c r="A228" i="2"/>
  <c r="O227" i="2"/>
  <c r="N227" i="2" s="1"/>
  <c r="B227" i="2"/>
  <c r="A227" i="2"/>
  <c r="O226" i="2"/>
  <c r="N226" i="2" s="1"/>
  <c r="B226" i="2"/>
  <c r="A226" i="2"/>
  <c r="O225" i="2"/>
  <c r="N225" i="2" s="1"/>
  <c r="B225" i="2"/>
  <c r="A225" i="2"/>
  <c r="O224" i="2"/>
  <c r="N224" i="2" s="1"/>
  <c r="B224" i="2"/>
  <c r="A224" i="2"/>
  <c r="O223" i="2"/>
  <c r="N223" i="2" s="1"/>
  <c r="B223" i="2"/>
  <c r="A223" i="2"/>
  <c r="O222" i="2"/>
  <c r="N222" i="2" s="1"/>
  <c r="B222" i="2"/>
  <c r="A222" i="2"/>
  <c r="O221" i="2"/>
  <c r="N221" i="2" s="1"/>
  <c r="B221" i="2"/>
  <c r="A221" i="2"/>
  <c r="O220" i="2"/>
  <c r="N220" i="2" s="1"/>
  <c r="B220" i="2"/>
  <c r="A220" i="2"/>
  <c r="O219" i="2"/>
  <c r="N219" i="2" s="1"/>
  <c r="B219" i="2"/>
  <c r="A219" i="2"/>
  <c r="O218" i="2"/>
  <c r="N218" i="2" s="1"/>
  <c r="B218" i="2"/>
  <c r="A218" i="2"/>
  <c r="O217" i="2"/>
  <c r="N217" i="2" s="1"/>
  <c r="B217" i="2"/>
  <c r="A217" i="2"/>
  <c r="O216" i="2"/>
  <c r="N216" i="2" s="1"/>
  <c r="B216" i="2"/>
  <c r="A216" i="2"/>
  <c r="O215" i="2"/>
  <c r="N215" i="2" s="1"/>
  <c r="B215" i="2"/>
  <c r="A215" i="2"/>
  <c r="O214" i="2"/>
  <c r="N214" i="2" s="1"/>
  <c r="B214" i="2"/>
  <c r="A214" i="2"/>
  <c r="O213" i="2"/>
  <c r="N213" i="2" s="1"/>
  <c r="B213" i="2"/>
  <c r="A213" i="2"/>
  <c r="O212" i="2"/>
  <c r="N212" i="2" s="1"/>
  <c r="B212" i="2"/>
  <c r="A212" i="2"/>
  <c r="O211" i="2"/>
  <c r="N211" i="2" s="1"/>
  <c r="B211" i="2"/>
  <c r="A211" i="2"/>
  <c r="O210" i="2"/>
  <c r="N210" i="2" s="1"/>
  <c r="B210" i="2"/>
  <c r="A210" i="2"/>
  <c r="O209" i="2"/>
  <c r="N209" i="2" s="1"/>
  <c r="B209" i="2"/>
  <c r="A209" i="2"/>
  <c r="O208" i="2"/>
  <c r="N208" i="2" s="1"/>
  <c r="B208" i="2"/>
  <c r="A208" i="2"/>
  <c r="O207" i="2"/>
  <c r="N207" i="2" s="1"/>
  <c r="B207" i="2"/>
  <c r="A207" i="2"/>
  <c r="O206" i="2"/>
  <c r="N206" i="2" s="1"/>
  <c r="B206" i="2"/>
  <c r="A206" i="2"/>
  <c r="O205" i="2"/>
  <c r="N205" i="2" s="1"/>
  <c r="B205" i="2"/>
  <c r="A205" i="2"/>
  <c r="O204" i="2"/>
  <c r="N204" i="2" s="1"/>
  <c r="B204" i="2"/>
  <c r="A204" i="2"/>
  <c r="O203" i="2"/>
  <c r="N203" i="2" s="1"/>
  <c r="B203" i="2"/>
  <c r="A203" i="2"/>
  <c r="O202" i="2"/>
  <c r="N202" i="2" s="1"/>
  <c r="B202" i="2"/>
  <c r="A202" i="2"/>
  <c r="O201" i="2"/>
  <c r="N201" i="2" s="1"/>
  <c r="B201" i="2"/>
  <c r="A201" i="2"/>
  <c r="O200" i="2"/>
  <c r="N200" i="2" s="1"/>
  <c r="B200" i="2"/>
  <c r="A200" i="2"/>
  <c r="O199" i="2"/>
  <c r="N199" i="2" s="1"/>
  <c r="B199" i="2"/>
  <c r="A199" i="2"/>
  <c r="O198" i="2"/>
  <c r="N198" i="2" s="1"/>
  <c r="B198" i="2"/>
  <c r="A198" i="2"/>
  <c r="O197" i="2"/>
  <c r="N197" i="2" s="1"/>
  <c r="B197" i="2"/>
  <c r="A197" i="2"/>
  <c r="O196" i="2"/>
  <c r="N196" i="2" s="1"/>
  <c r="B196" i="2"/>
  <c r="A196" i="2"/>
  <c r="O195" i="2"/>
  <c r="N195" i="2" s="1"/>
  <c r="B195" i="2"/>
  <c r="A195" i="2"/>
  <c r="O194" i="2"/>
  <c r="N194" i="2" s="1"/>
  <c r="B194" i="2"/>
  <c r="A194" i="2"/>
  <c r="O193" i="2"/>
  <c r="N193" i="2" s="1"/>
  <c r="B193" i="2"/>
  <c r="A193" i="2"/>
  <c r="O192" i="2"/>
  <c r="N192" i="2" s="1"/>
  <c r="B192" i="2"/>
  <c r="A192" i="2"/>
  <c r="O191" i="2"/>
  <c r="N191" i="2" s="1"/>
  <c r="B191" i="2"/>
  <c r="A191" i="2"/>
  <c r="O190" i="2"/>
  <c r="B190" i="2"/>
  <c r="A190" i="2"/>
  <c r="O189" i="2"/>
  <c r="N189" i="2" s="1"/>
  <c r="B189" i="2"/>
  <c r="A189" i="2"/>
  <c r="O188" i="2"/>
  <c r="N188" i="2" s="1"/>
  <c r="B188" i="2"/>
  <c r="A188" i="2"/>
  <c r="O187" i="2"/>
  <c r="N187" i="2" s="1"/>
  <c r="B187" i="2"/>
  <c r="A187" i="2"/>
  <c r="O186" i="2"/>
  <c r="N186" i="2" s="1"/>
  <c r="B186" i="2"/>
  <c r="A186" i="2"/>
  <c r="O185" i="2"/>
  <c r="N185" i="2" s="1"/>
  <c r="B185" i="2"/>
  <c r="A185" i="2"/>
  <c r="O184" i="2"/>
  <c r="N184" i="2" s="1"/>
  <c r="B184" i="2"/>
  <c r="A184" i="2"/>
  <c r="O183" i="2"/>
  <c r="N183" i="2" s="1"/>
  <c r="B183" i="2"/>
  <c r="A183" i="2"/>
  <c r="O182" i="2"/>
  <c r="B182" i="2"/>
  <c r="A182" i="2"/>
  <c r="O181" i="2"/>
  <c r="B181" i="2"/>
  <c r="A181" i="2"/>
  <c r="O180" i="2"/>
  <c r="B180" i="2"/>
  <c r="A180" i="2"/>
  <c r="O179" i="2"/>
  <c r="B179" i="2"/>
  <c r="A179" i="2"/>
  <c r="O178" i="2"/>
  <c r="B178" i="2"/>
  <c r="A178" i="2"/>
  <c r="O177" i="2"/>
  <c r="N177" i="2" s="1"/>
  <c r="B177" i="2"/>
  <c r="A177" i="2"/>
  <c r="O176" i="2"/>
  <c r="B176" i="2"/>
  <c r="A176" i="2"/>
  <c r="O175" i="2"/>
  <c r="B175" i="2"/>
  <c r="A175" i="2"/>
  <c r="O174" i="2"/>
  <c r="B174" i="2"/>
  <c r="A174" i="2"/>
  <c r="O173" i="2"/>
  <c r="B173" i="2"/>
  <c r="A173" i="2"/>
  <c r="O172" i="2"/>
  <c r="B172" i="2"/>
  <c r="A172" i="2"/>
  <c r="O171" i="2"/>
  <c r="B171" i="2"/>
  <c r="A171" i="2"/>
  <c r="O170" i="2"/>
  <c r="B170" i="2"/>
  <c r="A170" i="2"/>
  <c r="O169" i="2"/>
  <c r="B169" i="2"/>
  <c r="A169" i="2"/>
  <c r="O168" i="2"/>
  <c r="B168" i="2"/>
  <c r="A168" i="2"/>
  <c r="O167" i="2"/>
  <c r="B167" i="2"/>
  <c r="A167" i="2"/>
  <c r="O166" i="2"/>
  <c r="B166" i="2"/>
  <c r="A166" i="2"/>
  <c r="O165" i="2"/>
  <c r="B165" i="2"/>
  <c r="A165" i="2"/>
  <c r="O164" i="2"/>
  <c r="N164" i="2" s="1"/>
  <c r="B164" i="2"/>
  <c r="A164" i="2"/>
  <c r="O163" i="2"/>
  <c r="N163" i="2" s="1"/>
  <c r="B163" i="2"/>
  <c r="A163" i="2"/>
  <c r="O162" i="2"/>
  <c r="B162" i="2"/>
  <c r="A162" i="2"/>
  <c r="O161" i="2"/>
  <c r="B161" i="2"/>
  <c r="A161" i="2"/>
  <c r="O160" i="2"/>
  <c r="B160" i="2"/>
  <c r="A160" i="2"/>
  <c r="O159" i="2"/>
  <c r="B159" i="2"/>
  <c r="A159" i="2"/>
  <c r="O158" i="2"/>
  <c r="N158" i="2" s="1"/>
  <c r="B158" i="2"/>
  <c r="A158" i="2"/>
  <c r="O157" i="2"/>
  <c r="B157" i="2"/>
  <c r="A157" i="2"/>
  <c r="O156" i="2"/>
  <c r="B156" i="2"/>
  <c r="A156" i="2"/>
  <c r="O155" i="2"/>
  <c r="N155" i="2" s="1"/>
  <c r="B155" i="2"/>
  <c r="A155" i="2"/>
  <c r="O154" i="2"/>
  <c r="B154" i="2"/>
  <c r="A154" i="2"/>
  <c r="O153" i="2"/>
  <c r="B153" i="2"/>
  <c r="A153" i="2"/>
  <c r="O152" i="2"/>
  <c r="B152" i="2"/>
  <c r="A152" i="2"/>
  <c r="O151" i="2"/>
  <c r="B151" i="2"/>
  <c r="A151" i="2"/>
  <c r="O150" i="2"/>
  <c r="B150" i="2"/>
  <c r="A150" i="2"/>
  <c r="O149" i="2"/>
  <c r="B149" i="2"/>
  <c r="A149" i="2"/>
  <c r="O148" i="2"/>
  <c r="B148" i="2"/>
  <c r="A148" i="2"/>
  <c r="O147" i="2"/>
  <c r="B147" i="2"/>
  <c r="A147" i="2"/>
  <c r="O146" i="2"/>
  <c r="B146" i="2"/>
  <c r="A146" i="2"/>
  <c r="O145" i="2"/>
  <c r="B145" i="2"/>
  <c r="A145" i="2"/>
  <c r="O144" i="2"/>
  <c r="B144" i="2"/>
  <c r="A144" i="2"/>
  <c r="O143" i="2"/>
  <c r="B143" i="2"/>
  <c r="A143" i="2"/>
  <c r="O142" i="2"/>
  <c r="N142" i="2" s="1"/>
  <c r="B142" i="2"/>
  <c r="A142" i="2"/>
  <c r="O141" i="2"/>
  <c r="N141" i="2" s="1"/>
  <c r="B141" i="2"/>
  <c r="A141" i="2"/>
  <c r="O140" i="2"/>
  <c r="N140" i="2" s="1"/>
  <c r="B140" i="2"/>
  <c r="A140" i="2"/>
  <c r="O139" i="2"/>
  <c r="N139" i="2" s="1"/>
  <c r="B139" i="2"/>
  <c r="A139" i="2"/>
  <c r="O138" i="2"/>
  <c r="N138" i="2" s="1"/>
  <c r="B138" i="2"/>
  <c r="A138" i="2"/>
  <c r="O137" i="2"/>
  <c r="N137" i="2" s="1"/>
  <c r="B137" i="2"/>
  <c r="A137" i="2"/>
  <c r="O136" i="2"/>
  <c r="N136" i="2" s="1"/>
  <c r="B136" i="2"/>
  <c r="A136" i="2"/>
  <c r="O135" i="2"/>
  <c r="N135" i="2" s="1"/>
  <c r="B135" i="2"/>
  <c r="A135" i="2"/>
  <c r="O134" i="2"/>
  <c r="N134" i="2" s="1"/>
  <c r="B134" i="2"/>
  <c r="A134" i="2"/>
  <c r="O133" i="2"/>
  <c r="N133" i="2" s="1"/>
  <c r="B133" i="2"/>
  <c r="A133" i="2"/>
  <c r="O132" i="2"/>
  <c r="N132" i="2" s="1"/>
  <c r="B132" i="2"/>
  <c r="A132" i="2"/>
  <c r="O131" i="2"/>
  <c r="N131" i="2" s="1"/>
  <c r="B131" i="2"/>
  <c r="A131" i="2"/>
  <c r="O130" i="2"/>
  <c r="N130" i="2" s="1"/>
  <c r="B130" i="2"/>
  <c r="A130" i="2"/>
  <c r="O129" i="2"/>
  <c r="N129" i="2" s="1"/>
  <c r="B129" i="2"/>
  <c r="A129" i="2"/>
  <c r="O128" i="2"/>
  <c r="N128" i="2" s="1"/>
  <c r="B128" i="2"/>
  <c r="A128" i="2"/>
  <c r="O127" i="2"/>
  <c r="N127" i="2" s="1"/>
  <c r="B127" i="2"/>
  <c r="A127" i="2"/>
  <c r="O126" i="2"/>
  <c r="N126" i="2" s="1"/>
  <c r="B126" i="2"/>
  <c r="A126" i="2"/>
  <c r="O125" i="2"/>
  <c r="N125" i="2" s="1"/>
  <c r="B125" i="2"/>
  <c r="A125" i="2"/>
  <c r="O124" i="2"/>
  <c r="N124" i="2" s="1"/>
  <c r="B124" i="2"/>
  <c r="A124" i="2"/>
  <c r="O123" i="2"/>
  <c r="N123" i="2" s="1"/>
  <c r="B123" i="2"/>
  <c r="A123" i="2"/>
  <c r="O122" i="2"/>
  <c r="N122" i="2" s="1"/>
  <c r="B122" i="2"/>
  <c r="A122" i="2"/>
  <c r="O121" i="2"/>
  <c r="N121" i="2" s="1"/>
  <c r="B121" i="2"/>
  <c r="A121" i="2"/>
  <c r="O120" i="2"/>
  <c r="N120" i="2" s="1"/>
  <c r="B120" i="2"/>
  <c r="A120" i="2"/>
  <c r="O119" i="2"/>
  <c r="N119" i="2" s="1"/>
  <c r="B119" i="2"/>
  <c r="A119" i="2"/>
  <c r="O118" i="2"/>
  <c r="N118" i="2" s="1"/>
  <c r="B118" i="2"/>
  <c r="A118" i="2"/>
  <c r="O117" i="2"/>
  <c r="N117" i="2" s="1"/>
  <c r="B117" i="2"/>
  <c r="A117" i="2"/>
  <c r="O116" i="2"/>
  <c r="N116" i="2" s="1"/>
  <c r="B116" i="2"/>
  <c r="A116" i="2"/>
  <c r="O115" i="2"/>
  <c r="N115" i="2" s="1"/>
  <c r="B115" i="2"/>
  <c r="A115" i="2"/>
  <c r="O114" i="2"/>
  <c r="N114" i="2" s="1"/>
  <c r="B114" i="2"/>
  <c r="A114" i="2"/>
  <c r="O113" i="2"/>
  <c r="N113" i="2" s="1"/>
  <c r="B113" i="2"/>
  <c r="A113" i="2"/>
  <c r="O112" i="2"/>
  <c r="N112" i="2" s="1"/>
  <c r="B112" i="2"/>
  <c r="A112" i="2"/>
  <c r="O111" i="2"/>
  <c r="N111" i="2" s="1"/>
  <c r="B111" i="2"/>
  <c r="A111" i="2"/>
  <c r="O110" i="2"/>
  <c r="N110" i="2" s="1"/>
  <c r="B110" i="2"/>
  <c r="A110" i="2"/>
  <c r="O109" i="2"/>
  <c r="N109" i="2" s="1"/>
  <c r="B109" i="2"/>
  <c r="A109" i="2"/>
  <c r="O108" i="2"/>
  <c r="N108" i="2" s="1"/>
  <c r="B108" i="2"/>
  <c r="A108" i="2"/>
  <c r="O107" i="2"/>
  <c r="N107" i="2" s="1"/>
  <c r="B107" i="2"/>
  <c r="A107" i="2"/>
  <c r="O106" i="2"/>
  <c r="N106" i="2" s="1"/>
  <c r="B106" i="2"/>
  <c r="A106" i="2"/>
  <c r="O105" i="2"/>
  <c r="N105" i="2" s="1"/>
  <c r="B105" i="2"/>
  <c r="A105" i="2"/>
  <c r="O104" i="2"/>
  <c r="N104" i="2" s="1"/>
  <c r="B104" i="2"/>
  <c r="A104" i="2"/>
  <c r="O103" i="2"/>
  <c r="N103" i="2" s="1"/>
  <c r="B103" i="2"/>
  <c r="A103" i="2"/>
  <c r="O102" i="2"/>
  <c r="N102" i="2" s="1"/>
  <c r="B102" i="2"/>
  <c r="A102" i="2"/>
  <c r="O101" i="2"/>
  <c r="N101" i="2" s="1"/>
  <c r="B101" i="2"/>
  <c r="A101" i="2"/>
  <c r="O100" i="2"/>
  <c r="S100" i="2" s="1"/>
  <c r="B100" i="2"/>
  <c r="A100" i="2"/>
  <c r="O99" i="2"/>
  <c r="B99" i="2"/>
  <c r="A99" i="2"/>
  <c r="O98" i="2"/>
  <c r="B98" i="2"/>
  <c r="A98" i="2"/>
  <c r="O97" i="2"/>
  <c r="B97" i="2"/>
  <c r="A97" i="2"/>
  <c r="O96" i="2"/>
  <c r="B96" i="2"/>
  <c r="A96" i="2"/>
  <c r="O95" i="2"/>
  <c r="B95" i="2"/>
  <c r="A95" i="2"/>
  <c r="O94" i="2"/>
  <c r="B94" i="2"/>
  <c r="A94" i="2"/>
  <c r="O93" i="2"/>
  <c r="B93" i="2"/>
  <c r="A93" i="2"/>
  <c r="O92" i="2"/>
  <c r="B92" i="2"/>
  <c r="A92" i="2"/>
  <c r="O91" i="2"/>
  <c r="B91" i="2"/>
  <c r="A91" i="2"/>
  <c r="O90" i="2"/>
  <c r="B90" i="2"/>
  <c r="A90" i="2"/>
  <c r="O89" i="2"/>
  <c r="B89" i="2"/>
  <c r="A89" i="2"/>
  <c r="O88" i="2"/>
  <c r="B88" i="2"/>
  <c r="A88" i="2"/>
  <c r="O87" i="2"/>
  <c r="B87" i="2"/>
  <c r="A87" i="2"/>
  <c r="O86" i="2"/>
  <c r="B86" i="2"/>
  <c r="A86" i="2"/>
  <c r="O85" i="2"/>
  <c r="B85" i="2"/>
  <c r="A85" i="2"/>
  <c r="O84" i="2"/>
  <c r="B84" i="2"/>
  <c r="A84" i="2"/>
  <c r="O83" i="2"/>
  <c r="B83" i="2"/>
  <c r="A83" i="2"/>
  <c r="O82" i="2"/>
  <c r="B82" i="2"/>
  <c r="A82" i="2"/>
  <c r="O81" i="2"/>
  <c r="B81" i="2"/>
  <c r="A81" i="2"/>
  <c r="O80" i="2"/>
  <c r="B80" i="2"/>
  <c r="A80" i="2"/>
  <c r="O79" i="2"/>
  <c r="B79" i="2"/>
  <c r="A79" i="2"/>
  <c r="O78" i="2"/>
  <c r="B78" i="2"/>
  <c r="A78" i="2"/>
  <c r="O77" i="2"/>
  <c r="B77" i="2"/>
  <c r="A77" i="2"/>
  <c r="O76" i="2"/>
  <c r="B76" i="2"/>
  <c r="A76" i="2"/>
  <c r="O75" i="2"/>
  <c r="N75" i="2" s="1"/>
  <c r="B75" i="2"/>
  <c r="A75" i="2"/>
  <c r="O74" i="2"/>
  <c r="N74" i="2" s="1"/>
  <c r="B74" i="2"/>
  <c r="A74" i="2"/>
  <c r="O73" i="2"/>
  <c r="N73" i="2" s="1"/>
  <c r="B73" i="2"/>
  <c r="A73" i="2"/>
  <c r="O72" i="2"/>
  <c r="N72" i="2" s="1"/>
  <c r="B72" i="2"/>
  <c r="A72" i="2"/>
  <c r="O71" i="2"/>
  <c r="N71" i="2" s="1"/>
  <c r="B71" i="2"/>
  <c r="A71" i="2"/>
  <c r="O70" i="2"/>
  <c r="N70" i="2" s="1"/>
  <c r="B70" i="2"/>
  <c r="A70" i="2"/>
  <c r="O69" i="2"/>
  <c r="N69" i="2" s="1"/>
  <c r="B69" i="2"/>
  <c r="A69" i="2"/>
  <c r="O68" i="2"/>
  <c r="N68" i="2" s="1"/>
  <c r="B68" i="2"/>
  <c r="A68" i="2"/>
  <c r="O67" i="2"/>
  <c r="N67" i="2" s="1"/>
  <c r="B67" i="2"/>
  <c r="A67" i="2"/>
  <c r="O66" i="2"/>
  <c r="B66" i="2"/>
  <c r="A66" i="2"/>
  <c r="O65" i="2"/>
  <c r="B65" i="2"/>
  <c r="A65" i="2"/>
  <c r="O64" i="2"/>
  <c r="N64" i="2" s="1"/>
  <c r="B64" i="2"/>
  <c r="A64" i="2"/>
  <c r="O63" i="2"/>
  <c r="B63" i="2"/>
  <c r="A63" i="2"/>
  <c r="O62" i="2"/>
  <c r="B62" i="2"/>
  <c r="A62" i="2"/>
  <c r="O61" i="2"/>
  <c r="B61" i="2"/>
  <c r="A61" i="2"/>
  <c r="O60" i="2"/>
  <c r="B60" i="2"/>
  <c r="A60" i="2"/>
  <c r="O59" i="2"/>
  <c r="B59" i="2"/>
  <c r="A59" i="2"/>
  <c r="O58" i="2"/>
  <c r="B58" i="2"/>
  <c r="A58" i="2"/>
  <c r="O57" i="2"/>
  <c r="B57" i="2"/>
  <c r="A57" i="2"/>
  <c r="O56" i="2"/>
  <c r="B56" i="2"/>
  <c r="A56" i="2"/>
  <c r="O55" i="2"/>
  <c r="B55" i="2"/>
  <c r="A55" i="2"/>
  <c r="O54" i="2"/>
  <c r="B54" i="2"/>
  <c r="A54" i="2"/>
  <c r="O53" i="2"/>
  <c r="B53" i="2"/>
  <c r="A53" i="2"/>
  <c r="O52" i="2"/>
  <c r="B52" i="2"/>
  <c r="A52" i="2"/>
  <c r="O51" i="2"/>
  <c r="B51" i="2"/>
  <c r="A51" i="2"/>
  <c r="O50" i="2"/>
  <c r="B50" i="2"/>
  <c r="A50" i="2"/>
  <c r="O49" i="2"/>
  <c r="N49" i="2" s="1"/>
  <c r="B49" i="2"/>
  <c r="A49" i="2"/>
  <c r="O48" i="2"/>
  <c r="B48" i="2"/>
  <c r="A48" i="2"/>
  <c r="O47" i="2"/>
  <c r="N47" i="2" s="1"/>
  <c r="B47" i="2"/>
  <c r="A47" i="2"/>
  <c r="O46" i="2"/>
  <c r="N46" i="2" s="1"/>
  <c r="B46" i="2"/>
  <c r="A46" i="2"/>
  <c r="O45" i="2"/>
  <c r="B45" i="2"/>
  <c r="A45" i="2"/>
  <c r="O44" i="2"/>
  <c r="B44" i="2"/>
  <c r="A44" i="2"/>
  <c r="O43" i="2"/>
  <c r="B43" i="2"/>
  <c r="A43" i="2"/>
  <c r="O42" i="2"/>
  <c r="B42" i="2"/>
  <c r="A42" i="2"/>
  <c r="O41" i="2"/>
  <c r="B41" i="2"/>
  <c r="A41" i="2"/>
  <c r="O40" i="2"/>
  <c r="N40" i="2" s="1"/>
  <c r="B40" i="2"/>
  <c r="A40" i="2"/>
  <c r="O39" i="2"/>
  <c r="B39" i="2"/>
  <c r="A39" i="2"/>
  <c r="O38" i="2"/>
  <c r="B38" i="2"/>
  <c r="A38" i="2"/>
  <c r="O37" i="2"/>
  <c r="B37" i="2"/>
  <c r="A37" i="2"/>
  <c r="O36" i="2"/>
  <c r="B36" i="2"/>
  <c r="A36" i="2"/>
  <c r="O35" i="2"/>
  <c r="B35" i="2"/>
  <c r="A35" i="2"/>
  <c r="O34" i="2"/>
  <c r="N34" i="2" s="1"/>
  <c r="B34" i="2"/>
  <c r="A34" i="2"/>
  <c r="O33" i="2"/>
  <c r="B33" i="2"/>
  <c r="A33" i="2"/>
  <c r="O32" i="2"/>
  <c r="B32" i="2"/>
  <c r="A32" i="2"/>
  <c r="O31" i="2"/>
  <c r="B31" i="2"/>
  <c r="A31" i="2"/>
  <c r="O30" i="2"/>
  <c r="B30" i="2"/>
  <c r="A30" i="2"/>
  <c r="O29" i="2"/>
  <c r="B29" i="2"/>
  <c r="A29" i="2"/>
  <c r="O28" i="2"/>
  <c r="B28" i="2"/>
  <c r="A28" i="2"/>
  <c r="O27" i="2"/>
  <c r="B27" i="2"/>
  <c r="A27" i="2"/>
  <c r="O26" i="2"/>
  <c r="B26" i="2"/>
  <c r="A26" i="2"/>
  <c r="O25" i="2"/>
  <c r="B25" i="2"/>
  <c r="A25" i="2"/>
  <c r="O24" i="2"/>
  <c r="B24" i="2"/>
  <c r="A24" i="2"/>
  <c r="O23" i="2"/>
  <c r="B23" i="2"/>
  <c r="A23" i="2"/>
  <c r="O22" i="2"/>
  <c r="B22" i="2"/>
  <c r="A22" i="2"/>
  <c r="O21" i="2"/>
  <c r="B21" i="2"/>
  <c r="A21" i="2"/>
  <c r="O20" i="2"/>
  <c r="B20" i="2"/>
  <c r="A20" i="2"/>
  <c r="O19" i="2"/>
  <c r="B19" i="2"/>
  <c r="A19" i="2"/>
  <c r="O18" i="2"/>
  <c r="B18" i="2"/>
  <c r="A18" i="2"/>
  <c r="O17" i="2"/>
  <c r="B17" i="2"/>
  <c r="A17" i="2"/>
  <c r="O16" i="2"/>
  <c r="B16" i="2"/>
  <c r="A16" i="2"/>
  <c r="O15" i="2"/>
  <c r="B15" i="2"/>
  <c r="A15" i="2"/>
  <c r="O14" i="2"/>
  <c r="B14" i="2"/>
  <c r="A14" i="2"/>
  <c r="O13" i="2"/>
  <c r="B13" i="2"/>
  <c r="A13" i="2"/>
  <c r="O12" i="2"/>
  <c r="B12" i="2"/>
  <c r="A12" i="2"/>
  <c r="O11" i="2"/>
  <c r="B11" i="2"/>
  <c r="A11" i="2"/>
  <c r="O10" i="2"/>
  <c r="B10" i="2"/>
  <c r="A10" i="2"/>
  <c r="O9" i="2"/>
  <c r="B9" i="2"/>
  <c r="A9" i="2"/>
  <c r="O8" i="2"/>
  <c r="B8" i="2"/>
  <c r="A8" i="2"/>
  <c r="O7" i="2"/>
  <c r="B7" i="2"/>
  <c r="A7" i="2"/>
  <c r="O6" i="2"/>
  <c r="B6" i="2"/>
  <c r="A6" i="2"/>
  <c r="A3" i="2"/>
  <c r="M2" i="2"/>
  <c r="K2" i="2"/>
  <c r="J2" i="2"/>
  <c r="I2" i="2"/>
  <c r="H2" i="2"/>
  <c r="G2" i="2"/>
  <c r="D2" i="2"/>
  <c r="C2" i="2"/>
  <c r="A2" i="2"/>
  <c r="K19" i="1"/>
  <c r="F19" i="1"/>
  <c r="E19" i="1"/>
  <c r="D19" i="1"/>
  <c r="B19" i="1"/>
  <c r="K18" i="1"/>
  <c r="F18" i="1"/>
  <c r="E18" i="1"/>
  <c r="D18" i="1"/>
  <c r="B18" i="1"/>
  <c r="K17" i="1"/>
  <c r="F17" i="1"/>
  <c r="E17" i="1"/>
  <c r="D17" i="1"/>
  <c r="B17" i="1"/>
  <c r="K16" i="1"/>
  <c r="F16" i="1"/>
  <c r="E16" i="1"/>
  <c r="D16" i="1"/>
  <c r="B16" i="1"/>
  <c r="F12" i="1"/>
  <c r="D12" i="1"/>
  <c r="B12" i="1"/>
  <c r="K8" i="1"/>
  <c r="H8" i="1"/>
  <c r="E8" i="1"/>
  <c r="B8" i="1"/>
  <c r="K7" i="1"/>
  <c r="H7" i="1"/>
  <c r="E7" i="1"/>
  <c r="B7" i="1"/>
  <c r="L5" i="1"/>
  <c r="J5" i="1"/>
  <c r="H5" i="1"/>
  <c r="E5" i="1"/>
  <c r="B5" i="1"/>
  <c r="B2" i="1"/>
  <c r="D20" i="1" l="1"/>
  <c r="E20" i="1"/>
  <c r="F20" i="1"/>
  <c r="V285" i="2"/>
  <c r="W285" i="2" s="1"/>
  <c r="U285" i="2"/>
  <c r="T285" i="2"/>
  <c r="V190" i="2"/>
  <c r="W190" i="2" s="1"/>
  <c r="U190" i="2"/>
  <c r="N190" i="2"/>
  <c r="R159" i="2"/>
  <c r="N159" i="2"/>
  <c r="N76" i="2"/>
  <c r="J6" i="7"/>
  <c r="J6" i="10"/>
  <c r="J6" i="8"/>
  <c r="J6" i="9"/>
  <c r="V305" i="2"/>
  <c r="W305" i="2" s="1"/>
  <c r="U305" i="2"/>
  <c r="T305" i="2"/>
  <c r="S305" i="2"/>
  <c r="R305" i="2"/>
  <c r="Q305" i="2"/>
  <c r="P305" i="2"/>
  <c r="V304" i="2"/>
  <c r="W304" i="2" s="1"/>
  <c r="U304" i="2"/>
  <c r="T304" i="2"/>
  <c r="S304" i="2"/>
  <c r="R304" i="2"/>
  <c r="Q304" i="2"/>
  <c r="P304" i="2"/>
  <c r="V303" i="2"/>
  <c r="W303" i="2" s="1"/>
  <c r="U303" i="2"/>
  <c r="T303" i="2"/>
  <c r="S303" i="2"/>
  <c r="R303" i="2"/>
  <c r="Q303" i="2"/>
  <c r="P303" i="2"/>
  <c r="V302" i="2"/>
  <c r="W302" i="2" s="1"/>
  <c r="U302" i="2"/>
  <c r="T302" i="2"/>
  <c r="S302" i="2"/>
  <c r="R302" i="2"/>
  <c r="Q302" i="2"/>
  <c r="P302" i="2"/>
  <c r="V301" i="2"/>
  <c r="W301" i="2" s="1"/>
  <c r="U301" i="2"/>
  <c r="T301" i="2"/>
  <c r="S301" i="2"/>
  <c r="R301" i="2"/>
  <c r="Q301" i="2"/>
  <c r="P301" i="2"/>
  <c r="V300" i="2"/>
  <c r="W300" i="2" s="1"/>
  <c r="U300" i="2"/>
  <c r="T300" i="2"/>
  <c r="S300" i="2"/>
  <c r="R300" i="2"/>
  <c r="Q300" i="2"/>
  <c r="P300" i="2"/>
  <c r="V299" i="2"/>
  <c r="W299" i="2" s="1"/>
  <c r="U299" i="2"/>
  <c r="T299" i="2"/>
  <c r="S299" i="2"/>
  <c r="R299" i="2"/>
  <c r="Q299" i="2"/>
  <c r="P299" i="2"/>
  <c r="V298" i="2"/>
  <c r="W298" i="2" s="1"/>
  <c r="U298" i="2"/>
  <c r="T298" i="2"/>
  <c r="S298" i="2"/>
  <c r="R298" i="2"/>
  <c r="Q298" i="2"/>
  <c r="P298" i="2"/>
  <c r="V297" i="2"/>
  <c r="W297" i="2" s="1"/>
  <c r="U297" i="2"/>
  <c r="T297" i="2"/>
  <c r="S297" i="2"/>
  <c r="R297" i="2"/>
  <c r="Q297" i="2"/>
  <c r="P297" i="2"/>
  <c r="V296" i="2"/>
  <c r="W296" i="2" s="1"/>
  <c r="U296" i="2"/>
  <c r="T296" i="2"/>
  <c r="S296" i="2"/>
  <c r="R296" i="2"/>
  <c r="Q296" i="2"/>
  <c r="P296" i="2"/>
  <c r="V295" i="2"/>
  <c r="W295" i="2" s="1"/>
  <c r="U295" i="2"/>
  <c r="T295" i="2"/>
  <c r="S295" i="2"/>
  <c r="R295" i="2"/>
  <c r="Q295" i="2"/>
  <c r="P295" i="2"/>
  <c r="V294" i="2"/>
  <c r="W294" i="2" s="1"/>
  <c r="U294" i="2"/>
  <c r="T294" i="2"/>
  <c r="S294" i="2"/>
  <c r="R294" i="2"/>
  <c r="Q294" i="2"/>
  <c r="P294" i="2"/>
  <c r="V293" i="2"/>
  <c r="W293" i="2" s="1"/>
  <c r="U293" i="2"/>
  <c r="T293" i="2"/>
  <c r="S293" i="2"/>
  <c r="R293" i="2"/>
  <c r="Q293" i="2"/>
  <c r="P293" i="2"/>
  <c r="V292" i="2"/>
  <c r="W292" i="2" s="1"/>
  <c r="U292" i="2"/>
  <c r="T292" i="2"/>
  <c r="S292" i="2"/>
  <c r="R292" i="2"/>
  <c r="Q292" i="2"/>
  <c r="P292" i="2"/>
  <c r="V291" i="2"/>
  <c r="W291" i="2" s="1"/>
  <c r="U291" i="2"/>
  <c r="T291" i="2"/>
  <c r="S291" i="2"/>
  <c r="R291" i="2"/>
  <c r="Q291" i="2"/>
  <c r="P291" i="2"/>
  <c r="V290" i="2"/>
  <c r="W290" i="2" s="1"/>
  <c r="U290" i="2"/>
  <c r="T290" i="2"/>
  <c r="S290" i="2"/>
  <c r="R290" i="2"/>
  <c r="Q290" i="2"/>
  <c r="P290" i="2"/>
  <c r="V289" i="2"/>
  <c r="W289" i="2" s="1"/>
  <c r="U289" i="2"/>
  <c r="T289" i="2"/>
  <c r="S289" i="2"/>
  <c r="R289" i="2"/>
  <c r="Q289" i="2"/>
  <c r="P289" i="2"/>
  <c r="V288" i="2"/>
  <c r="W288" i="2" s="1"/>
  <c r="U288" i="2"/>
  <c r="T288" i="2"/>
  <c r="S288" i="2"/>
  <c r="R288" i="2"/>
  <c r="Q288" i="2"/>
  <c r="P288" i="2"/>
  <c r="V287" i="2"/>
  <c r="W287" i="2" s="1"/>
  <c r="U287" i="2"/>
  <c r="T287" i="2"/>
  <c r="S287" i="2"/>
  <c r="R287" i="2"/>
  <c r="Q287" i="2"/>
  <c r="P287" i="2"/>
  <c r="V286" i="2"/>
  <c r="W286" i="2" s="1"/>
  <c r="U286" i="2"/>
  <c r="T286" i="2"/>
  <c r="S286" i="2"/>
  <c r="R286" i="2"/>
  <c r="Q286" i="2"/>
  <c r="P286" i="2"/>
  <c r="S285" i="2"/>
  <c r="R285" i="2"/>
  <c r="P285" i="2"/>
  <c r="Q285" i="2"/>
  <c r="P284" i="2"/>
  <c r="Q284" i="2"/>
  <c r="R284" i="2"/>
  <c r="S284" i="2"/>
  <c r="T284" i="2"/>
  <c r="U284" i="2"/>
  <c r="V284" i="2"/>
  <c r="W284" i="2" s="1"/>
  <c r="P283" i="2"/>
  <c r="Q283" i="2"/>
  <c r="R283" i="2"/>
  <c r="S283" i="2"/>
  <c r="V283" i="2"/>
  <c r="W283" i="2" s="1"/>
  <c r="U283" i="2"/>
  <c r="T283" i="2"/>
  <c r="P282" i="2"/>
  <c r="Q282" i="2"/>
  <c r="R282" i="2"/>
  <c r="S282" i="2"/>
  <c r="T282" i="2"/>
  <c r="U282" i="2"/>
  <c r="V282" i="2"/>
  <c r="W282" i="2" s="1"/>
  <c r="P281" i="2"/>
  <c r="V281" i="2"/>
  <c r="W281" i="2" s="1"/>
  <c r="U281" i="2"/>
  <c r="T281" i="2"/>
  <c r="S281" i="2"/>
  <c r="R281" i="2"/>
  <c r="Q281" i="2"/>
  <c r="V280" i="2"/>
  <c r="W280" i="2" s="1"/>
  <c r="R280" i="2"/>
  <c r="U280" i="2"/>
  <c r="S280" i="2"/>
  <c r="T280" i="2"/>
  <c r="Q280" i="2"/>
  <c r="P280" i="2"/>
  <c r="P279" i="2"/>
  <c r="U279" i="2"/>
  <c r="T279" i="2"/>
  <c r="S279" i="2"/>
  <c r="R279" i="2"/>
  <c r="Q279" i="2"/>
  <c r="V279" i="2"/>
  <c r="W279" i="2" s="1"/>
  <c r="R278" i="2"/>
  <c r="U278" i="2"/>
  <c r="V278" i="2"/>
  <c r="W278" i="2" s="1"/>
  <c r="T278" i="2"/>
  <c r="S278" i="2"/>
  <c r="Q278" i="2"/>
  <c r="P278" i="2"/>
  <c r="T277" i="2"/>
  <c r="R277" i="2"/>
  <c r="Q277" i="2"/>
  <c r="S277" i="2"/>
  <c r="P277" i="2"/>
  <c r="V277" i="2"/>
  <c r="W277" i="2" s="1"/>
  <c r="U277" i="2"/>
  <c r="V276" i="2"/>
  <c r="W276" i="2" s="1"/>
  <c r="U276" i="2"/>
  <c r="T276" i="2"/>
  <c r="S276" i="2"/>
  <c r="R276" i="2"/>
  <c r="Q276" i="2"/>
  <c r="P276" i="2"/>
  <c r="V275" i="2"/>
  <c r="W275" i="2" s="1"/>
  <c r="U275" i="2"/>
  <c r="T275" i="2"/>
  <c r="S275" i="2"/>
  <c r="R275" i="2"/>
  <c r="Q275" i="2"/>
  <c r="P275" i="2"/>
  <c r="V274" i="2"/>
  <c r="W274" i="2" s="1"/>
  <c r="U274" i="2"/>
  <c r="T274" i="2"/>
  <c r="S274" i="2"/>
  <c r="R274" i="2"/>
  <c r="Q274" i="2"/>
  <c r="P274" i="2"/>
  <c r="U273" i="2"/>
  <c r="V273" i="2"/>
  <c r="W273" i="2" s="1"/>
  <c r="T273" i="2"/>
  <c r="S273" i="2"/>
  <c r="R273" i="2"/>
  <c r="Q273" i="2"/>
  <c r="P273" i="2"/>
  <c r="V272" i="2"/>
  <c r="W272" i="2" s="1"/>
  <c r="U272" i="2"/>
  <c r="T272" i="2"/>
  <c r="S272" i="2"/>
  <c r="R272" i="2"/>
  <c r="Q272" i="2"/>
  <c r="P272" i="2"/>
  <c r="V271" i="2"/>
  <c r="W271" i="2" s="1"/>
  <c r="U271" i="2"/>
  <c r="T271" i="2"/>
  <c r="S271" i="2"/>
  <c r="R271" i="2"/>
  <c r="Q271" i="2"/>
  <c r="P271" i="2"/>
  <c r="V270" i="2"/>
  <c r="W270" i="2" s="1"/>
  <c r="U270" i="2"/>
  <c r="T270" i="2"/>
  <c r="S270" i="2"/>
  <c r="R270" i="2"/>
  <c r="Q270" i="2"/>
  <c r="P270" i="2"/>
  <c r="Q269" i="2"/>
  <c r="P269" i="2"/>
  <c r="V269" i="2"/>
  <c r="W269" i="2" s="1"/>
  <c r="U269" i="2"/>
  <c r="T269" i="2"/>
  <c r="S269" i="2"/>
  <c r="R269" i="2"/>
  <c r="V268" i="2"/>
  <c r="W268" i="2" s="1"/>
  <c r="U268" i="2"/>
  <c r="T268" i="2"/>
  <c r="S268" i="2"/>
  <c r="R268" i="2"/>
  <c r="Q268" i="2"/>
  <c r="P268" i="2"/>
  <c r="P267" i="2"/>
  <c r="V267" i="2"/>
  <c r="W267" i="2" s="1"/>
  <c r="U267" i="2"/>
  <c r="T267" i="2"/>
  <c r="S267" i="2"/>
  <c r="R267" i="2"/>
  <c r="Q267" i="2"/>
  <c r="V266" i="2"/>
  <c r="W266" i="2" s="1"/>
  <c r="U266" i="2"/>
  <c r="T266" i="2"/>
  <c r="S266" i="2"/>
  <c r="R266" i="2"/>
  <c r="Q266" i="2"/>
  <c r="P266" i="2"/>
  <c r="P265" i="2"/>
  <c r="Q265" i="2"/>
  <c r="R265" i="2"/>
  <c r="S265" i="2"/>
  <c r="T265" i="2"/>
  <c r="V265" i="2"/>
  <c r="W265" i="2" s="1"/>
  <c r="U265" i="2"/>
  <c r="T264" i="2"/>
  <c r="U264" i="2"/>
  <c r="V264" i="2"/>
  <c r="W264" i="2" s="1"/>
  <c r="S264" i="2"/>
  <c r="P264" i="2"/>
  <c r="Q264" i="2"/>
  <c r="R264" i="2"/>
  <c r="U263" i="2"/>
  <c r="V263" i="2"/>
  <c r="W263" i="2" s="1"/>
  <c r="R263" i="2"/>
  <c r="P263" i="2"/>
  <c r="S263" i="2"/>
  <c r="T263" i="2"/>
  <c r="Q263" i="2"/>
  <c r="P262" i="2"/>
  <c r="Q262" i="2"/>
  <c r="R262" i="2"/>
  <c r="T262" i="2"/>
  <c r="U262" i="2"/>
  <c r="V262" i="2"/>
  <c r="W262" i="2" s="1"/>
  <c r="S262" i="2"/>
  <c r="S261" i="2"/>
  <c r="V261" i="2"/>
  <c r="W261" i="2" s="1"/>
  <c r="U261" i="2"/>
  <c r="T261" i="2"/>
  <c r="R261" i="2"/>
  <c r="Q261" i="2"/>
  <c r="P261" i="2"/>
  <c r="T260" i="2"/>
  <c r="U260" i="2"/>
  <c r="V260" i="2"/>
  <c r="W260" i="2" s="1"/>
  <c r="S260" i="2"/>
  <c r="R260" i="2"/>
  <c r="Q260" i="2"/>
  <c r="P260" i="2"/>
  <c r="V259" i="2"/>
  <c r="W259" i="2" s="1"/>
  <c r="U259" i="2"/>
  <c r="T259" i="2"/>
  <c r="S259" i="2"/>
  <c r="R259" i="2"/>
  <c r="Q259" i="2"/>
  <c r="P259" i="2"/>
  <c r="V258" i="2"/>
  <c r="W258" i="2" s="1"/>
  <c r="U258" i="2"/>
  <c r="T258" i="2"/>
  <c r="S258" i="2"/>
  <c r="R258" i="2"/>
  <c r="Q258" i="2"/>
  <c r="P258" i="2"/>
  <c r="V257" i="2"/>
  <c r="W257" i="2" s="1"/>
  <c r="U257" i="2"/>
  <c r="T257" i="2"/>
  <c r="S257" i="2"/>
  <c r="R257" i="2"/>
  <c r="Q257" i="2"/>
  <c r="P257" i="2"/>
  <c r="V256" i="2"/>
  <c r="W256" i="2" s="1"/>
  <c r="U256" i="2"/>
  <c r="T256" i="2"/>
  <c r="S256" i="2"/>
  <c r="R256" i="2"/>
  <c r="Q256" i="2"/>
  <c r="P256" i="2"/>
  <c r="P255" i="2"/>
  <c r="V255" i="2"/>
  <c r="W255" i="2" s="1"/>
  <c r="U255" i="2"/>
  <c r="T255" i="2"/>
  <c r="S255" i="2"/>
  <c r="R255" i="2"/>
  <c r="Q255" i="2"/>
  <c r="P254" i="2"/>
  <c r="Q254" i="2"/>
  <c r="R254" i="2"/>
  <c r="S254" i="2"/>
  <c r="U254" i="2"/>
  <c r="V254" i="2"/>
  <c r="W254" i="2" s="1"/>
  <c r="T254" i="2"/>
  <c r="P253" i="2"/>
  <c r="Q253" i="2"/>
  <c r="R253" i="2"/>
  <c r="S253" i="2"/>
  <c r="T253" i="2"/>
  <c r="U253" i="2"/>
  <c r="V253" i="2"/>
  <c r="W253" i="2" s="1"/>
  <c r="R252" i="2"/>
  <c r="S252" i="2"/>
  <c r="T252" i="2"/>
  <c r="U252" i="2"/>
  <c r="V252" i="2"/>
  <c r="W252" i="2" s="1"/>
  <c r="Q252" i="2"/>
  <c r="P252" i="2"/>
  <c r="S251" i="2"/>
  <c r="R251" i="2"/>
  <c r="P251" i="2"/>
  <c r="U251" i="2"/>
  <c r="Q251" i="2"/>
  <c r="V251" i="2"/>
  <c r="W251" i="2" s="1"/>
  <c r="T251" i="2"/>
  <c r="S250" i="2"/>
  <c r="V250" i="2"/>
  <c r="W250" i="2" s="1"/>
  <c r="P250" i="2"/>
  <c r="Q250" i="2"/>
  <c r="R250" i="2"/>
  <c r="T250" i="2"/>
  <c r="U250" i="2"/>
  <c r="P249" i="2"/>
  <c r="Q249" i="2"/>
  <c r="R249" i="2"/>
  <c r="T249" i="2"/>
  <c r="U249" i="2"/>
  <c r="S249" i="2"/>
  <c r="V249" i="2"/>
  <c r="W249" i="2" s="1"/>
  <c r="P248" i="2"/>
  <c r="Q248" i="2"/>
  <c r="R248" i="2"/>
  <c r="S248" i="2"/>
  <c r="T248" i="2"/>
  <c r="U248" i="2"/>
  <c r="V248" i="2"/>
  <c r="W248" i="2" s="1"/>
  <c r="V247" i="2"/>
  <c r="W247" i="2" s="1"/>
  <c r="U247" i="2"/>
  <c r="T247" i="2"/>
  <c r="S247" i="2"/>
  <c r="R247" i="2"/>
  <c r="Q247" i="2"/>
  <c r="P247" i="2"/>
  <c r="T246" i="2"/>
  <c r="U246" i="2"/>
  <c r="S246" i="2"/>
  <c r="R246" i="2"/>
  <c r="Q246" i="2"/>
  <c r="P246" i="2"/>
  <c r="V246" i="2"/>
  <c r="W246" i="2" s="1"/>
  <c r="V245" i="2"/>
  <c r="W245" i="2" s="1"/>
  <c r="U245" i="2"/>
  <c r="T245" i="2"/>
  <c r="S245" i="2"/>
  <c r="R245" i="2"/>
  <c r="Q245" i="2"/>
  <c r="P245" i="2"/>
  <c r="U244" i="2"/>
  <c r="T244" i="2"/>
  <c r="S244" i="2"/>
  <c r="R244" i="2"/>
  <c r="Q244" i="2"/>
  <c r="P244" i="2"/>
  <c r="V244" i="2"/>
  <c r="W244" i="2" s="1"/>
  <c r="V243" i="2"/>
  <c r="W243" i="2" s="1"/>
  <c r="T243" i="2"/>
  <c r="S243" i="2"/>
  <c r="R243" i="2"/>
  <c r="Q243" i="2"/>
  <c r="P243" i="2"/>
  <c r="U243" i="2"/>
  <c r="T242" i="2"/>
  <c r="V242" i="2"/>
  <c r="W242" i="2" s="1"/>
  <c r="U242" i="2"/>
  <c r="P242" i="2"/>
  <c r="S242" i="2"/>
  <c r="R242" i="2"/>
  <c r="Q242" i="2"/>
  <c r="V241" i="2"/>
  <c r="W241" i="2" s="1"/>
  <c r="U241" i="2"/>
  <c r="T241" i="2"/>
  <c r="S241" i="2"/>
  <c r="R241" i="2"/>
  <c r="Q241" i="2"/>
  <c r="P241" i="2"/>
  <c r="P240" i="2"/>
  <c r="Q240" i="2"/>
  <c r="R240" i="2"/>
  <c r="S240" i="2"/>
  <c r="T240" i="2"/>
  <c r="U240" i="2"/>
  <c r="V240" i="2"/>
  <c r="W240" i="2" s="1"/>
  <c r="S239" i="2"/>
  <c r="U239" i="2"/>
  <c r="T239" i="2"/>
  <c r="R239" i="2"/>
  <c r="Q239" i="2"/>
  <c r="P239" i="2"/>
  <c r="V239" i="2"/>
  <c r="W239" i="2" s="1"/>
  <c r="R238" i="2"/>
  <c r="S238" i="2"/>
  <c r="T238" i="2"/>
  <c r="V238" i="2"/>
  <c r="W238" i="2" s="1"/>
  <c r="P238" i="2"/>
  <c r="Q238" i="2"/>
  <c r="U238" i="2"/>
  <c r="N238" i="2"/>
  <c r="Q237" i="2"/>
  <c r="R237" i="2"/>
  <c r="P237" i="2"/>
  <c r="S237" i="2"/>
  <c r="T237" i="2"/>
  <c r="U237" i="2"/>
  <c r="V237" i="2"/>
  <c r="W237" i="2" s="1"/>
  <c r="U236" i="2"/>
  <c r="V236" i="2"/>
  <c r="W236" i="2" s="1"/>
  <c r="P236" i="2"/>
  <c r="Q236" i="2"/>
  <c r="R236" i="2"/>
  <c r="S236" i="2"/>
  <c r="T236" i="2"/>
  <c r="V235" i="2"/>
  <c r="W235" i="2" s="1"/>
  <c r="U235" i="2"/>
  <c r="T235" i="2"/>
  <c r="S235" i="2"/>
  <c r="R235" i="2"/>
  <c r="Q235" i="2"/>
  <c r="P235" i="2"/>
  <c r="T234" i="2"/>
  <c r="R234" i="2"/>
  <c r="S234" i="2"/>
  <c r="Q234" i="2"/>
  <c r="P234" i="2"/>
  <c r="V234" i="2"/>
  <c r="W234" i="2" s="1"/>
  <c r="U234" i="2"/>
  <c r="P233" i="2"/>
  <c r="Q233" i="2"/>
  <c r="R233" i="2"/>
  <c r="S233" i="2"/>
  <c r="T233" i="2"/>
  <c r="U233" i="2"/>
  <c r="V233" i="2"/>
  <c r="W233" i="2" s="1"/>
  <c r="U232" i="2"/>
  <c r="T232" i="2"/>
  <c r="S232" i="2"/>
  <c r="V232" i="2"/>
  <c r="W232" i="2" s="1"/>
  <c r="R232" i="2"/>
  <c r="P232" i="2"/>
  <c r="Q232" i="2"/>
  <c r="P231" i="2"/>
  <c r="Q231" i="2"/>
  <c r="R231" i="2"/>
  <c r="S231" i="2"/>
  <c r="T231" i="2"/>
  <c r="U231" i="2"/>
  <c r="V231" i="2"/>
  <c r="W231" i="2" s="1"/>
  <c r="T230" i="2"/>
  <c r="V230" i="2"/>
  <c r="W230" i="2" s="1"/>
  <c r="Q230" i="2"/>
  <c r="R230" i="2"/>
  <c r="S230" i="2"/>
  <c r="U230" i="2"/>
  <c r="P230" i="2"/>
  <c r="P229" i="2"/>
  <c r="Q229" i="2"/>
  <c r="S229" i="2"/>
  <c r="T229" i="2"/>
  <c r="U229" i="2"/>
  <c r="V229" i="2"/>
  <c r="W229" i="2" s="1"/>
  <c r="R229" i="2"/>
  <c r="V228" i="2"/>
  <c r="W228" i="2" s="1"/>
  <c r="U228" i="2"/>
  <c r="T228" i="2"/>
  <c r="R228" i="2"/>
  <c r="Q228" i="2"/>
  <c r="P228" i="2"/>
  <c r="S228" i="2"/>
  <c r="V227" i="2"/>
  <c r="W227" i="2" s="1"/>
  <c r="U227" i="2"/>
  <c r="T227" i="2"/>
  <c r="S227" i="2"/>
  <c r="Q227" i="2"/>
  <c r="P227" i="2"/>
  <c r="R227" i="2"/>
  <c r="V226" i="2"/>
  <c r="W226" i="2" s="1"/>
  <c r="R226" i="2"/>
  <c r="U226" i="2"/>
  <c r="T226" i="2"/>
  <c r="S226" i="2"/>
  <c r="Q226" i="2"/>
  <c r="P226" i="2"/>
  <c r="V225" i="2"/>
  <c r="W225" i="2" s="1"/>
  <c r="U225" i="2"/>
  <c r="T225" i="2"/>
  <c r="S225" i="2"/>
  <c r="R225" i="2"/>
  <c r="Q225" i="2"/>
  <c r="P225" i="2"/>
  <c r="V224" i="2"/>
  <c r="W224" i="2" s="1"/>
  <c r="T224" i="2"/>
  <c r="S224" i="2"/>
  <c r="R224" i="2"/>
  <c r="U224" i="2"/>
  <c r="Q224" i="2"/>
  <c r="P224" i="2"/>
  <c r="R223" i="2"/>
  <c r="S223" i="2"/>
  <c r="T223" i="2"/>
  <c r="P223" i="2"/>
  <c r="V223" i="2"/>
  <c r="W223" i="2" s="1"/>
  <c r="U223" i="2"/>
  <c r="Q223" i="2"/>
  <c r="V222" i="2"/>
  <c r="W222" i="2" s="1"/>
  <c r="U222" i="2"/>
  <c r="Q222" i="2"/>
  <c r="R222" i="2"/>
  <c r="P222" i="2"/>
  <c r="S222" i="2"/>
  <c r="T222" i="2"/>
  <c r="Q221" i="2"/>
  <c r="R221" i="2"/>
  <c r="S221" i="2"/>
  <c r="P221" i="2"/>
  <c r="T221" i="2"/>
  <c r="U221" i="2"/>
  <c r="V221" i="2"/>
  <c r="W221" i="2" s="1"/>
  <c r="P220" i="2"/>
  <c r="Q220" i="2"/>
  <c r="R220" i="2"/>
  <c r="S220" i="2"/>
  <c r="T220" i="2"/>
  <c r="U220" i="2"/>
  <c r="V220" i="2"/>
  <c r="W220" i="2" s="1"/>
  <c r="P219" i="2"/>
  <c r="Q219" i="2"/>
  <c r="R219" i="2"/>
  <c r="S219" i="2"/>
  <c r="T219" i="2"/>
  <c r="U219" i="2"/>
  <c r="V219" i="2"/>
  <c r="W219" i="2" s="1"/>
  <c r="V218" i="2"/>
  <c r="W218" i="2" s="1"/>
  <c r="U218" i="2"/>
  <c r="T218" i="2"/>
  <c r="R218" i="2"/>
  <c r="Q218" i="2"/>
  <c r="P218" i="2"/>
  <c r="S218" i="2"/>
  <c r="V217" i="2"/>
  <c r="W217" i="2" s="1"/>
  <c r="U217" i="2"/>
  <c r="T217" i="2"/>
  <c r="S217" i="2"/>
  <c r="R217" i="2"/>
  <c r="Q217" i="2"/>
  <c r="P217" i="2"/>
  <c r="V216" i="2"/>
  <c r="W216" i="2" s="1"/>
  <c r="U216" i="2"/>
  <c r="T216" i="2"/>
  <c r="S216" i="2"/>
  <c r="R216" i="2"/>
  <c r="Q216" i="2"/>
  <c r="P216" i="2"/>
  <c r="U215" i="2"/>
  <c r="V215" i="2"/>
  <c r="W215" i="2" s="1"/>
  <c r="T215" i="2"/>
  <c r="S215" i="2"/>
  <c r="R215" i="2"/>
  <c r="Q215" i="2"/>
  <c r="P215" i="2"/>
  <c r="R214" i="2"/>
  <c r="Q214" i="2"/>
  <c r="P214" i="2"/>
  <c r="V214" i="2"/>
  <c r="W214" i="2" s="1"/>
  <c r="U214" i="2"/>
  <c r="T214" i="2"/>
  <c r="S214" i="2"/>
  <c r="P213" i="2"/>
  <c r="S213" i="2"/>
  <c r="T213" i="2"/>
  <c r="V213" i="2"/>
  <c r="W213" i="2" s="1"/>
  <c r="U213" i="2"/>
  <c r="Q213" i="2"/>
  <c r="R213" i="2"/>
  <c r="P212" i="2"/>
  <c r="V212" i="2"/>
  <c r="W212" i="2" s="1"/>
  <c r="Q212" i="2"/>
  <c r="R212" i="2"/>
  <c r="S212" i="2"/>
  <c r="T212" i="2"/>
  <c r="U212" i="2"/>
  <c r="Q211" i="2"/>
  <c r="P211" i="2"/>
  <c r="R211" i="2"/>
  <c r="S211" i="2"/>
  <c r="T211" i="2"/>
  <c r="U211" i="2"/>
  <c r="V211" i="2"/>
  <c r="W211" i="2" s="1"/>
  <c r="P210" i="2"/>
  <c r="Q210" i="2"/>
  <c r="R210" i="2"/>
  <c r="S210" i="2"/>
  <c r="T210" i="2"/>
  <c r="U210" i="2"/>
  <c r="V210" i="2"/>
  <c r="W210" i="2" s="1"/>
  <c r="R209" i="2"/>
  <c r="S209" i="2"/>
  <c r="T209" i="2"/>
  <c r="U209" i="2"/>
  <c r="V209" i="2"/>
  <c r="W209" i="2" s="1"/>
  <c r="P209" i="2"/>
  <c r="Q209" i="2"/>
  <c r="S208" i="2"/>
  <c r="U208" i="2"/>
  <c r="V208" i="2"/>
  <c r="W208" i="2" s="1"/>
  <c r="T208" i="2"/>
  <c r="R208" i="2"/>
  <c r="Q208" i="2"/>
  <c r="P208" i="2"/>
  <c r="V207" i="2"/>
  <c r="W207" i="2" s="1"/>
  <c r="P207" i="2"/>
  <c r="Q207" i="2"/>
  <c r="U207" i="2"/>
  <c r="T207" i="2"/>
  <c r="S207" i="2"/>
  <c r="R207" i="2"/>
  <c r="Q206" i="2"/>
  <c r="R206" i="2"/>
  <c r="S206" i="2"/>
  <c r="T206" i="2"/>
  <c r="V206" i="2"/>
  <c r="W206" i="2" s="1"/>
  <c r="U206" i="2"/>
  <c r="P206" i="2"/>
  <c r="S205" i="2"/>
  <c r="T205" i="2"/>
  <c r="R205" i="2"/>
  <c r="P205" i="2"/>
  <c r="V205" i="2"/>
  <c r="W205" i="2" s="1"/>
  <c r="Q205" i="2"/>
  <c r="U205" i="2"/>
  <c r="Q204" i="2"/>
  <c r="P204" i="2"/>
  <c r="R204" i="2"/>
  <c r="T204" i="2"/>
  <c r="U204" i="2"/>
  <c r="V204" i="2"/>
  <c r="W204" i="2" s="1"/>
  <c r="S204" i="2"/>
  <c r="T203" i="2"/>
  <c r="R203" i="2"/>
  <c r="S203" i="2"/>
  <c r="V203" i="2"/>
  <c r="W203" i="2" s="1"/>
  <c r="U203" i="2"/>
  <c r="Q203" i="2"/>
  <c r="P203" i="2"/>
  <c r="R202" i="2"/>
  <c r="P202" i="2"/>
  <c r="Q202" i="2"/>
  <c r="T202" i="2"/>
  <c r="U202" i="2"/>
  <c r="V202" i="2"/>
  <c r="W202" i="2" s="1"/>
  <c r="S202" i="2"/>
  <c r="S201" i="2"/>
  <c r="T201" i="2"/>
  <c r="U201" i="2"/>
  <c r="V201" i="2"/>
  <c r="W201" i="2" s="1"/>
  <c r="Q201" i="2"/>
  <c r="R201" i="2"/>
  <c r="P201" i="2"/>
  <c r="P200" i="2"/>
  <c r="Q200" i="2"/>
  <c r="R200" i="2"/>
  <c r="S200" i="2"/>
  <c r="T200" i="2"/>
  <c r="U200" i="2"/>
  <c r="V200" i="2"/>
  <c r="W200" i="2" s="1"/>
  <c r="U199" i="2"/>
  <c r="Q199" i="2"/>
  <c r="V199" i="2"/>
  <c r="W199" i="2" s="1"/>
  <c r="P199" i="2"/>
  <c r="R199" i="2"/>
  <c r="S199" i="2"/>
  <c r="T199" i="2"/>
  <c r="P198" i="2"/>
  <c r="V198" i="2"/>
  <c r="W198" i="2" s="1"/>
  <c r="U198" i="2"/>
  <c r="T198" i="2"/>
  <c r="S198" i="2"/>
  <c r="R198" i="2"/>
  <c r="Q198" i="2"/>
  <c r="U197" i="2"/>
  <c r="T197" i="2"/>
  <c r="S197" i="2"/>
  <c r="R197" i="2"/>
  <c r="Q197" i="2"/>
  <c r="P197" i="2"/>
  <c r="V197" i="2"/>
  <c r="W197" i="2" s="1"/>
  <c r="U196" i="2"/>
  <c r="T196" i="2"/>
  <c r="V196" i="2"/>
  <c r="W196" i="2" s="1"/>
  <c r="Q196" i="2"/>
  <c r="S196" i="2"/>
  <c r="R196" i="2"/>
  <c r="P196" i="2"/>
  <c r="V195" i="2"/>
  <c r="W195" i="2" s="1"/>
  <c r="U195" i="2"/>
  <c r="T195" i="2"/>
  <c r="S195" i="2"/>
  <c r="R195" i="2"/>
  <c r="Q195" i="2"/>
  <c r="P195" i="2"/>
  <c r="P194" i="2"/>
  <c r="V194" i="2"/>
  <c r="W194" i="2" s="1"/>
  <c r="U194" i="2"/>
  <c r="S194" i="2"/>
  <c r="R194" i="2"/>
  <c r="Q194" i="2"/>
  <c r="T194" i="2"/>
  <c r="V193" i="2"/>
  <c r="W193" i="2" s="1"/>
  <c r="U193" i="2"/>
  <c r="T193" i="2"/>
  <c r="S193" i="2"/>
  <c r="R193" i="2"/>
  <c r="Q193" i="2"/>
  <c r="P193" i="2"/>
  <c r="P192" i="2"/>
  <c r="Q192" i="2"/>
  <c r="V192" i="2"/>
  <c r="W192" i="2" s="1"/>
  <c r="U192" i="2"/>
  <c r="T192" i="2"/>
  <c r="S192" i="2"/>
  <c r="R192" i="2"/>
  <c r="V191" i="2"/>
  <c r="W191" i="2" s="1"/>
  <c r="U191" i="2"/>
  <c r="T191" i="2"/>
  <c r="S191" i="2"/>
  <c r="R191" i="2"/>
  <c r="Q191" i="2"/>
  <c r="P191" i="2"/>
  <c r="P190" i="2"/>
  <c r="Q190" i="2"/>
  <c r="R190" i="2"/>
  <c r="S190" i="2"/>
  <c r="T190" i="2"/>
  <c r="U189" i="2"/>
  <c r="T189" i="2"/>
  <c r="V189" i="2"/>
  <c r="W189" i="2" s="1"/>
  <c r="S189" i="2"/>
  <c r="R189" i="2"/>
  <c r="P189" i="2"/>
  <c r="Q189" i="2"/>
  <c r="S188" i="2"/>
  <c r="T188" i="2"/>
  <c r="U188" i="2"/>
  <c r="V188" i="2"/>
  <c r="W188" i="2" s="1"/>
  <c r="P188" i="2"/>
  <c r="R188" i="2"/>
  <c r="Q188" i="2"/>
  <c r="Q187" i="2"/>
  <c r="S187" i="2"/>
  <c r="T187" i="2"/>
  <c r="U187" i="2"/>
  <c r="V187" i="2"/>
  <c r="W187" i="2" s="1"/>
  <c r="R187" i="2"/>
  <c r="P187" i="2"/>
  <c r="V186" i="2"/>
  <c r="W186" i="2" s="1"/>
  <c r="S186" i="2"/>
  <c r="P186" i="2"/>
  <c r="Q186" i="2"/>
  <c r="U186" i="2"/>
  <c r="R186" i="2"/>
  <c r="T186" i="2"/>
  <c r="R185" i="2"/>
  <c r="S185" i="2"/>
  <c r="T185" i="2"/>
  <c r="Q185" i="2"/>
  <c r="U185" i="2"/>
  <c r="V185" i="2"/>
  <c r="W185" i="2" s="1"/>
  <c r="P185" i="2"/>
  <c r="P184" i="2"/>
  <c r="V184" i="2"/>
  <c r="W184" i="2" s="1"/>
  <c r="U184" i="2"/>
  <c r="Q184" i="2"/>
  <c r="R184" i="2"/>
  <c r="S184" i="2"/>
  <c r="T184" i="2"/>
  <c r="S183" i="2"/>
  <c r="T183" i="2"/>
  <c r="R183" i="2"/>
  <c r="V183" i="2"/>
  <c r="W183" i="2" s="1"/>
  <c r="Q183" i="2"/>
  <c r="U183" i="2"/>
  <c r="P183" i="2"/>
  <c r="S182" i="2"/>
  <c r="Q182" i="2"/>
  <c r="N182" i="2"/>
  <c r="P182" i="2"/>
  <c r="T182" i="2"/>
  <c r="U182" i="2"/>
  <c r="V182" i="2"/>
  <c r="W182" i="2" s="1"/>
  <c r="R182" i="2"/>
  <c r="T181" i="2"/>
  <c r="R181" i="2"/>
  <c r="P181" i="2"/>
  <c r="N181" i="2"/>
  <c r="Q181" i="2"/>
  <c r="S181" i="2"/>
  <c r="U181" i="2"/>
  <c r="V181" i="2"/>
  <c r="W181" i="2" s="1"/>
  <c r="U180" i="2"/>
  <c r="S180" i="2"/>
  <c r="Q180" i="2"/>
  <c r="N180" i="2"/>
  <c r="V180" i="2"/>
  <c r="W180" i="2" s="1"/>
  <c r="T180" i="2"/>
  <c r="R180" i="2"/>
  <c r="P180" i="2"/>
  <c r="Q179" i="2"/>
  <c r="S179" i="2"/>
  <c r="V179" i="2"/>
  <c r="W179" i="2" s="1"/>
  <c r="N179" i="2"/>
  <c r="P179" i="2"/>
  <c r="R179" i="2"/>
  <c r="T179" i="2"/>
  <c r="U179" i="2"/>
  <c r="V178" i="2"/>
  <c r="W178" i="2" s="1"/>
  <c r="T178" i="2"/>
  <c r="Q178" i="2"/>
  <c r="P178" i="2"/>
  <c r="S178" i="2"/>
  <c r="N178" i="2"/>
  <c r="R178" i="2"/>
  <c r="U178" i="2"/>
  <c r="T177" i="2"/>
  <c r="P177" i="2"/>
  <c r="Q177" i="2"/>
  <c r="S177" i="2"/>
  <c r="R177" i="2"/>
  <c r="U177" i="2"/>
  <c r="V177" i="2"/>
  <c r="W177" i="2" s="1"/>
  <c r="S176" i="2"/>
  <c r="V176" i="2"/>
  <c r="W176" i="2" s="1"/>
  <c r="R176" i="2"/>
  <c r="T176" i="2"/>
  <c r="U176" i="2"/>
  <c r="N176" i="2"/>
  <c r="P176" i="2"/>
  <c r="Q176" i="2"/>
  <c r="Q175" i="2"/>
  <c r="T175" i="2"/>
  <c r="R175" i="2"/>
  <c r="P175" i="2"/>
  <c r="N175" i="2"/>
  <c r="U175" i="2"/>
  <c r="S175" i="2"/>
  <c r="V175" i="2"/>
  <c r="W175" i="2" s="1"/>
  <c r="N174" i="2"/>
  <c r="Q174" i="2"/>
  <c r="T174" i="2"/>
  <c r="V174" i="2"/>
  <c r="W174" i="2" s="1"/>
  <c r="R174" i="2"/>
  <c r="U174" i="2"/>
  <c r="S174" i="2"/>
  <c r="P174" i="2"/>
  <c r="S173" i="2"/>
  <c r="T173" i="2"/>
  <c r="U173" i="2"/>
  <c r="V173" i="2"/>
  <c r="W173" i="2" s="1"/>
  <c r="R173" i="2"/>
  <c r="Q173" i="2"/>
  <c r="P173" i="2"/>
  <c r="N173" i="2"/>
  <c r="Q172" i="2"/>
  <c r="N172" i="2"/>
  <c r="P172" i="2"/>
  <c r="S172" i="2"/>
  <c r="U172" i="2"/>
  <c r="R172" i="2"/>
  <c r="T172" i="2"/>
  <c r="V172" i="2"/>
  <c r="W172" i="2" s="1"/>
  <c r="T171" i="2"/>
  <c r="U171" i="2"/>
  <c r="P171" i="2"/>
  <c r="S171" i="2"/>
  <c r="V171" i="2"/>
  <c r="W171" i="2" s="1"/>
  <c r="N171" i="2"/>
  <c r="Q171" i="2"/>
  <c r="R171" i="2"/>
  <c r="S170" i="2"/>
  <c r="N170" i="2"/>
  <c r="P170" i="2"/>
  <c r="T170" i="2"/>
  <c r="Q170" i="2"/>
  <c r="V170" i="2"/>
  <c r="W170" i="2" s="1"/>
  <c r="R170" i="2"/>
  <c r="U170" i="2"/>
  <c r="N169" i="2"/>
  <c r="R169" i="2"/>
  <c r="V169" i="2"/>
  <c r="W169" i="2" s="1"/>
  <c r="T169" i="2"/>
  <c r="U169" i="2"/>
  <c r="S169" i="2"/>
  <c r="Q169" i="2"/>
  <c r="P169" i="2"/>
  <c r="N168" i="2"/>
  <c r="R168" i="2"/>
  <c r="T168" i="2"/>
  <c r="V168" i="2"/>
  <c r="W168" i="2" s="1"/>
  <c r="Q168" i="2"/>
  <c r="P168" i="2"/>
  <c r="U168" i="2"/>
  <c r="S168" i="2"/>
  <c r="V167" i="2"/>
  <c r="W167" i="2" s="1"/>
  <c r="S167" i="2"/>
  <c r="N167" i="2"/>
  <c r="P167" i="2"/>
  <c r="R167" i="2"/>
  <c r="U167" i="2"/>
  <c r="Q167" i="2"/>
  <c r="T167" i="2"/>
  <c r="T166" i="2"/>
  <c r="V166" i="2"/>
  <c r="W166" i="2" s="1"/>
  <c r="U166" i="2"/>
  <c r="S166" i="2"/>
  <c r="Q166" i="2"/>
  <c r="N166" i="2"/>
  <c r="P166" i="2"/>
  <c r="R166" i="2"/>
  <c r="S165" i="2"/>
  <c r="T165" i="2"/>
  <c r="V165" i="2"/>
  <c r="W165" i="2" s="1"/>
  <c r="R165" i="2"/>
  <c r="N165" i="2"/>
  <c r="P165" i="2"/>
  <c r="Q165" i="2"/>
  <c r="U165" i="2"/>
  <c r="U164" i="2"/>
  <c r="P164" i="2"/>
  <c r="Q164" i="2"/>
  <c r="R164" i="2"/>
  <c r="S164" i="2"/>
  <c r="T164" i="2"/>
  <c r="V164" i="2"/>
  <c r="W164" i="2" s="1"/>
  <c r="S163" i="2"/>
  <c r="R163" i="2"/>
  <c r="Q163" i="2"/>
  <c r="P163" i="2"/>
  <c r="V163" i="2"/>
  <c r="W163" i="2" s="1"/>
  <c r="U163" i="2"/>
  <c r="T163" i="2"/>
  <c r="V162" i="2"/>
  <c r="W162" i="2" s="1"/>
  <c r="U162" i="2"/>
  <c r="S162" i="2"/>
  <c r="P162" i="2"/>
  <c r="R162" i="2"/>
  <c r="T162" i="2"/>
  <c r="Q162" i="2"/>
  <c r="N162" i="2"/>
  <c r="V161" i="2"/>
  <c r="W161" i="2" s="1"/>
  <c r="N161" i="2"/>
  <c r="Q161" i="2"/>
  <c r="S161" i="2"/>
  <c r="U161" i="2"/>
  <c r="T161" i="2"/>
  <c r="R161" i="2"/>
  <c r="P161" i="2"/>
  <c r="N160" i="2"/>
  <c r="T160" i="2"/>
  <c r="U160" i="2"/>
  <c r="R160" i="2"/>
  <c r="P160" i="2"/>
  <c r="Q160" i="2"/>
  <c r="S160" i="2"/>
  <c r="V160" i="2"/>
  <c r="W160" i="2" s="1"/>
  <c r="T159" i="2"/>
  <c r="V159" i="2"/>
  <c r="W159" i="2" s="1"/>
  <c r="P159" i="2"/>
  <c r="Q159" i="2"/>
  <c r="S159" i="2"/>
  <c r="U159" i="2"/>
  <c r="V158" i="2"/>
  <c r="W158" i="2" s="1"/>
  <c r="P158" i="2"/>
  <c r="Q158" i="2"/>
  <c r="R158" i="2"/>
  <c r="S158" i="2"/>
  <c r="T158" i="2"/>
  <c r="U158" i="2"/>
  <c r="N157" i="2"/>
  <c r="V157" i="2"/>
  <c r="W157" i="2" s="1"/>
  <c r="U157" i="2"/>
  <c r="T157" i="2"/>
  <c r="S157" i="2"/>
  <c r="R157" i="2"/>
  <c r="Q157" i="2"/>
  <c r="P157" i="2"/>
  <c r="U156" i="2"/>
  <c r="Q156" i="2"/>
  <c r="S156" i="2"/>
  <c r="N156" i="2"/>
  <c r="P156" i="2"/>
  <c r="R156" i="2"/>
  <c r="T156" i="2"/>
  <c r="V156" i="2"/>
  <c r="W156" i="2" s="1"/>
  <c r="V155" i="2"/>
  <c r="W155" i="2" s="1"/>
  <c r="U155" i="2"/>
  <c r="T155" i="2"/>
  <c r="Q155" i="2"/>
  <c r="P155" i="2"/>
  <c r="R155" i="2"/>
  <c r="S155" i="2"/>
  <c r="R154" i="2"/>
  <c r="N154" i="2"/>
  <c r="P154" i="2"/>
  <c r="Q154" i="2"/>
  <c r="T154" i="2"/>
  <c r="U154" i="2"/>
  <c r="S154" i="2"/>
  <c r="V154" i="2"/>
  <c r="W154" i="2" s="1"/>
  <c r="P153" i="2"/>
  <c r="T153" i="2"/>
  <c r="R153" i="2"/>
  <c r="N153" i="2"/>
  <c r="U153" i="2"/>
  <c r="Q153" i="2"/>
  <c r="S153" i="2"/>
  <c r="V153" i="2"/>
  <c r="W153" i="2" s="1"/>
  <c r="Q152" i="2"/>
  <c r="S152" i="2"/>
  <c r="V152" i="2"/>
  <c r="W152" i="2" s="1"/>
  <c r="T152" i="2"/>
  <c r="R152" i="2"/>
  <c r="P152" i="2"/>
  <c r="N152" i="2"/>
  <c r="U152" i="2"/>
  <c r="S151" i="2"/>
  <c r="R151" i="2"/>
  <c r="U151" i="2"/>
  <c r="V151" i="2"/>
  <c r="W151" i="2" s="1"/>
  <c r="T151" i="2"/>
  <c r="Q151" i="2"/>
  <c r="N151" i="2"/>
  <c r="P151" i="2"/>
  <c r="P150" i="2"/>
  <c r="N150" i="2"/>
  <c r="V150" i="2"/>
  <c r="W150" i="2" s="1"/>
  <c r="T150" i="2"/>
  <c r="S150" i="2"/>
  <c r="U150" i="2"/>
  <c r="R150" i="2"/>
  <c r="Q150" i="2"/>
  <c r="V149" i="2"/>
  <c r="W149" i="2" s="1"/>
  <c r="S149" i="2"/>
  <c r="R149" i="2"/>
  <c r="P149" i="2"/>
  <c r="N149" i="2"/>
  <c r="Q149" i="2"/>
  <c r="T149" i="2"/>
  <c r="U149" i="2"/>
  <c r="Q148" i="2"/>
  <c r="S148" i="2"/>
  <c r="T148" i="2"/>
  <c r="V148" i="2"/>
  <c r="W148" i="2" s="1"/>
  <c r="U148" i="2"/>
  <c r="R148" i="2"/>
  <c r="P148" i="2"/>
  <c r="N148" i="2"/>
  <c r="V147" i="2"/>
  <c r="W147" i="2" s="1"/>
  <c r="Q147" i="2"/>
  <c r="S147" i="2"/>
  <c r="U147" i="2"/>
  <c r="T147" i="2"/>
  <c r="R147" i="2"/>
  <c r="P147" i="2"/>
  <c r="N147" i="2"/>
  <c r="Q146" i="2"/>
  <c r="T146" i="2"/>
  <c r="V146" i="2"/>
  <c r="W146" i="2" s="1"/>
  <c r="U146" i="2"/>
  <c r="S146" i="2"/>
  <c r="R146" i="2"/>
  <c r="P146" i="2"/>
  <c r="N146" i="2"/>
  <c r="R145" i="2"/>
  <c r="V145" i="2"/>
  <c r="W145" i="2" s="1"/>
  <c r="T145" i="2"/>
  <c r="U145" i="2"/>
  <c r="N145" i="2"/>
  <c r="P145" i="2"/>
  <c r="S145" i="2"/>
  <c r="Q145" i="2"/>
  <c r="U144" i="2"/>
  <c r="S144" i="2"/>
  <c r="Q144" i="2"/>
  <c r="T144" i="2"/>
  <c r="V144" i="2"/>
  <c r="W144" i="2" s="1"/>
  <c r="R144" i="2"/>
  <c r="P144" i="2"/>
  <c r="N144" i="2"/>
  <c r="P143" i="2"/>
  <c r="R143" i="2"/>
  <c r="U143" i="2"/>
  <c r="T143" i="2"/>
  <c r="V143" i="2"/>
  <c r="W143" i="2" s="1"/>
  <c r="Q143" i="2"/>
  <c r="S143" i="2"/>
  <c r="N143" i="2"/>
  <c r="Q142" i="2"/>
  <c r="R142" i="2"/>
  <c r="S142" i="2"/>
  <c r="T142" i="2"/>
  <c r="U142" i="2"/>
  <c r="V142" i="2"/>
  <c r="W142" i="2" s="1"/>
  <c r="P142" i="2"/>
  <c r="R141" i="2"/>
  <c r="S141" i="2"/>
  <c r="T141" i="2"/>
  <c r="U141" i="2"/>
  <c r="V141" i="2"/>
  <c r="W141" i="2" s="1"/>
  <c r="P141" i="2"/>
  <c r="Q141" i="2"/>
  <c r="P140" i="2"/>
  <c r="Q140" i="2"/>
  <c r="R140" i="2"/>
  <c r="S140" i="2"/>
  <c r="T140" i="2"/>
  <c r="U140" i="2"/>
  <c r="V140" i="2"/>
  <c r="W140" i="2" s="1"/>
  <c r="V139" i="2"/>
  <c r="W139" i="2" s="1"/>
  <c r="U139" i="2"/>
  <c r="T139" i="2"/>
  <c r="S139" i="2"/>
  <c r="R139" i="2"/>
  <c r="Q139" i="2"/>
  <c r="P139" i="2"/>
  <c r="Q138" i="2"/>
  <c r="P138" i="2"/>
  <c r="V138" i="2"/>
  <c r="W138" i="2" s="1"/>
  <c r="U138" i="2"/>
  <c r="T138" i="2"/>
  <c r="S138" i="2"/>
  <c r="R138" i="2"/>
  <c r="U137" i="2"/>
  <c r="P137" i="2"/>
  <c r="Q137" i="2"/>
  <c r="R137" i="2"/>
  <c r="V137" i="2"/>
  <c r="W137" i="2" s="1"/>
  <c r="S137" i="2"/>
  <c r="T137" i="2"/>
  <c r="Q136" i="2"/>
  <c r="R136" i="2"/>
  <c r="S136" i="2"/>
  <c r="T136" i="2"/>
  <c r="U136" i="2"/>
  <c r="V136" i="2"/>
  <c r="W136" i="2" s="1"/>
  <c r="P136" i="2"/>
  <c r="Q135" i="2"/>
  <c r="R135" i="2"/>
  <c r="S135" i="2"/>
  <c r="P135" i="2"/>
  <c r="T135" i="2"/>
  <c r="V135" i="2"/>
  <c r="W135" i="2" s="1"/>
  <c r="U135" i="2"/>
  <c r="V134" i="2"/>
  <c r="W134" i="2" s="1"/>
  <c r="P134" i="2"/>
  <c r="Q134" i="2"/>
  <c r="R134" i="2"/>
  <c r="S134" i="2"/>
  <c r="T134" i="2"/>
  <c r="U134" i="2"/>
  <c r="P133" i="2"/>
  <c r="Q133" i="2"/>
  <c r="R133" i="2"/>
  <c r="S133" i="2"/>
  <c r="T133" i="2"/>
  <c r="U133" i="2"/>
  <c r="V133" i="2"/>
  <c r="W133" i="2" s="1"/>
  <c r="P132" i="2"/>
  <c r="Q132" i="2"/>
  <c r="R132" i="2"/>
  <c r="S132" i="2"/>
  <c r="T132" i="2"/>
  <c r="U132" i="2"/>
  <c r="V132" i="2"/>
  <c r="W132" i="2" s="1"/>
  <c r="P131" i="2"/>
  <c r="T131" i="2"/>
  <c r="U131" i="2"/>
  <c r="V131" i="2"/>
  <c r="W131" i="2" s="1"/>
  <c r="S131" i="2"/>
  <c r="Q131" i="2"/>
  <c r="R131" i="2"/>
  <c r="U130" i="2"/>
  <c r="V130" i="2"/>
  <c r="W130" i="2" s="1"/>
  <c r="T130" i="2"/>
  <c r="S130" i="2"/>
  <c r="R130" i="2"/>
  <c r="Q130" i="2"/>
  <c r="P130" i="2"/>
  <c r="P129" i="2"/>
  <c r="V129" i="2"/>
  <c r="W129" i="2" s="1"/>
  <c r="U129" i="2"/>
  <c r="T129" i="2"/>
  <c r="S129" i="2"/>
  <c r="R129" i="2"/>
  <c r="Q129" i="2"/>
  <c r="R128" i="2"/>
  <c r="S128" i="2"/>
  <c r="T128" i="2"/>
  <c r="U128" i="2"/>
  <c r="V128" i="2"/>
  <c r="W128" i="2" s="1"/>
  <c r="P128" i="2"/>
  <c r="Q128" i="2"/>
  <c r="S127" i="2"/>
  <c r="Q127" i="2"/>
  <c r="R127" i="2"/>
  <c r="P127" i="2"/>
  <c r="T127" i="2"/>
  <c r="U127" i="2"/>
  <c r="V127" i="2"/>
  <c r="W127" i="2" s="1"/>
  <c r="V126" i="2"/>
  <c r="W126" i="2" s="1"/>
  <c r="S126" i="2"/>
  <c r="P126" i="2"/>
  <c r="Q126" i="2"/>
  <c r="R126" i="2"/>
  <c r="T126" i="2"/>
  <c r="U126" i="2"/>
  <c r="U125" i="2"/>
  <c r="V125" i="2"/>
  <c r="W125" i="2" s="1"/>
  <c r="T125" i="2"/>
  <c r="S125" i="2"/>
  <c r="R125" i="2"/>
  <c r="Q125" i="2"/>
  <c r="P125" i="2"/>
  <c r="U124" i="2"/>
  <c r="T124" i="2"/>
  <c r="S124" i="2"/>
  <c r="P124" i="2"/>
  <c r="R124" i="2"/>
  <c r="V124" i="2"/>
  <c r="W124" i="2" s="1"/>
  <c r="Q124" i="2"/>
  <c r="V123" i="2"/>
  <c r="W123" i="2" s="1"/>
  <c r="P123" i="2"/>
  <c r="Q123" i="2"/>
  <c r="R123" i="2"/>
  <c r="S123" i="2"/>
  <c r="T123" i="2"/>
  <c r="U123" i="2"/>
  <c r="V122" i="2"/>
  <c r="W122" i="2" s="1"/>
  <c r="U122" i="2"/>
  <c r="T122" i="2"/>
  <c r="P122" i="2"/>
  <c r="Q122" i="2"/>
  <c r="R122" i="2"/>
  <c r="S122" i="2"/>
  <c r="S121" i="2"/>
  <c r="R121" i="2"/>
  <c r="Q121" i="2"/>
  <c r="P121" i="2"/>
  <c r="T121" i="2"/>
  <c r="U121" i="2"/>
  <c r="V121" i="2"/>
  <c r="W121" i="2" s="1"/>
  <c r="V120" i="2"/>
  <c r="W120" i="2" s="1"/>
  <c r="U120" i="2"/>
  <c r="S120" i="2"/>
  <c r="R120" i="2"/>
  <c r="P120" i="2"/>
  <c r="Q120" i="2"/>
  <c r="T120" i="2"/>
  <c r="P119" i="2"/>
  <c r="Q119" i="2"/>
  <c r="R119" i="2"/>
  <c r="S119" i="2"/>
  <c r="T119" i="2"/>
  <c r="U119" i="2"/>
  <c r="V119" i="2"/>
  <c r="W119" i="2" s="1"/>
  <c r="U118" i="2"/>
  <c r="T118" i="2"/>
  <c r="S118" i="2"/>
  <c r="R118" i="2"/>
  <c r="Q118" i="2"/>
  <c r="P118" i="2"/>
  <c r="V118" i="2"/>
  <c r="W118" i="2" s="1"/>
  <c r="V117" i="2"/>
  <c r="W117" i="2" s="1"/>
  <c r="U117" i="2"/>
  <c r="T117" i="2"/>
  <c r="S117" i="2"/>
  <c r="R117" i="2"/>
  <c r="Q117" i="2"/>
  <c r="P117" i="2"/>
  <c r="V116" i="2"/>
  <c r="W116" i="2" s="1"/>
  <c r="U116" i="2"/>
  <c r="T116" i="2"/>
  <c r="S116" i="2"/>
  <c r="R116" i="2"/>
  <c r="Q116" i="2"/>
  <c r="P116" i="2"/>
  <c r="V115" i="2"/>
  <c r="W115" i="2" s="1"/>
  <c r="U115" i="2"/>
  <c r="T115" i="2"/>
  <c r="S115" i="2"/>
  <c r="Q115" i="2"/>
  <c r="P115" i="2"/>
  <c r="R115" i="2"/>
  <c r="T114" i="2"/>
  <c r="V114" i="2"/>
  <c r="W114" i="2" s="1"/>
  <c r="U114" i="2"/>
  <c r="S114" i="2"/>
  <c r="R114" i="2"/>
  <c r="Q114" i="2"/>
  <c r="P114" i="2"/>
  <c r="U113" i="2"/>
  <c r="S113" i="2"/>
  <c r="V113" i="2"/>
  <c r="W113" i="2" s="1"/>
  <c r="R113" i="2"/>
  <c r="Q113" i="2"/>
  <c r="P113" i="2"/>
  <c r="T113" i="2"/>
  <c r="T112" i="2"/>
  <c r="S112" i="2"/>
  <c r="R112" i="2"/>
  <c r="Q112" i="2"/>
  <c r="P112" i="2"/>
  <c r="V112" i="2"/>
  <c r="W112" i="2" s="1"/>
  <c r="U112" i="2"/>
  <c r="T111" i="2"/>
  <c r="P111" i="2"/>
  <c r="Q111" i="2"/>
  <c r="V111" i="2"/>
  <c r="W111" i="2" s="1"/>
  <c r="U111" i="2"/>
  <c r="R111" i="2"/>
  <c r="S111" i="2"/>
  <c r="V110" i="2"/>
  <c r="W110" i="2" s="1"/>
  <c r="R110" i="2"/>
  <c r="P110" i="2"/>
  <c r="Q110" i="2"/>
  <c r="S110" i="2"/>
  <c r="T110" i="2"/>
  <c r="U110" i="2"/>
  <c r="U109" i="2"/>
  <c r="V109" i="2"/>
  <c r="W109" i="2" s="1"/>
  <c r="T109" i="2"/>
  <c r="S109" i="2"/>
  <c r="P109" i="2"/>
  <c r="Q109" i="2"/>
  <c r="R109" i="2"/>
  <c r="V108" i="2"/>
  <c r="W108" i="2" s="1"/>
  <c r="U108" i="2"/>
  <c r="T108" i="2"/>
  <c r="S108" i="2"/>
  <c r="R108" i="2"/>
  <c r="P108" i="2"/>
  <c r="Q108" i="2"/>
  <c r="P107" i="2"/>
  <c r="Q107" i="2"/>
  <c r="V107" i="2"/>
  <c r="W107" i="2" s="1"/>
  <c r="U107" i="2"/>
  <c r="T107" i="2"/>
  <c r="S107" i="2"/>
  <c r="R107" i="2"/>
  <c r="V106" i="2"/>
  <c r="W106" i="2" s="1"/>
  <c r="U106" i="2"/>
  <c r="T106" i="2"/>
  <c r="S106" i="2"/>
  <c r="R106" i="2"/>
  <c r="Q106" i="2"/>
  <c r="P106" i="2"/>
  <c r="Q105" i="2"/>
  <c r="R105" i="2"/>
  <c r="S105" i="2"/>
  <c r="T105" i="2"/>
  <c r="V105" i="2"/>
  <c r="W105" i="2" s="1"/>
  <c r="U105" i="2"/>
  <c r="P105" i="2"/>
  <c r="Q104" i="2"/>
  <c r="P104" i="2"/>
  <c r="T104" i="2"/>
  <c r="V104" i="2"/>
  <c r="W104" i="2" s="1"/>
  <c r="U104" i="2"/>
  <c r="S104" i="2"/>
  <c r="R104" i="2"/>
  <c r="T103" i="2"/>
  <c r="U103" i="2"/>
  <c r="P103" i="2"/>
  <c r="V103" i="2"/>
  <c r="W103" i="2" s="1"/>
  <c r="Q103" i="2"/>
  <c r="R103" i="2"/>
  <c r="S103" i="2"/>
  <c r="P102" i="2"/>
  <c r="Q102" i="2"/>
  <c r="R102" i="2"/>
  <c r="S102" i="2"/>
  <c r="V102" i="2"/>
  <c r="W102" i="2" s="1"/>
  <c r="U102" i="2"/>
  <c r="T102" i="2"/>
  <c r="R101" i="2"/>
  <c r="S101" i="2"/>
  <c r="T101" i="2"/>
  <c r="U101" i="2"/>
  <c r="Q101" i="2"/>
  <c r="V101" i="2"/>
  <c r="W101" i="2" s="1"/>
  <c r="P101" i="2"/>
  <c r="Q100" i="2"/>
  <c r="N100" i="2"/>
  <c r="P100" i="2"/>
  <c r="R100" i="2"/>
  <c r="V100" i="2"/>
  <c r="W100" i="2" s="1"/>
  <c r="U100" i="2"/>
  <c r="T100" i="2"/>
  <c r="S99" i="2"/>
  <c r="U99" i="2"/>
  <c r="Q99" i="2"/>
  <c r="V99" i="2"/>
  <c r="W99" i="2" s="1"/>
  <c r="N99" i="2"/>
  <c r="P99" i="2"/>
  <c r="R99" i="2"/>
  <c r="T99" i="2"/>
  <c r="S98" i="2"/>
  <c r="U98" i="2"/>
  <c r="R98" i="2"/>
  <c r="Q98" i="2"/>
  <c r="T98" i="2"/>
  <c r="V98" i="2"/>
  <c r="W98" i="2" s="1"/>
  <c r="N98" i="2"/>
  <c r="P98" i="2"/>
  <c r="V97" i="2"/>
  <c r="W97" i="2" s="1"/>
  <c r="Q97" i="2"/>
  <c r="S97" i="2"/>
  <c r="U97" i="2"/>
  <c r="R97" i="2"/>
  <c r="T97" i="2"/>
  <c r="P97" i="2"/>
  <c r="N97" i="2"/>
  <c r="V96" i="2"/>
  <c r="W96" i="2" s="1"/>
  <c r="T96" i="2"/>
  <c r="S96" i="2"/>
  <c r="P96" i="2"/>
  <c r="R96" i="2"/>
  <c r="Q96" i="2"/>
  <c r="N96" i="2"/>
  <c r="U96" i="2"/>
  <c r="P95" i="2"/>
  <c r="U95" i="2"/>
  <c r="N95" i="2"/>
  <c r="V95" i="2"/>
  <c r="W95" i="2" s="1"/>
  <c r="T95" i="2"/>
  <c r="S95" i="2"/>
  <c r="R95" i="2"/>
  <c r="Q95" i="2"/>
  <c r="Q94" i="2"/>
  <c r="V94" i="2"/>
  <c r="W94" i="2" s="1"/>
  <c r="T94" i="2"/>
  <c r="R94" i="2"/>
  <c r="P94" i="2"/>
  <c r="N94" i="2"/>
  <c r="S94" i="2"/>
  <c r="U94" i="2"/>
  <c r="S93" i="2"/>
  <c r="Q93" i="2"/>
  <c r="P93" i="2"/>
  <c r="R93" i="2"/>
  <c r="T93" i="2"/>
  <c r="V93" i="2"/>
  <c r="W93" i="2" s="1"/>
  <c r="U93" i="2"/>
  <c r="N93" i="2"/>
  <c r="T92" i="2"/>
  <c r="R92" i="2"/>
  <c r="Q92" i="2"/>
  <c r="N92" i="2"/>
  <c r="P92" i="2"/>
  <c r="S92" i="2"/>
  <c r="U92" i="2"/>
  <c r="V92" i="2"/>
  <c r="W92" i="2" s="1"/>
  <c r="T91" i="2"/>
  <c r="V91" i="2"/>
  <c r="W91" i="2" s="1"/>
  <c r="Q91" i="2"/>
  <c r="N91" i="2"/>
  <c r="P91" i="2"/>
  <c r="R91" i="2"/>
  <c r="S91" i="2"/>
  <c r="U91" i="2"/>
  <c r="N90" i="2"/>
  <c r="N89" i="2"/>
  <c r="N88" i="2"/>
  <c r="N87" i="2"/>
  <c r="N86" i="2"/>
  <c r="N85" i="2"/>
  <c r="N84" i="2"/>
  <c r="N83" i="2"/>
  <c r="N82" i="2"/>
  <c r="N81" i="2"/>
  <c r="N80" i="2"/>
  <c r="N79" i="2"/>
  <c r="N78" i="2"/>
  <c r="N77" i="2"/>
  <c r="N66" i="2"/>
  <c r="N65" i="2"/>
  <c r="N63" i="2"/>
  <c r="N62" i="2"/>
  <c r="N61" i="2"/>
  <c r="N60" i="2"/>
  <c r="N59" i="2"/>
  <c r="N58" i="2"/>
  <c r="N57" i="2"/>
  <c r="N56" i="2"/>
  <c r="N55" i="2"/>
  <c r="N54" i="2"/>
  <c r="N53" i="2"/>
  <c r="N52" i="2"/>
  <c r="N51" i="2"/>
  <c r="N50" i="2"/>
  <c r="N48" i="2"/>
  <c r="N45" i="2"/>
  <c r="N44" i="2"/>
  <c r="N43" i="2"/>
  <c r="N42" i="2"/>
  <c r="N41" i="2"/>
  <c r="N39" i="2"/>
  <c r="N38" i="2"/>
  <c r="N37" i="2"/>
  <c r="N36" i="2"/>
  <c r="N35"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K6" i="7" l="1"/>
  <c r="J4" i="7"/>
  <c r="K6" i="10"/>
  <c r="J4" i="10"/>
  <c r="K6" i="8"/>
  <c r="J4" i="8"/>
  <c r="K6" i="9"/>
  <c r="J4" i="9"/>
  <c r="BL7" i="7"/>
  <c r="BL8" i="7"/>
  <c r="BL9" i="7"/>
  <c r="BL10" i="7"/>
  <c r="BL11" i="7"/>
  <c r="BL12" i="7"/>
  <c r="BL13" i="7"/>
  <c r="BL14" i="7"/>
  <c r="BL15" i="7"/>
  <c r="BL16" i="7"/>
  <c r="BL17" i="7"/>
  <c r="BL18" i="7"/>
  <c r="BL19" i="7"/>
  <c r="BL20" i="7"/>
  <c r="BL21" i="7"/>
  <c r="BL22" i="7"/>
  <c r="BL23" i="7"/>
  <c r="BL24" i="7"/>
  <c r="BL25" i="7"/>
  <c r="BL26" i="7"/>
  <c r="BL27" i="7"/>
  <c r="BL28" i="7"/>
  <c r="BL29" i="7"/>
  <c r="BL30" i="7"/>
  <c r="BL31" i="7"/>
  <c r="BL32" i="7"/>
  <c r="BL33" i="7"/>
  <c r="BL34" i="7"/>
  <c r="BL35" i="7"/>
  <c r="BL36" i="7"/>
  <c r="BL7" i="8"/>
  <c r="BL8" i="8"/>
  <c r="BL9" i="8"/>
  <c r="BL10" i="8"/>
  <c r="BL11" i="8"/>
  <c r="BL12" i="8"/>
  <c r="BL13" i="8"/>
  <c r="BL20" i="8"/>
  <c r="BL21" i="8"/>
  <c r="BL22" i="8"/>
  <c r="BL23" i="8"/>
  <c r="BL26" i="8"/>
  <c r="BL27" i="8"/>
  <c r="BL30" i="8"/>
  <c r="BL32" i="8"/>
  <c r="BL33" i="8"/>
  <c r="BL9" i="9"/>
  <c r="BL10" i="9"/>
  <c r="BL11" i="9"/>
  <c r="BL12" i="9"/>
  <c r="BL14" i="9"/>
  <c r="BL19" i="9"/>
  <c r="BL20" i="9"/>
  <c r="BL23" i="9"/>
  <c r="BL24" i="9"/>
  <c r="BL25" i="9"/>
  <c r="BL32" i="9"/>
  <c r="BL33" i="9"/>
  <c r="BL34" i="9"/>
  <c r="BL35" i="9"/>
  <c r="BL7" i="10"/>
  <c r="BL9" i="10"/>
  <c r="BL10" i="10"/>
  <c r="BL11" i="10"/>
  <c r="BL13" i="10"/>
  <c r="BL15" i="10"/>
  <c r="BL16" i="10"/>
  <c r="BL17" i="10"/>
  <c r="BL18" i="10"/>
  <c r="BL19" i="10"/>
  <c r="BL20" i="10"/>
  <c r="BL22" i="10"/>
  <c r="BL26" i="10"/>
  <c r="BL29" i="10"/>
  <c r="BL14" i="8"/>
  <c r="BL15" i="8"/>
  <c r="BL16" i="8"/>
  <c r="BL17" i="8"/>
  <c r="BL18" i="8"/>
  <c r="BL19" i="8"/>
  <c r="BL24" i="8"/>
  <c r="BL25" i="8"/>
  <c r="BL28" i="8"/>
  <c r="BL29" i="8"/>
  <c r="BL31" i="8"/>
  <c r="BL34" i="8"/>
  <c r="BL35" i="8"/>
  <c r="BL36" i="8"/>
  <c r="BL7" i="9"/>
  <c r="BL8" i="9"/>
  <c r="BL13" i="9"/>
  <c r="BL15" i="9"/>
  <c r="BL16" i="9"/>
  <c r="BL17" i="9"/>
  <c r="BL18" i="9"/>
  <c r="BL21" i="9"/>
  <c r="BL22" i="9"/>
  <c r="BL26" i="9"/>
  <c r="BL27" i="9"/>
  <c r="BL28" i="9"/>
  <c r="BL29" i="9"/>
  <c r="BL30" i="9"/>
  <c r="BL31" i="9"/>
  <c r="BL36" i="9"/>
  <c r="BL8" i="10"/>
  <c r="BL12" i="10"/>
  <c r="BL14" i="10"/>
  <c r="BL21" i="10"/>
  <c r="BL23" i="10"/>
  <c r="BL24" i="10"/>
  <c r="BL25" i="10"/>
  <c r="BL27" i="10"/>
  <c r="BL28" i="10"/>
  <c r="BL30" i="10"/>
  <c r="BL31" i="10"/>
  <c r="BL32" i="10"/>
  <c r="BL33" i="10"/>
  <c r="BL34" i="10"/>
  <c r="BL35" i="10"/>
  <c r="BL36" i="10"/>
  <c r="L6" i="7" l="1"/>
  <c r="K4" i="7"/>
  <c r="K5" i="7" s="1"/>
  <c r="J5" i="7"/>
  <c r="L6" i="10"/>
  <c r="K4" i="10"/>
  <c r="K5" i="10" s="1"/>
  <c r="J5" i="10"/>
  <c r="L6" i="8"/>
  <c r="K4" i="8"/>
  <c r="K5" i="8" s="1"/>
  <c r="J5" i="8"/>
  <c r="L6" i="9"/>
  <c r="K4" i="9"/>
  <c r="K5" i="9" s="1"/>
  <c r="J5" i="9"/>
  <c r="Q9" i="3"/>
  <c r="A7" i="7"/>
  <c r="B7" i="7"/>
  <c r="C7" i="7"/>
  <c r="D7" i="7"/>
  <c r="E7" i="7"/>
  <c r="G7" i="7"/>
  <c r="H7" i="7"/>
  <c r="Q10" i="3"/>
  <c r="A8" i="7"/>
  <c r="B8" i="7"/>
  <c r="C8" i="7"/>
  <c r="D8" i="7"/>
  <c r="E8" i="7"/>
  <c r="G8" i="7"/>
  <c r="H8" i="7"/>
  <c r="Q11" i="3"/>
  <c r="A9" i="7"/>
  <c r="B9" i="7"/>
  <c r="C9" i="7"/>
  <c r="D9" i="7"/>
  <c r="E9" i="7"/>
  <c r="G9" i="7"/>
  <c r="H9" i="7"/>
  <c r="Q12" i="3"/>
  <c r="A10" i="7"/>
  <c r="B10" i="7"/>
  <c r="C10" i="7"/>
  <c r="D10" i="7"/>
  <c r="E10" i="7"/>
  <c r="G10" i="7"/>
  <c r="H10" i="7"/>
  <c r="Q13" i="3"/>
  <c r="A11" i="7"/>
  <c r="B11" i="7"/>
  <c r="C11" i="7"/>
  <c r="D11" i="7"/>
  <c r="F11" i="7" s="1"/>
  <c r="BM11" i="7" s="1"/>
  <c r="I11" i="7" s="1"/>
  <c r="E11" i="7"/>
  <c r="G11" i="7"/>
  <c r="H11" i="7"/>
  <c r="Q14" i="3"/>
  <c r="A12" i="7"/>
  <c r="B12" i="7"/>
  <c r="C12" i="7"/>
  <c r="D12" i="7"/>
  <c r="E12" i="7"/>
  <c r="G12" i="7"/>
  <c r="H12" i="7"/>
  <c r="Q15" i="3"/>
  <c r="A13" i="7"/>
  <c r="B13" i="7"/>
  <c r="C13" i="7"/>
  <c r="D13" i="7"/>
  <c r="F13" i="7" s="1"/>
  <c r="BM13" i="7" s="1"/>
  <c r="I13" i="7" s="1"/>
  <c r="E13" i="7"/>
  <c r="G13" i="7"/>
  <c r="H13" i="7"/>
  <c r="Q16" i="3"/>
  <c r="A14" i="7"/>
  <c r="B14" i="7"/>
  <c r="C14" i="7"/>
  <c r="D14" i="7"/>
  <c r="E14" i="7"/>
  <c r="G14" i="7"/>
  <c r="H14" i="7"/>
  <c r="Q17" i="3"/>
  <c r="A15" i="7"/>
  <c r="B15" i="7"/>
  <c r="C15" i="7"/>
  <c r="D15" i="7"/>
  <c r="F15" i="7" s="1"/>
  <c r="BM15" i="7" s="1"/>
  <c r="I15" i="7" s="1"/>
  <c r="E15" i="7"/>
  <c r="G15" i="7"/>
  <c r="H15" i="7"/>
  <c r="Q18" i="3"/>
  <c r="A16" i="7"/>
  <c r="B16" i="7"/>
  <c r="C16" i="7"/>
  <c r="D16" i="7"/>
  <c r="F16" i="7" s="1"/>
  <c r="BM16" i="7" s="1"/>
  <c r="I16" i="7" s="1"/>
  <c r="E16" i="7"/>
  <c r="G16" i="7"/>
  <c r="H16" i="7"/>
  <c r="Q19" i="3"/>
  <c r="A17" i="7"/>
  <c r="B17" i="7"/>
  <c r="C17" i="7"/>
  <c r="D17" i="7"/>
  <c r="G49" i="3" s="1"/>
  <c r="E17" i="7"/>
  <c r="G17" i="7"/>
  <c r="H17" i="7"/>
  <c r="Q20" i="3"/>
  <c r="A18" i="7"/>
  <c r="B18" i="7"/>
  <c r="C18" i="7"/>
  <c r="J49" i="3" s="1"/>
  <c r="D18" i="7"/>
  <c r="E18" i="7"/>
  <c r="G18" i="7"/>
  <c r="H18" i="7"/>
  <c r="Q21" i="3"/>
  <c r="A19" i="7"/>
  <c r="B19" i="7"/>
  <c r="C19" i="7"/>
  <c r="D19" i="7"/>
  <c r="C60" i="3" s="1"/>
  <c r="E19" i="7"/>
  <c r="G19" i="7"/>
  <c r="H19" i="7"/>
  <c r="Q22" i="3"/>
  <c r="A20" i="7"/>
  <c r="B20" i="7"/>
  <c r="C20" i="7"/>
  <c r="F60" i="3" s="1"/>
  <c r="D20" i="7"/>
  <c r="E20" i="7"/>
  <c r="G20" i="7"/>
  <c r="H20" i="7"/>
  <c r="Q23" i="3"/>
  <c r="A21" i="7"/>
  <c r="B21" i="7"/>
  <c r="C21" i="7"/>
  <c r="J60" i="3" s="1"/>
  <c r="D21" i="7"/>
  <c r="E21" i="7"/>
  <c r="G21" i="7"/>
  <c r="H21" i="7"/>
  <c r="Q24" i="3"/>
  <c r="A22" i="7"/>
  <c r="B22" i="7"/>
  <c r="C22" i="7"/>
  <c r="D22" i="7"/>
  <c r="C71" i="3" s="1"/>
  <c r="E22" i="7"/>
  <c r="G22" i="7"/>
  <c r="H22" i="7"/>
  <c r="Q25" i="3"/>
  <c r="A23" i="7"/>
  <c r="B23" i="7"/>
  <c r="C23" i="7"/>
  <c r="D23" i="7"/>
  <c r="F23" i="7" s="1"/>
  <c r="E23" i="7"/>
  <c r="G23" i="7"/>
  <c r="S46" i="2" s="1"/>
  <c r="H23" i="7"/>
  <c r="T46" i="2" s="1"/>
  <c r="Q26" i="3"/>
  <c r="A24" i="7"/>
  <c r="B24" i="7"/>
  <c r="C24" i="7"/>
  <c r="D24" i="7"/>
  <c r="E24" i="7"/>
  <c r="G24" i="7"/>
  <c r="S47" i="2" s="1"/>
  <c r="H24" i="7"/>
  <c r="T47" i="2" s="1"/>
  <c r="Q27" i="3"/>
  <c r="A25" i="7"/>
  <c r="B25" i="7"/>
  <c r="C25" i="7"/>
  <c r="D25" i="7"/>
  <c r="E25" i="7"/>
  <c r="G25" i="7"/>
  <c r="S48" i="2" s="1"/>
  <c r="H25" i="7"/>
  <c r="T48" i="2" s="1"/>
  <c r="Q28" i="3"/>
  <c r="A26" i="7"/>
  <c r="B26" i="7"/>
  <c r="C26" i="7"/>
  <c r="D26" i="7"/>
  <c r="E26" i="7"/>
  <c r="G26" i="7"/>
  <c r="S49" i="2" s="1"/>
  <c r="H26" i="7"/>
  <c r="T49" i="2" s="1"/>
  <c r="Q29" i="3"/>
  <c r="A27" i="7"/>
  <c r="B27" i="7"/>
  <c r="C27" i="7"/>
  <c r="D27" i="7"/>
  <c r="E27" i="7"/>
  <c r="G27" i="7"/>
  <c r="S50" i="2" s="1"/>
  <c r="H27" i="7"/>
  <c r="T50" i="2" s="1"/>
  <c r="Q30" i="3"/>
  <c r="A28" i="7"/>
  <c r="B28" i="7"/>
  <c r="C28" i="7"/>
  <c r="D28" i="7"/>
  <c r="E28" i="7"/>
  <c r="G28" i="7"/>
  <c r="S51" i="2" s="1"/>
  <c r="H28" i="7"/>
  <c r="T51" i="2" s="1"/>
  <c r="Q31" i="3"/>
  <c r="A29" i="7"/>
  <c r="B29" i="7"/>
  <c r="C29" i="7"/>
  <c r="D29" i="7"/>
  <c r="E29" i="7"/>
  <c r="G29" i="7"/>
  <c r="S52" i="2" s="1"/>
  <c r="H29" i="7"/>
  <c r="T52" i="2" s="1"/>
  <c r="Q32" i="3"/>
  <c r="A30" i="7"/>
  <c r="B30" i="7"/>
  <c r="C30" i="7"/>
  <c r="D30" i="7"/>
  <c r="E30" i="7"/>
  <c r="G30" i="7"/>
  <c r="S53" i="2" s="1"/>
  <c r="H30" i="7"/>
  <c r="T53" i="2" s="1"/>
  <c r="BM31" i="7"/>
  <c r="S33" i="3" s="1"/>
  <c r="Q33" i="3"/>
  <c r="A31" i="7"/>
  <c r="B31" i="7"/>
  <c r="C31" i="7"/>
  <c r="B104" i="3" s="1"/>
  <c r="D31" i="7"/>
  <c r="C104" i="3" s="1"/>
  <c r="E31" i="7"/>
  <c r="F31" i="7"/>
  <c r="D104" i="3" s="1"/>
  <c r="G31" i="7"/>
  <c r="H31" i="7"/>
  <c r="I31" i="7"/>
  <c r="B105" i="3" s="1"/>
  <c r="BM32" i="7"/>
  <c r="S34" i="3" s="1"/>
  <c r="Q34" i="3"/>
  <c r="A32" i="7"/>
  <c r="B32" i="7"/>
  <c r="C32" i="7"/>
  <c r="F104" i="3" s="1"/>
  <c r="D32" i="7"/>
  <c r="G104" i="3" s="1"/>
  <c r="E32" i="7"/>
  <c r="F32" i="7"/>
  <c r="H104" i="3" s="1"/>
  <c r="G32" i="7"/>
  <c r="H32" i="7"/>
  <c r="I32" i="7"/>
  <c r="F105" i="3" s="1"/>
  <c r="BM33" i="7"/>
  <c r="S35" i="3" s="1"/>
  <c r="Q35" i="3"/>
  <c r="A33" i="7"/>
  <c r="B33" i="7"/>
  <c r="C33" i="7"/>
  <c r="J104" i="3" s="1"/>
  <c r="D33" i="7"/>
  <c r="K104" i="3" s="1"/>
  <c r="E33" i="7"/>
  <c r="F33" i="7"/>
  <c r="L104" i="3" s="1"/>
  <c r="G33" i="7"/>
  <c r="H33" i="7"/>
  <c r="I33" i="7"/>
  <c r="J105" i="3" s="1"/>
  <c r="BM34" i="7"/>
  <c r="S36" i="3" s="1"/>
  <c r="Q36" i="3"/>
  <c r="A34" i="7"/>
  <c r="B34" i="7"/>
  <c r="C34" i="7"/>
  <c r="B115" i="3" s="1"/>
  <c r="D34" i="7"/>
  <c r="C115" i="3" s="1"/>
  <c r="E34" i="7"/>
  <c r="F34" i="7"/>
  <c r="D115" i="3" s="1"/>
  <c r="G34" i="7"/>
  <c r="H34" i="7"/>
  <c r="I34" i="7"/>
  <c r="B116" i="3" s="1"/>
  <c r="BM35" i="7"/>
  <c r="S37" i="3" s="1"/>
  <c r="Q37" i="3"/>
  <c r="A35" i="7"/>
  <c r="B35" i="7"/>
  <c r="C35" i="7"/>
  <c r="F115" i="3" s="1"/>
  <c r="D35" i="7"/>
  <c r="G115" i="3" s="1"/>
  <c r="E35" i="7"/>
  <c r="F35" i="7"/>
  <c r="H115" i="3" s="1"/>
  <c r="G35" i="7"/>
  <c r="H35" i="7"/>
  <c r="I35" i="7"/>
  <c r="F116" i="3" s="1"/>
  <c r="BM36" i="7"/>
  <c r="S38" i="3" s="1"/>
  <c r="Q38" i="3"/>
  <c r="A36" i="7"/>
  <c r="B36" i="7"/>
  <c r="C36" i="7"/>
  <c r="J115" i="3" s="1"/>
  <c r="D36" i="7"/>
  <c r="K115" i="3" s="1"/>
  <c r="E36" i="7"/>
  <c r="F36" i="7"/>
  <c r="L115" i="3" s="1"/>
  <c r="G36" i="7"/>
  <c r="H36" i="7"/>
  <c r="I36" i="7"/>
  <c r="J116" i="3" s="1"/>
  <c r="Q9" i="4"/>
  <c r="A7" i="8"/>
  <c r="B7" i="8"/>
  <c r="C7" i="8"/>
  <c r="D7" i="8"/>
  <c r="E7" i="8"/>
  <c r="G7" i="8"/>
  <c r="H7" i="8"/>
  <c r="Q10" i="4"/>
  <c r="A8" i="8"/>
  <c r="B8" i="8"/>
  <c r="C8" i="8"/>
  <c r="D8" i="8"/>
  <c r="E8" i="8"/>
  <c r="G8" i="8"/>
  <c r="H8" i="8"/>
  <c r="Q11" i="4"/>
  <c r="A9" i="8"/>
  <c r="B9" i="8"/>
  <c r="C9" i="8"/>
  <c r="D9" i="8"/>
  <c r="E9" i="8"/>
  <c r="G9" i="8"/>
  <c r="H9" i="8"/>
  <c r="Q12" i="4"/>
  <c r="A10" i="8"/>
  <c r="B10" i="8"/>
  <c r="C10" i="8"/>
  <c r="D10" i="8"/>
  <c r="E10" i="8"/>
  <c r="G10" i="8"/>
  <c r="H10" i="8"/>
  <c r="Q13" i="4"/>
  <c r="A11" i="8"/>
  <c r="B11" i="8"/>
  <c r="C11" i="8"/>
  <c r="D11" i="8"/>
  <c r="E11" i="8"/>
  <c r="G11" i="8"/>
  <c r="H11" i="8"/>
  <c r="Q14" i="4"/>
  <c r="A12" i="8"/>
  <c r="B12" i="8"/>
  <c r="C12" i="8"/>
  <c r="D12" i="8"/>
  <c r="E12" i="8"/>
  <c r="G12" i="8"/>
  <c r="H12" i="8"/>
  <c r="Q15" i="4"/>
  <c r="A13" i="8"/>
  <c r="B13" i="8"/>
  <c r="C13" i="8"/>
  <c r="D13" i="8"/>
  <c r="E13" i="8"/>
  <c r="G13" i="8"/>
  <c r="H13" i="8"/>
  <c r="A20" i="8"/>
  <c r="B20" i="8"/>
  <c r="C20" i="8"/>
  <c r="F60" i="4" s="1"/>
  <c r="D20" i="8"/>
  <c r="E20" i="8"/>
  <c r="G20" i="8"/>
  <c r="H20" i="8"/>
  <c r="Q22" i="4"/>
  <c r="A21" i="8"/>
  <c r="B21" i="8"/>
  <c r="C21" i="8"/>
  <c r="D21" i="8"/>
  <c r="K60" i="4" s="1"/>
  <c r="E21" i="8"/>
  <c r="G21" i="8"/>
  <c r="H21" i="8"/>
  <c r="Q23" i="4"/>
  <c r="A22" i="8"/>
  <c r="B22" i="8"/>
  <c r="C22" i="8"/>
  <c r="D22" i="8"/>
  <c r="C71" i="4" s="1"/>
  <c r="E22" i="8"/>
  <c r="G22" i="8"/>
  <c r="H22" i="8"/>
  <c r="Q24" i="4"/>
  <c r="A23" i="8"/>
  <c r="B23" i="8"/>
  <c r="C23" i="8"/>
  <c r="D23" i="8"/>
  <c r="G71" i="4" s="1"/>
  <c r="E23" i="8"/>
  <c r="G23" i="8"/>
  <c r="H23" i="8"/>
  <c r="Q25" i="4"/>
  <c r="C26" i="8"/>
  <c r="D26" i="8"/>
  <c r="G82" i="4" s="1"/>
  <c r="E26" i="8"/>
  <c r="G26" i="8"/>
  <c r="H26" i="8"/>
  <c r="Q28" i="4"/>
  <c r="A26" i="8"/>
  <c r="B26" i="8"/>
  <c r="A27" i="8"/>
  <c r="B27" i="8"/>
  <c r="C27" i="8"/>
  <c r="D27" i="8"/>
  <c r="K82" i="4" s="1"/>
  <c r="E27" i="8"/>
  <c r="G27" i="8"/>
  <c r="H27" i="8"/>
  <c r="Q29" i="4"/>
  <c r="A30" i="8"/>
  <c r="B30" i="8"/>
  <c r="C30" i="8"/>
  <c r="D30" i="8"/>
  <c r="K93" i="4" s="1"/>
  <c r="E30" i="8"/>
  <c r="G30" i="8"/>
  <c r="H30" i="8"/>
  <c r="Q32" i="4"/>
  <c r="A32" i="8"/>
  <c r="B32" i="8"/>
  <c r="C32" i="8"/>
  <c r="F104" i="4" s="1"/>
  <c r="D32" i="8"/>
  <c r="G104" i="4" s="1"/>
  <c r="E32" i="8"/>
  <c r="F32" i="8"/>
  <c r="H104" i="4" s="1"/>
  <c r="G32" i="8"/>
  <c r="H32" i="8"/>
  <c r="I32" i="8"/>
  <c r="F105" i="4" s="1"/>
  <c r="BM32" i="8"/>
  <c r="S34" i="4" s="1"/>
  <c r="Q34" i="4"/>
  <c r="A33" i="8"/>
  <c r="B33" i="8"/>
  <c r="C33" i="8"/>
  <c r="J104" i="4" s="1"/>
  <c r="D33" i="8"/>
  <c r="K104" i="4" s="1"/>
  <c r="E33" i="8"/>
  <c r="F33" i="8"/>
  <c r="L104" i="4" s="1"/>
  <c r="G33" i="8"/>
  <c r="H33" i="8"/>
  <c r="I33" i="8"/>
  <c r="J105" i="4" s="1"/>
  <c r="BM33" i="8"/>
  <c r="S35" i="4" s="1"/>
  <c r="Q35" i="4"/>
  <c r="A9" i="9"/>
  <c r="C9" i="9"/>
  <c r="P76" i="2" s="1"/>
  <c r="E9" i="9"/>
  <c r="G9" i="9"/>
  <c r="S76" i="2" s="1"/>
  <c r="Q11" i="5"/>
  <c r="B9" i="9"/>
  <c r="D9" i="9"/>
  <c r="Q76" i="2" s="1"/>
  <c r="F9" i="9"/>
  <c r="H9" i="9"/>
  <c r="T76" i="2" s="1"/>
  <c r="Q12" i="5"/>
  <c r="A10" i="9"/>
  <c r="B10" i="9"/>
  <c r="C10" i="9"/>
  <c r="P77" i="2" s="1"/>
  <c r="D10" i="9"/>
  <c r="Q77" i="2" s="1"/>
  <c r="E10" i="9"/>
  <c r="F10" i="9"/>
  <c r="G10" i="9"/>
  <c r="S77" i="2" s="1"/>
  <c r="H10" i="9"/>
  <c r="T77" i="2" s="1"/>
  <c r="Q13" i="5"/>
  <c r="A11" i="9"/>
  <c r="B11" i="9"/>
  <c r="C11" i="9"/>
  <c r="P78" i="2" s="1"/>
  <c r="D11" i="9"/>
  <c r="E11" i="9"/>
  <c r="G11" i="9"/>
  <c r="S78" i="2" s="1"/>
  <c r="H11" i="9"/>
  <c r="T78" i="2" s="1"/>
  <c r="B12" i="9"/>
  <c r="C12" i="9"/>
  <c r="P79" i="2" s="1"/>
  <c r="D12" i="9"/>
  <c r="Q79" i="2" s="1"/>
  <c r="E12" i="9"/>
  <c r="F12" i="9"/>
  <c r="R79" i="2" s="1"/>
  <c r="G12" i="9"/>
  <c r="S79" i="2" s="1"/>
  <c r="H12" i="9"/>
  <c r="T79" i="2" s="1"/>
  <c r="BM12" i="9"/>
  <c r="Q14" i="5"/>
  <c r="A12" i="9"/>
  <c r="A14" i="9"/>
  <c r="B14" i="9"/>
  <c r="C14" i="9"/>
  <c r="P81" i="2" s="1"/>
  <c r="D14" i="9"/>
  <c r="Q81" i="2" s="1"/>
  <c r="E14" i="9"/>
  <c r="F14" i="9"/>
  <c r="G14" i="9"/>
  <c r="S81" i="2" s="1"/>
  <c r="H14" i="9"/>
  <c r="T81" i="2" s="1"/>
  <c r="Q16" i="5"/>
  <c r="A19" i="9"/>
  <c r="B19" i="9"/>
  <c r="C19" i="9"/>
  <c r="D19" i="9"/>
  <c r="E19" i="9"/>
  <c r="F19" i="9"/>
  <c r="G19" i="9"/>
  <c r="S86" i="2" s="1"/>
  <c r="H19" i="9"/>
  <c r="T86" i="2" s="1"/>
  <c r="BM19" i="9"/>
  <c r="Q21" i="5"/>
  <c r="B20" i="9"/>
  <c r="D20" i="9"/>
  <c r="E20" i="9"/>
  <c r="G20" i="9"/>
  <c r="S87" i="2" s="1"/>
  <c r="H20" i="9"/>
  <c r="T87" i="2" s="1"/>
  <c r="Q22" i="5"/>
  <c r="A20" i="9"/>
  <c r="C20" i="9"/>
  <c r="A23" i="9"/>
  <c r="B23" i="9"/>
  <c r="C23" i="9"/>
  <c r="D23" i="9"/>
  <c r="F23" i="9" s="1"/>
  <c r="BM23" i="9" s="1"/>
  <c r="E23" i="9"/>
  <c r="G23" i="9"/>
  <c r="S90" i="2" s="1"/>
  <c r="H23" i="9"/>
  <c r="T90" i="2" s="1"/>
  <c r="Q25" i="5"/>
  <c r="A24" i="9"/>
  <c r="B24" i="9"/>
  <c r="C24" i="9"/>
  <c r="J71" i="5" s="1"/>
  <c r="D24" i="9"/>
  <c r="K71" i="5" s="1"/>
  <c r="E24" i="9"/>
  <c r="F24" i="9"/>
  <c r="L71" i="5" s="1"/>
  <c r="G24" i="9"/>
  <c r="H24" i="9"/>
  <c r="I24" i="9"/>
  <c r="J72" i="5" s="1"/>
  <c r="BM24" i="9"/>
  <c r="S26" i="5" s="1"/>
  <c r="Q26" i="5"/>
  <c r="A25" i="9"/>
  <c r="B25" i="9"/>
  <c r="C25" i="9"/>
  <c r="B82" i="5" s="1"/>
  <c r="D25" i="9"/>
  <c r="C82" i="5" s="1"/>
  <c r="E25" i="9"/>
  <c r="F25" i="9"/>
  <c r="D82" i="5" s="1"/>
  <c r="G25" i="9"/>
  <c r="H25" i="9"/>
  <c r="I25" i="9"/>
  <c r="B83" i="5" s="1"/>
  <c r="BM25" i="9"/>
  <c r="S27" i="5" s="1"/>
  <c r="Q27" i="5"/>
  <c r="BM32" i="9"/>
  <c r="S34" i="5" s="1"/>
  <c r="A32" i="9"/>
  <c r="D32" i="9"/>
  <c r="G104" i="5" s="1"/>
  <c r="E32" i="9"/>
  <c r="G32" i="9"/>
  <c r="Q34" i="5"/>
  <c r="B32" i="9"/>
  <c r="C32" i="9"/>
  <c r="F104" i="5" s="1"/>
  <c r="F32" i="9"/>
  <c r="H104" i="5" s="1"/>
  <c r="H32" i="9"/>
  <c r="I32" i="9"/>
  <c r="F105" i="5" s="1"/>
  <c r="D33" i="9"/>
  <c r="K104" i="5" s="1"/>
  <c r="E33" i="9"/>
  <c r="F33" i="9"/>
  <c r="L104" i="5" s="1"/>
  <c r="G33" i="9"/>
  <c r="H33" i="9"/>
  <c r="I33" i="9"/>
  <c r="J105" i="5" s="1"/>
  <c r="BM33" i="9"/>
  <c r="S35" i="5" s="1"/>
  <c r="Q35" i="5"/>
  <c r="A33" i="9"/>
  <c r="B33" i="9"/>
  <c r="C33" i="9"/>
  <c r="J104" i="5" s="1"/>
  <c r="B34" i="9"/>
  <c r="C34" i="9"/>
  <c r="B115" i="5" s="1"/>
  <c r="D34" i="9"/>
  <c r="C115" i="5" s="1"/>
  <c r="E34" i="9"/>
  <c r="F34" i="9"/>
  <c r="D115" i="5" s="1"/>
  <c r="G34" i="9"/>
  <c r="H34" i="9"/>
  <c r="I34" i="9"/>
  <c r="B116" i="5" s="1"/>
  <c r="BM34" i="9"/>
  <c r="S36" i="5" s="1"/>
  <c r="Q36" i="5"/>
  <c r="A34" i="9"/>
  <c r="B35" i="9"/>
  <c r="C35" i="9"/>
  <c r="F115" i="5" s="1"/>
  <c r="D35" i="9"/>
  <c r="G115" i="5" s="1"/>
  <c r="E35" i="9"/>
  <c r="F35" i="9"/>
  <c r="H115" i="5" s="1"/>
  <c r="G35" i="9"/>
  <c r="H35" i="9"/>
  <c r="I35" i="9"/>
  <c r="F116" i="5" s="1"/>
  <c r="BM35" i="9"/>
  <c r="S37" i="5" s="1"/>
  <c r="Q37" i="5"/>
  <c r="A35" i="9"/>
  <c r="A7" i="10"/>
  <c r="B7" i="10"/>
  <c r="C7" i="10"/>
  <c r="P54" i="2" s="1"/>
  <c r="D7" i="10"/>
  <c r="Q54" i="2" s="1"/>
  <c r="E7" i="10"/>
  <c r="G7" i="10"/>
  <c r="S54" i="2" s="1"/>
  <c r="H7" i="10"/>
  <c r="T54" i="2" s="1"/>
  <c r="Q9" i="6"/>
  <c r="A9" i="10"/>
  <c r="C9" i="10"/>
  <c r="P56" i="2" s="1"/>
  <c r="D9" i="10"/>
  <c r="Q56" i="2" s="1"/>
  <c r="E9" i="10"/>
  <c r="F9" i="10"/>
  <c r="R56" i="2" s="1"/>
  <c r="G9" i="10"/>
  <c r="S56" i="2" s="1"/>
  <c r="H9" i="10"/>
  <c r="T56" i="2" s="1"/>
  <c r="BM9" i="10"/>
  <c r="Q11" i="6"/>
  <c r="B9" i="10"/>
  <c r="A10" i="10"/>
  <c r="B10" i="10"/>
  <c r="C10" i="10"/>
  <c r="P57" i="2" s="1"/>
  <c r="D10" i="10"/>
  <c r="Q57" i="2" s="1"/>
  <c r="E10" i="10"/>
  <c r="F10" i="10"/>
  <c r="G10" i="10"/>
  <c r="S57" i="2" s="1"/>
  <c r="H10" i="10"/>
  <c r="T57" i="2" s="1"/>
  <c r="Q12" i="6"/>
  <c r="B11" i="10"/>
  <c r="C11" i="10"/>
  <c r="P58" i="2" s="1"/>
  <c r="D11" i="10"/>
  <c r="E11" i="10"/>
  <c r="G11" i="10"/>
  <c r="S58" i="2" s="1"/>
  <c r="H11" i="10"/>
  <c r="T58" i="2" s="1"/>
  <c r="Q13" i="6"/>
  <c r="A11" i="10"/>
  <c r="A13" i="10"/>
  <c r="B13" i="10"/>
  <c r="C13" i="10"/>
  <c r="P60" i="2" s="1"/>
  <c r="D13" i="10"/>
  <c r="Q60" i="2" s="1"/>
  <c r="E13" i="10"/>
  <c r="F13" i="10"/>
  <c r="R60" i="2" s="1"/>
  <c r="G13" i="10"/>
  <c r="S60" i="2" s="1"/>
  <c r="H13" i="10"/>
  <c r="T60" i="2" s="1"/>
  <c r="BM13" i="10"/>
  <c r="Q15" i="6"/>
  <c r="Q17" i="6"/>
  <c r="A15" i="10"/>
  <c r="B15" i="10"/>
  <c r="C15" i="10"/>
  <c r="P62" i="2" s="1"/>
  <c r="D15" i="10"/>
  <c r="Q62" i="2" s="1"/>
  <c r="E15" i="10"/>
  <c r="F15" i="10"/>
  <c r="G15" i="10"/>
  <c r="S62" i="2" s="1"/>
  <c r="H15" i="10"/>
  <c r="T62" i="2" s="1"/>
  <c r="Q18" i="6"/>
  <c r="A16" i="10"/>
  <c r="B16" i="10"/>
  <c r="C16" i="10"/>
  <c r="P63" i="2" s="1"/>
  <c r="D16" i="10"/>
  <c r="E16" i="10"/>
  <c r="G16" i="10"/>
  <c r="S63" i="2" s="1"/>
  <c r="H16" i="10"/>
  <c r="T63" i="2" s="1"/>
  <c r="Q19" i="6"/>
  <c r="A17" i="10"/>
  <c r="B17" i="10"/>
  <c r="C17" i="10"/>
  <c r="D17" i="10"/>
  <c r="E17" i="10"/>
  <c r="F17" i="10"/>
  <c r="G17" i="10"/>
  <c r="S64" i="2" s="1"/>
  <c r="H17" i="10"/>
  <c r="T64" i="2" s="1"/>
  <c r="Q20" i="6"/>
  <c r="A18" i="10"/>
  <c r="B18" i="10"/>
  <c r="C18" i="10"/>
  <c r="D18" i="10"/>
  <c r="F18" i="10" s="1"/>
  <c r="E18" i="10"/>
  <c r="G18" i="10"/>
  <c r="S65" i="2" s="1"/>
  <c r="H18" i="10"/>
  <c r="T65" i="2" s="1"/>
  <c r="Q21" i="6"/>
  <c r="A19" i="10"/>
  <c r="B19" i="10"/>
  <c r="C19" i="10"/>
  <c r="D19" i="10"/>
  <c r="E19" i="10"/>
  <c r="F19" i="10"/>
  <c r="G19" i="10"/>
  <c r="S66" i="2" s="1"/>
  <c r="H19" i="10"/>
  <c r="T66" i="2" s="1"/>
  <c r="Q22" i="6"/>
  <c r="A20" i="10"/>
  <c r="B20" i="10"/>
  <c r="C20" i="10"/>
  <c r="D20" i="10"/>
  <c r="E20" i="10"/>
  <c r="G20" i="10"/>
  <c r="S67" i="2" s="1"/>
  <c r="H20" i="10"/>
  <c r="T67" i="2" s="1"/>
  <c r="A22" i="10"/>
  <c r="B22" i="10"/>
  <c r="C22" i="10"/>
  <c r="D22" i="10"/>
  <c r="E22" i="10"/>
  <c r="F22" i="10"/>
  <c r="G22" i="10"/>
  <c r="S69" i="2" s="1"/>
  <c r="H22" i="10"/>
  <c r="T69" i="2" s="1"/>
  <c r="Q24" i="6"/>
  <c r="A26" i="10"/>
  <c r="B26" i="10"/>
  <c r="C26" i="10"/>
  <c r="D26" i="10"/>
  <c r="F26" i="10" s="1"/>
  <c r="BM26" i="10" s="1"/>
  <c r="E26" i="10"/>
  <c r="G26" i="10"/>
  <c r="S73" i="2" s="1"/>
  <c r="H26" i="10"/>
  <c r="T73" i="2" s="1"/>
  <c r="Q28" i="6"/>
  <c r="A29" i="10"/>
  <c r="B29" i="10"/>
  <c r="C29" i="10"/>
  <c r="F93" i="6" s="1"/>
  <c r="D29" i="10"/>
  <c r="G93" i="6" s="1"/>
  <c r="E29" i="10"/>
  <c r="F29" i="10"/>
  <c r="H93" i="6" s="1"/>
  <c r="G29" i="10"/>
  <c r="H29" i="10"/>
  <c r="I29" i="10"/>
  <c r="F94" i="6" s="1"/>
  <c r="BM29" i="10"/>
  <c r="S31" i="6" s="1"/>
  <c r="Q31" i="6"/>
  <c r="Q16" i="4"/>
  <c r="A14" i="8"/>
  <c r="B14" i="8"/>
  <c r="C14" i="8"/>
  <c r="E14" i="8"/>
  <c r="G14" i="8"/>
  <c r="D14" i="8"/>
  <c r="H14" i="8"/>
  <c r="Q17" i="4"/>
  <c r="A15" i="8"/>
  <c r="B15" i="8"/>
  <c r="C15" i="8"/>
  <c r="D15" i="8"/>
  <c r="E15" i="8"/>
  <c r="G15" i="8"/>
  <c r="H15" i="8"/>
  <c r="Q18" i="4"/>
  <c r="A16" i="8"/>
  <c r="B16" i="8"/>
  <c r="C16" i="8"/>
  <c r="D16" i="8"/>
  <c r="E16" i="8"/>
  <c r="G16" i="8"/>
  <c r="H16" i="8"/>
  <c r="Q19" i="4"/>
  <c r="A17" i="8"/>
  <c r="B17" i="8"/>
  <c r="C17" i="8"/>
  <c r="F49" i="4" s="1"/>
  <c r="D17" i="8"/>
  <c r="E17" i="8"/>
  <c r="G17" i="8"/>
  <c r="H17" i="8"/>
  <c r="Q20" i="4"/>
  <c r="A18" i="8"/>
  <c r="B18" i="8"/>
  <c r="C18" i="8"/>
  <c r="J49" i="4" s="1"/>
  <c r="D18" i="8"/>
  <c r="E18" i="8"/>
  <c r="G18" i="8"/>
  <c r="H18" i="8"/>
  <c r="Q21" i="4"/>
  <c r="G19" i="8"/>
  <c r="H19" i="8"/>
  <c r="A19" i="8"/>
  <c r="B19" i="8"/>
  <c r="C19" i="8"/>
  <c r="B60" i="4" s="1"/>
  <c r="D19" i="8"/>
  <c r="E19" i="8"/>
  <c r="Q26" i="4"/>
  <c r="B24" i="8"/>
  <c r="C24" i="8"/>
  <c r="D24" i="8"/>
  <c r="K71" i="4" s="1"/>
  <c r="E24" i="8"/>
  <c r="G24" i="8"/>
  <c r="H24" i="8"/>
  <c r="A24" i="8"/>
  <c r="Q27" i="4"/>
  <c r="A25" i="8"/>
  <c r="B25" i="8"/>
  <c r="C25" i="8"/>
  <c r="B82" i="4" s="1"/>
  <c r="D25" i="8"/>
  <c r="E25" i="8"/>
  <c r="G25" i="8"/>
  <c r="H25" i="8"/>
  <c r="Q30" i="4"/>
  <c r="A28" i="8"/>
  <c r="B28" i="8"/>
  <c r="C28" i="8"/>
  <c r="D28" i="8"/>
  <c r="C93" i="4" s="1"/>
  <c r="E28" i="8"/>
  <c r="G28" i="8"/>
  <c r="H28" i="8"/>
  <c r="Q31" i="4"/>
  <c r="A29" i="8"/>
  <c r="B29" i="8"/>
  <c r="C29" i="8"/>
  <c r="D29" i="8"/>
  <c r="G93" i="4" s="1"/>
  <c r="E29" i="8"/>
  <c r="G29" i="8"/>
  <c r="H29" i="8"/>
  <c r="Q33" i="4"/>
  <c r="A31" i="8"/>
  <c r="C31" i="8"/>
  <c r="B104" i="4" s="1"/>
  <c r="E31" i="8"/>
  <c r="F31" i="8"/>
  <c r="D104" i="4" s="1"/>
  <c r="G31" i="8"/>
  <c r="H31" i="8"/>
  <c r="I31" i="8"/>
  <c r="B105" i="4" s="1"/>
  <c r="BM31" i="8"/>
  <c r="S33" i="4" s="1"/>
  <c r="B31" i="8"/>
  <c r="D31" i="8"/>
  <c r="C104" i="4" s="1"/>
  <c r="Q36" i="4"/>
  <c r="A34" i="8"/>
  <c r="B34" i="8"/>
  <c r="C34" i="8"/>
  <c r="B115" i="4" s="1"/>
  <c r="D34" i="8"/>
  <c r="C115" i="4" s="1"/>
  <c r="E34" i="8"/>
  <c r="F34" i="8"/>
  <c r="D115" i="4" s="1"/>
  <c r="G34" i="8"/>
  <c r="H34" i="8"/>
  <c r="I34" i="8"/>
  <c r="B116" i="4" s="1"/>
  <c r="BM34" i="8"/>
  <c r="S36" i="4" s="1"/>
  <c r="Q37" i="4"/>
  <c r="A35" i="8"/>
  <c r="B35" i="8"/>
  <c r="C35" i="8"/>
  <c r="F115" i="4" s="1"/>
  <c r="D35" i="8"/>
  <c r="G115" i="4" s="1"/>
  <c r="E35" i="8"/>
  <c r="F35" i="8"/>
  <c r="H115" i="4" s="1"/>
  <c r="G35" i="8"/>
  <c r="H35" i="8"/>
  <c r="I35" i="8"/>
  <c r="F116" i="4" s="1"/>
  <c r="BM35" i="8"/>
  <c r="S37" i="4" s="1"/>
  <c r="BM36" i="8"/>
  <c r="S38" i="4" s="1"/>
  <c r="Q38" i="4"/>
  <c r="B36" i="8"/>
  <c r="D36" i="8"/>
  <c r="K115" i="4" s="1"/>
  <c r="F36" i="8"/>
  <c r="L115" i="4" s="1"/>
  <c r="G36" i="8"/>
  <c r="H36" i="8"/>
  <c r="I36" i="8"/>
  <c r="J116" i="4" s="1"/>
  <c r="A36" i="8"/>
  <c r="C36" i="8"/>
  <c r="J115" i="4" s="1"/>
  <c r="E36" i="8"/>
  <c r="Q9" i="5"/>
  <c r="A7" i="9"/>
  <c r="C7" i="9"/>
  <c r="P74" i="2" s="1"/>
  <c r="D7" i="9"/>
  <c r="Q74" i="2" s="1"/>
  <c r="E7" i="9"/>
  <c r="F7" i="9"/>
  <c r="R74" i="2" s="1"/>
  <c r="G7" i="9"/>
  <c r="S74" i="2" s="1"/>
  <c r="H7" i="9"/>
  <c r="T74" i="2" s="1"/>
  <c r="BM7" i="9"/>
  <c r="B7" i="9"/>
  <c r="Q10" i="5"/>
  <c r="A8" i="9"/>
  <c r="B8" i="9"/>
  <c r="C8" i="9"/>
  <c r="P75" i="2" s="1"/>
  <c r="D8" i="9"/>
  <c r="Q75" i="2" s="1"/>
  <c r="E8" i="9"/>
  <c r="F8" i="9"/>
  <c r="R75" i="2" s="1"/>
  <c r="G8" i="9"/>
  <c r="S75" i="2" s="1"/>
  <c r="H8" i="9"/>
  <c r="T75" i="2" s="1"/>
  <c r="BM8" i="9"/>
  <c r="Q15" i="5"/>
  <c r="A13" i="9"/>
  <c r="B13" i="9"/>
  <c r="C13" i="9"/>
  <c r="P80" i="2" s="1"/>
  <c r="D13" i="9"/>
  <c r="Q80" i="2" s="1"/>
  <c r="E13" i="9"/>
  <c r="G13" i="9"/>
  <c r="S80" i="2" s="1"/>
  <c r="H13" i="9"/>
  <c r="T80" i="2" s="1"/>
  <c r="Q17" i="5"/>
  <c r="B15" i="9"/>
  <c r="C15" i="9"/>
  <c r="P82" i="2" s="1"/>
  <c r="D15" i="9"/>
  <c r="E15" i="9"/>
  <c r="G15" i="9"/>
  <c r="S82" i="2" s="1"/>
  <c r="H15" i="9"/>
  <c r="T82" i="2" s="1"/>
  <c r="A15" i="9"/>
  <c r="Q18" i="5"/>
  <c r="A16" i="9"/>
  <c r="B16" i="9"/>
  <c r="C16" i="9"/>
  <c r="P83" i="2" s="1"/>
  <c r="D16" i="9"/>
  <c r="E16" i="9"/>
  <c r="G16" i="9"/>
  <c r="S83" i="2" s="1"/>
  <c r="H16" i="9"/>
  <c r="T83" i="2" s="1"/>
  <c r="Q19" i="5"/>
  <c r="A17" i="9"/>
  <c r="B17" i="9"/>
  <c r="C17" i="9"/>
  <c r="D17" i="9"/>
  <c r="E17" i="9"/>
  <c r="F17" i="9"/>
  <c r="G17" i="9"/>
  <c r="S84" i="2" s="1"/>
  <c r="H17" i="9"/>
  <c r="T84" i="2" s="1"/>
  <c r="BM17" i="9"/>
  <c r="Q20" i="5"/>
  <c r="B18" i="9"/>
  <c r="D18" i="9"/>
  <c r="E18" i="9"/>
  <c r="G18" i="9"/>
  <c r="S85" i="2" s="1"/>
  <c r="H18" i="9"/>
  <c r="T85" i="2" s="1"/>
  <c r="A18" i="9"/>
  <c r="C18" i="9"/>
  <c r="Q23" i="5"/>
  <c r="A21" i="9"/>
  <c r="B21" i="9"/>
  <c r="C21" i="9"/>
  <c r="D21" i="9"/>
  <c r="E21" i="9"/>
  <c r="G21" i="9"/>
  <c r="S88" i="2" s="1"/>
  <c r="H21" i="9"/>
  <c r="T88" i="2" s="1"/>
  <c r="Q24" i="5"/>
  <c r="A22" i="9"/>
  <c r="B22" i="9"/>
  <c r="C22" i="9"/>
  <c r="D22" i="9"/>
  <c r="E22" i="9"/>
  <c r="G22" i="9"/>
  <c r="S89" i="2" s="1"/>
  <c r="H22" i="9"/>
  <c r="T89" i="2" s="1"/>
  <c r="BM26" i="9"/>
  <c r="S28" i="5" s="1"/>
  <c r="Q28" i="5"/>
  <c r="A26" i="9"/>
  <c r="C26" i="9"/>
  <c r="F82" i="5" s="1"/>
  <c r="E26" i="9"/>
  <c r="G26" i="9"/>
  <c r="I26" i="9"/>
  <c r="F83" i="5" s="1"/>
  <c r="B26" i="9"/>
  <c r="D26" i="9"/>
  <c r="G82" i="5" s="1"/>
  <c r="F26" i="9"/>
  <c r="H82" i="5" s="1"/>
  <c r="H26" i="9"/>
  <c r="Q29" i="5"/>
  <c r="E27" i="9"/>
  <c r="F27" i="9"/>
  <c r="L82" i="5" s="1"/>
  <c r="G27" i="9"/>
  <c r="H27" i="9"/>
  <c r="I27" i="9"/>
  <c r="J83" i="5" s="1"/>
  <c r="BM27" i="9"/>
  <c r="S29" i="5" s="1"/>
  <c r="A27" i="9"/>
  <c r="B27" i="9"/>
  <c r="C27" i="9"/>
  <c r="J82" i="5" s="1"/>
  <c r="D27" i="9"/>
  <c r="K82" i="5" s="1"/>
  <c r="Q30" i="5"/>
  <c r="A28" i="9"/>
  <c r="B28" i="9"/>
  <c r="C28" i="9"/>
  <c r="B93" i="5" s="1"/>
  <c r="D28" i="9"/>
  <c r="C93" i="5" s="1"/>
  <c r="E28" i="9"/>
  <c r="F28" i="9"/>
  <c r="D93" i="5" s="1"/>
  <c r="G28" i="9"/>
  <c r="H28" i="9"/>
  <c r="I28" i="9"/>
  <c r="B94" i="5" s="1"/>
  <c r="BM28" i="9"/>
  <c r="S30" i="5" s="1"/>
  <c r="Q31" i="5"/>
  <c r="A29" i="9"/>
  <c r="B29" i="9"/>
  <c r="C29" i="9"/>
  <c r="F93" i="5" s="1"/>
  <c r="D29" i="9"/>
  <c r="G93" i="5" s="1"/>
  <c r="E29" i="9"/>
  <c r="F29" i="9"/>
  <c r="H93" i="5" s="1"/>
  <c r="G29" i="9"/>
  <c r="H29" i="9"/>
  <c r="I29" i="9"/>
  <c r="F94" i="5" s="1"/>
  <c r="BM29" i="9"/>
  <c r="S31" i="5" s="1"/>
  <c r="Q32" i="5"/>
  <c r="A30" i="9"/>
  <c r="B30" i="9"/>
  <c r="C30" i="9"/>
  <c r="J93" i="5" s="1"/>
  <c r="D30" i="9"/>
  <c r="K93" i="5" s="1"/>
  <c r="E30" i="9"/>
  <c r="F30" i="9"/>
  <c r="L93" i="5" s="1"/>
  <c r="G30" i="9"/>
  <c r="H30" i="9"/>
  <c r="I30" i="9"/>
  <c r="J94" i="5" s="1"/>
  <c r="BM30" i="9"/>
  <c r="S32" i="5" s="1"/>
  <c r="Q33" i="5"/>
  <c r="A31" i="9"/>
  <c r="B31" i="9"/>
  <c r="C31" i="9"/>
  <c r="B104" i="5" s="1"/>
  <c r="D31" i="9"/>
  <c r="C104" i="5" s="1"/>
  <c r="E31" i="9"/>
  <c r="F31" i="9"/>
  <c r="D104" i="5" s="1"/>
  <c r="G31" i="9"/>
  <c r="H31" i="9"/>
  <c r="I31" i="9"/>
  <c r="B105" i="5" s="1"/>
  <c r="BM31" i="9"/>
  <c r="S33" i="5" s="1"/>
  <c r="BM36" i="9"/>
  <c r="S38" i="5" s="1"/>
  <c r="Q38" i="5"/>
  <c r="A36" i="9"/>
  <c r="B36" i="9"/>
  <c r="D36" i="9"/>
  <c r="K115" i="5" s="1"/>
  <c r="G36" i="9"/>
  <c r="H36" i="9"/>
  <c r="I36" i="9"/>
  <c r="J116" i="5" s="1"/>
  <c r="C36" i="9"/>
  <c r="J115" i="5" s="1"/>
  <c r="E36" i="9"/>
  <c r="F36" i="9"/>
  <c r="L115" i="5" s="1"/>
  <c r="Q10" i="6"/>
  <c r="A8" i="10"/>
  <c r="B8" i="10"/>
  <c r="C8" i="10"/>
  <c r="D8" i="10"/>
  <c r="Q55" i="2" s="1"/>
  <c r="E8" i="10"/>
  <c r="G8" i="10"/>
  <c r="S55" i="2" s="1"/>
  <c r="H8" i="10"/>
  <c r="T55" i="2" s="1"/>
  <c r="Q14" i="6"/>
  <c r="A12" i="10"/>
  <c r="C12" i="10"/>
  <c r="P59" i="2" s="1"/>
  <c r="G12" i="10"/>
  <c r="S59" i="2" s="1"/>
  <c r="H12" i="10"/>
  <c r="T59" i="2" s="1"/>
  <c r="B12" i="10"/>
  <c r="D12" i="10"/>
  <c r="E12" i="10"/>
  <c r="Q16" i="6"/>
  <c r="A14" i="10"/>
  <c r="B14" i="10"/>
  <c r="C14" i="10"/>
  <c r="P61" i="2" s="1"/>
  <c r="D14" i="10"/>
  <c r="Q61" i="2" s="1"/>
  <c r="E14" i="10"/>
  <c r="G14" i="10"/>
  <c r="S61" i="2" s="1"/>
  <c r="H14" i="10"/>
  <c r="T61" i="2" s="1"/>
  <c r="Q23" i="6"/>
  <c r="A21" i="10"/>
  <c r="B21" i="10"/>
  <c r="C21" i="10"/>
  <c r="D21" i="10"/>
  <c r="E21" i="10"/>
  <c r="F21" i="10"/>
  <c r="G21" i="10"/>
  <c r="S68" i="2" s="1"/>
  <c r="H21" i="10"/>
  <c r="T68" i="2" s="1"/>
  <c r="BM21" i="10"/>
  <c r="Q25" i="6"/>
  <c r="A23" i="10"/>
  <c r="B23" i="10"/>
  <c r="C23" i="10"/>
  <c r="D23" i="10"/>
  <c r="E23" i="10"/>
  <c r="G23" i="10"/>
  <c r="S70" i="2" s="1"/>
  <c r="H23" i="10"/>
  <c r="T70" i="2" s="1"/>
  <c r="Q26" i="6"/>
  <c r="A24" i="10"/>
  <c r="B24" i="10"/>
  <c r="C24" i="10"/>
  <c r="D24" i="10"/>
  <c r="E24" i="10"/>
  <c r="G24" i="10"/>
  <c r="S71" i="2" s="1"/>
  <c r="H24" i="10"/>
  <c r="T71" i="2" s="1"/>
  <c r="Q27" i="6"/>
  <c r="B25" i="10"/>
  <c r="C25" i="10"/>
  <c r="D25" i="10"/>
  <c r="E25" i="10"/>
  <c r="F25" i="10"/>
  <c r="G25" i="10"/>
  <c r="S72" i="2" s="1"/>
  <c r="H25" i="10"/>
  <c r="T72" i="2" s="1"/>
  <c r="A25" i="10"/>
  <c r="Q29" i="6"/>
  <c r="A27" i="10"/>
  <c r="B27" i="10"/>
  <c r="C27" i="10"/>
  <c r="J82" i="6" s="1"/>
  <c r="D27" i="10"/>
  <c r="K82" i="6" s="1"/>
  <c r="E27" i="10"/>
  <c r="F27" i="10"/>
  <c r="L82" i="6" s="1"/>
  <c r="G27" i="10"/>
  <c r="H27" i="10"/>
  <c r="I27" i="10"/>
  <c r="J83" i="6" s="1"/>
  <c r="BM27" i="10"/>
  <c r="S29" i="6" s="1"/>
  <c r="BM28" i="10"/>
  <c r="S30" i="6" s="1"/>
  <c r="Q30" i="6"/>
  <c r="B28" i="10"/>
  <c r="D28" i="10"/>
  <c r="C93" i="6" s="1"/>
  <c r="F28" i="10"/>
  <c r="D93" i="6" s="1"/>
  <c r="H28" i="10"/>
  <c r="A28" i="10"/>
  <c r="C28" i="10"/>
  <c r="B93" i="6" s="1"/>
  <c r="E28" i="10"/>
  <c r="G28" i="10"/>
  <c r="I28" i="10"/>
  <c r="B94" i="6" s="1"/>
  <c r="BM30" i="10"/>
  <c r="S32" i="6" s="1"/>
  <c r="Q32" i="6"/>
  <c r="B30" i="10"/>
  <c r="D30" i="10"/>
  <c r="K93" i="6" s="1"/>
  <c r="I30" i="10"/>
  <c r="J94" i="6" s="1"/>
  <c r="A30" i="10"/>
  <c r="C30" i="10"/>
  <c r="J93" i="6" s="1"/>
  <c r="E30" i="10"/>
  <c r="F30" i="10"/>
  <c r="L93" i="6" s="1"/>
  <c r="G30" i="10"/>
  <c r="H30" i="10"/>
  <c r="BM31" i="10"/>
  <c r="S33" i="6" s="1"/>
  <c r="Q33" i="6"/>
  <c r="A31" i="10"/>
  <c r="B31" i="10"/>
  <c r="C31" i="10"/>
  <c r="B104" i="6" s="1"/>
  <c r="D31" i="10"/>
  <c r="C104" i="6" s="1"/>
  <c r="E31" i="10"/>
  <c r="F31" i="10"/>
  <c r="D104" i="6" s="1"/>
  <c r="G31" i="10"/>
  <c r="H31" i="10"/>
  <c r="I31" i="10"/>
  <c r="B105" i="6" s="1"/>
  <c r="BM32" i="10"/>
  <c r="S34" i="6" s="1"/>
  <c r="Q34" i="6"/>
  <c r="A32" i="10"/>
  <c r="B32" i="10"/>
  <c r="C32" i="10"/>
  <c r="F104" i="6" s="1"/>
  <c r="D32" i="10"/>
  <c r="G104" i="6" s="1"/>
  <c r="E32" i="10"/>
  <c r="F32" i="10"/>
  <c r="H104" i="6" s="1"/>
  <c r="G32" i="10"/>
  <c r="H32" i="10"/>
  <c r="I32" i="10"/>
  <c r="F105" i="6" s="1"/>
  <c r="BM33" i="10"/>
  <c r="S35" i="6" s="1"/>
  <c r="Q35" i="6"/>
  <c r="A33" i="10"/>
  <c r="B33" i="10"/>
  <c r="C33" i="10"/>
  <c r="J104" i="6" s="1"/>
  <c r="D33" i="10"/>
  <c r="K104" i="6" s="1"/>
  <c r="E33" i="10"/>
  <c r="F33" i="10"/>
  <c r="L104" i="6" s="1"/>
  <c r="G33" i="10"/>
  <c r="H33" i="10"/>
  <c r="I33" i="10"/>
  <c r="J105" i="6" s="1"/>
  <c r="BM34" i="10"/>
  <c r="S36" i="6" s="1"/>
  <c r="Q36" i="6"/>
  <c r="A34" i="10"/>
  <c r="B34" i="10"/>
  <c r="C34" i="10"/>
  <c r="B115" i="6" s="1"/>
  <c r="D34" i="10"/>
  <c r="C115" i="6" s="1"/>
  <c r="E34" i="10"/>
  <c r="F34" i="10"/>
  <c r="D115" i="6" s="1"/>
  <c r="G34" i="10"/>
  <c r="H34" i="10"/>
  <c r="I34" i="10"/>
  <c r="B116" i="6" s="1"/>
  <c r="BM35" i="10"/>
  <c r="S37" i="6" s="1"/>
  <c r="Q37" i="6"/>
  <c r="A35" i="10"/>
  <c r="B35" i="10"/>
  <c r="C35" i="10"/>
  <c r="F115" i="6" s="1"/>
  <c r="D35" i="10"/>
  <c r="G115" i="6" s="1"/>
  <c r="E35" i="10"/>
  <c r="F35" i="10"/>
  <c r="H115" i="6" s="1"/>
  <c r="G35" i="10"/>
  <c r="H35" i="10"/>
  <c r="I35" i="10"/>
  <c r="F116" i="6" s="1"/>
  <c r="BM36" i="10"/>
  <c r="S38" i="6" s="1"/>
  <c r="Q38" i="6"/>
  <c r="A36" i="10"/>
  <c r="B36" i="10"/>
  <c r="C36" i="10"/>
  <c r="J115" i="6" s="1"/>
  <c r="D36" i="10"/>
  <c r="K115" i="6" s="1"/>
  <c r="E36" i="10"/>
  <c r="F36" i="10"/>
  <c r="L115" i="6" s="1"/>
  <c r="G36" i="10"/>
  <c r="H36" i="10"/>
  <c r="I36" i="10"/>
  <c r="J116" i="6" s="1"/>
  <c r="F7" i="7" l="1"/>
  <c r="BM7" i="7" s="1"/>
  <c r="I7" i="7" s="1"/>
  <c r="F12" i="7"/>
  <c r="F10" i="7"/>
  <c r="Q78" i="2"/>
  <c r="F11" i="9"/>
  <c r="BM9" i="9"/>
  <c r="R76" i="2"/>
  <c r="BM10" i="9"/>
  <c r="R77" i="2"/>
  <c r="BM11" i="9"/>
  <c r="R78" i="2"/>
  <c r="I12" i="9"/>
  <c r="U79" i="2" s="1"/>
  <c r="V79" i="2"/>
  <c r="W79" i="2" s="1"/>
  <c r="BM14" i="9"/>
  <c r="R81" i="2"/>
  <c r="B60" i="5"/>
  <c r="P86" i="2"/>
  <c r="C60" i="5"/>
  <c r="Q86" i="2"/>
  <c r="D60" i="5"/>
  <c r="R86" i="2"/>
  <c r="S21" i="5"/>
  <c r="V86" i="2"/>
  <c r="W86" i="2" s="1"/>
  <c r="I19" i="9"/>
  <c r="G60" i="5"/>
  <c r="Q87" i="2"/>
  <c r="F60" i="5"/>
  <c r="F20" i="9"/>
  <c r="P87" i="2"/>
  <c r="F71" i="5"/>
  <c r="P90" i="2"/>
  <c r="G71" i="5"/>
  <c r="Q90" i="2"/>
  <c r="H71" i="5"/>
  <c r="R90" i="2"/>
  <c r="S25" i="5"/>
  <c r="I23" i="9"/>
  <c r="V90" i="2"/>
  <c r="W90" i="2" s="1"/>
  <c r="I8" i="9"/>
  <c r="U75" i="2" s="1"/>
  <c r="V75" i="2"/>
  <c r="W75" i="2" s="1"/>
  <c r="Q82" i="2"/>
  <c r="F15" i="9"/>
  <c r="L38" i="5" s="1"/>
  <c r="F16" i="9"/>
  <c r="D49" i="5" s="1"/>
  <c r="Q83" i="2"/>
  <c r="F49" i="5"/>
  <c r="P84" i="2"/>
  <c r="G49" i="5"/>
  <c r="Q84" i="2"/>
  <c r="H49" i="5"/>
  <c r="R84" i="2"/>
  <c r="S19" i="5"/>
  <c r="V84" i="2"/>
  <c r="W84" i="2" s="1"/>
  <c r="I17" i="9"/>
  <c r="K49" i="5"/>
  <c r="Q85" i="2"/>
  <c r="J49" i="5"/>
  <c r="F18" i="9"/>
  <c r="P85" i="2"/>
  <c r="J60" i="5"/>
  <c r="F21" i="9"/>
  <c r="P88" i="2"/>
  <c r="K60" i="5"/>
  <c r="Q88" i="2"/>
  <c r="B71" i="5"/>
  <c r="P89" i="2"/>
  <c r="C71" i="5"/>
  <c r="F22" i="9"/>
  <c r="Q89" i="2"/>
  <c r="F9" i="7"/>
  <c r="BM9" i="7" s="1"/>
  <c r="I9" i="7" s="1"/>
  <c r="I7" i="9"/>
  <c r="V74" i="2"/>
  <c r="W74" i="2" s="1"/>
  <c r="R57" i="2"/>
  <c r="BM10" i="10"/>
  <c r="S12" i="6" s="1"/>
  <c r="F14" i="10"/>
  <c r="H38" i="6" s="1"/>
  <c r="I9" i="10"/>
  <c r="V56" i="2"/>
  <c r="W56" i="2" s="1"/>
  <c r="I10" i="10"/>
  <c r="V57" i="2"/>
  <c r="W57" i="2" s="1"/>
  <c r="F11" i="10"/>
  <c r="H27" i="6" s="1"/>
  <c r="Q58" i="2"/>
  <c r="I13" i="10"/>
  <c r="V60" i="2"/>
  <c r="W60" i="2" s="1"/>
  <c r="BM15" i="10"/>
  <c r="S17" i="6" s="1"/>
  <c r="R62" i="2"/>
  <c r="F16" i="10"/>
  <c r="D49" i="6" s="1"/>
  <c r="Q63" i="2"/>
  <c r="F49" i="6"/>
  <c r="P64" i="2"/>
  <c r="G49" i="6"/>
  <c r="Q64" i="2"/>
  <c r="H49" i="6"/>
  <c r="BM17" i="10"/>
  <c r="R64" i="2"/>
  <c r="J49" i="6"/>
  <c r="P65" i="2"/>
  <c r="K49" i="6"/>
  <c r="Q65" i="2"/>
  <c r="L49" i="6"/>
  <c r="R65" i="2"/>
  <c r="BM18" i="10"/>
  <c r="B60" i="6"/>
  <c r="P66" i="2"/>
  <c r="C60" i="6"/>
  <c r="Q66" i="2"/>
  <c r="D60" i="6"/>
  <c r="BM19" i="10"/>
  <c r="R66" i="2"/>
  <c r="F60" i="6"/>
  <c r="P67" i="2"/>
  <c r="G60" i="6"/>
  <c r="F20" i="10"/>
  <c r="Q67" i="2"/>
  <c r="B71" i="6"/>
  <c r="P69" i="2"/>
  <c r="C71" i="6"/>
  <c r="Q69" i="2"/>
  <c r="D71" i="6"/>
  <c r="BM22" i="10"/>
  <c r="R69" i="2"/>
  <c r="F82" i="6"/>
  <c r="P73" i="2"/>
  <c r="G82" i="6"/>
  <c r="Q73" i="2"/>
  <c r="H82" i="6"/>
  <c r="R73" i="2"/>
  <c r="S28" i="6"/>
  <c r="I26" i="10"/>
  <c r="V73" i="2"/>
  <c r="W73" i="2" s="1"/>
  <c r="F8" i="10"/>
  <c r="H16" i="6" s="1"/>
  <c r="P55" i="2"/>
  <c r="F12" i="10"/>
  <c r="L27" i="6" s="1"/>
  <c r="Q59" i="2"/>
  <c r="J60" i="6"/>
  <c r="P68" i="2"/>
  <c r="K60" i="6"/>
  <c r="Q68" i="2"/>
  <c r="L60" i="6"/>
  <c r="R68" i="2"/>
  <c r="S23" i="6"/>
  <c r="I21" i="10"/>
  <c r="V68" i="2"/>
  <c r="W68" i="2" s="1"/>
  <c r="F71" i="6"/>
  <c r="F23" i="10"/>
  <c r="P70" i="2"/>
  <c r="G71" i="6"/>
  <c r="Q70" i="2"/>
  <c r="J71" i="6"/>
  <c r="P71" i="2"/>
  <c r="K71" i="6"/>
  <c r="Q71" i="2"/>
  <c r="F24" i="10"/>
  <c r="B82" i="6"/>
  <c r="P72" i="2"/>
  <c r="C82" i="6"/>
  <c r="Q72" i="2"/>
  <c r="D82" i="6"/>
  <c r="BM25" i="10"/>
  <c r="R72" i="2"/>
  <c r="F30" i="7"/>
  <c r="F28" i="7"/>
  <c r="F24" i="7"/>
  <c r="T37" i="2"/>
  <c r="S37" i="2"/>
  <c r="F29" i="7"/>
  <c r="F8" i="7"/>
  <c r="H16" i="3" s="1"/>
  <c r="T44" i="2"/>
  <c r="B60" i="3"/>
  <c r="F19" i="7"/>
  <c r="R42" i="2" s="1"/>
  <c r="B71" i="3"/>
  <c r="F22" i="7"/>
  <c r="S33" i="2"/>
  <c r="T33" i="2"/>
  <c r="S36" i="2"/>
  <c r="T36" i="2"/>
  <c r="S38" i="2"/>
  <c r="T38" i="2"/>
  <c r="S39" i="2"/>
  <c r="T39" i="2"/>
  <c r="S40" i="2"/>
  <c r="T40" i="2"/>
  <c r="S42" i="2"/>
  <c r="T42" i="2"/>
  <c r="S44" i="2"/>
  <c r="S45" i="2"/>
  <c r="T45" i="2"/>
  <c r="S32" i="2"/>
  <c r="T32" i="2"/>
  <c r="S34" i="2"/>
  <c r="T34" i="2"/>
  <c r="S35" i="2"/>
  <c r="T35" i="2"/>
  <c r="F14" i="7"/>
  <c r="H38" i="3" s="1"/>
  <c r="S43" i="2"/>
  <c r="S41" i="2"/>
  <c r="T41" i="2"/>
  <c r="T43" i="2"/>
  <c r="F49" i="3"/>
  <c r="F17" i="7"/>
  <c r="R40" i="2" s="1"/>
  <c r="K49" i="3"/>
  <c r="F18" i="7"/>
  <c r="R41" i="2" s="1"/>
  <c r="D60" i="3"/>
  <c r="BM19" i="7"/>
  <c r="V42" i="2" s="1"/>
  <c r="W42" i="2" s="1"/>
  <c r="G60" i="3"/>
  <c r="F20" i="7"/>
  <c r="R43" i="2" s="1"/>
  <c r="K60" i="3"/>
  <c r="F21" i="7"/>
  <c r="R44" i="2" s="1"/>
  <c r="F71" i="3"/>
  <c r="P46" i="2"/>
  <c r="G71" i="3"/>
  <c r="Q46" i="2"/>
  <c r="H71" i="3"/>
  <c r="BM23" i="7"/>
  <c r="R46" i="2"/>
  <c r="J71" i="3"/>
  <c r="P47" i="2"/>
  <c r="K71" i="3"/>
  <c r="Q47" i="2"/>
  <c r="B82" i="3"/>
  <c r="F25" i="7"/>
  <c r="P48" i="2"/>
  <c r="C82" i="3"/>
  <c r="Q48" i="2"/>
  <c r="F82" i="3"/>
  <c r="F26" i="7"/>
  <c r="P49" i="2"/>
  <c r="G82" i="3"/>
  <c r="Q49" i="2"/>
  <c r="J82" i="3"/>
  <c r="F27" i="7"/>
  <c r="P50" i="2"/>
  <c r="K82" i="3"/>
  <c r="Q50" i="2"/>
  <c r="B93" i="3"/>
  <c r="P51" i="2"/>
  <c r="C93" i="3"/>
  <c r="Q51" i="2"/>
  <c r="F93" i="3"/>
  <c r="P52" i="2"/>
  <c r="G93" i="3"/>
  <c r="Q52" i="2"/>
  <c r="J93" i="3"/>
  <c r="P53" i="2"/>
  <c r="K93" i="3"/>
  <c r="Q53" i="2"/>
  <c r="S31" i="2"/>
  <c r="T31" i="2"/>
  <c r="T30" i="2"/>
  <c r="S30" i="2"/>
  <c r="F12" i="8"/>
  <c r="L27" i="4" s="1"/>
  <c r="F15" i="8"/>
  <c r="R14" i="2" s="1"/>
  <c r="F8" i="8"/>
  <c r="F93" i="4"/>
  <c r="F29" i="8"/>
  <c r="S29" i="2"/>
  <c r="T29" i="2"/>
  <c r="T23" i="2"/>
  <c r="T25" i="2"/>
  <c r="F16" i="8"/>
  <c r="S25" i="2"/>
  <c r="S26" i="2"/>
  <c r="T26" i="2"/>
  <c r="S27" i="2"/>
  <c r="T27" i="2"/>
  <c r="F11" i="8"/>
  <c r="F13" i="8"/>
  <c r="F7" i="8"/>
  <c r="R6" i="2" s="1"/>
  <c r="S9" i="2"/>
  <c r="T9" i="2"/>
  <c r="S10" i="2"/>
  <c r="T10" i="2"/>
  <c r="S11" i="2"/>
  <c r="T11" i="2"/>
  <c r="S12" i="2"/>
  <c r="T12" i="2"/>
  <c r="S13" i="2"/>
  <c r="S18" i="2"/>
  <c r="S21" i="2"/>
  <c r="T13" i="2"/>
  <c r="S14" i="2"/>
  <c r="T14" i="2"/>
  <c r="S15" i="2"/>
  <c r="T15" i="2"/>
  <c r="S20" i="2"/>
  <c r="T19" i="2"/>
  <c r="S24" i="2"/>
  <c r="T16" i="2"/>
  <c r="S17" i="2"/>
  <c r="F10" i="8"/>
  <c r="S19" i="2"/>
  <c r="S16" i="2"/>
  <c r="T17" i="2"/>
  <c r="F9" i="8"/>
  <c r="T18" i="2"/>
  <c r="T21" i="2"/>
  <c r="S22" i="2"/>
  <c r="S28" i="2"/>
  <c r="F14" i="8"/>
  <c r="T24" i="2"/>
  <c r="T20" i="2"/>
  <c r="T22" i="2"/>
  <c r="T28" i="2"/>
  <c r="S23" i="2"/>
  <c r="G60" i="4"/>
  <c r="F20" i="8"/>
  <c r="R19" i="2" s="1"/>
  <c r="J60" i="4"/>
  <c r="F21" i="8"/>
  <c r="R20" i="2" s="1"/>
  <c r="B71" i="4"/>
  <c r="F22" i="8"/>
  <c r="R21" i="2" s="1"/>
  <c r="F71" i="4"/>
  <c r="F23" i="8"/>
  <c r="R22" i="2" s="1"/>
  <c r="F82" i="4"/>
  <c r="F26" i="8"/>
  <c r="R25" i="2" s="1"/>
  <c r="J82" i="4"/>
  <c r="F27" i="8"/>
  <c r="R26" i="2" s="1"/>
  <c r="J93" i="4"/>
  <c r="F30" i="8"/>
  <c r="R29" i="2" s="1"/>
  <c r="G49" i="4"/>
  <c r="F17" i="8"/>
  <c r="R16" i="2" s="1"/>
  <c r="K49" i="4"/>
  <c r="F18" i="8"/>
  <c r="R17" i="2" s="1"/>
  <c r="C60" i="4"/>
  <c r="F19" i="8"/>
  <c r="R18" i="2" s="1"/>
  <c r="J71" i="4"/>
  <c r="F24" i="8"/>
  <c r="R23" i="2" s="1"/>
  <c r="C82" i="4"/>
  <c r="F25" i="8"/>
  <c r="R24" i="2" s="1"/>
  <c r="B93" i="4"/>
  <c r="F28" i="8"/>
  <c r="R27" i="2" s="1"/>
  <c r="S7" i="2"/>
  <c r="T7" i="2"/>
  <c r="S8" i="2"/>
  <c r="T8" i="2"/>
  <c r="S6" i="2"/>
  <c r="T6" i="2"/>
  <c r="F7" i="10"/>
  <c r="R54" i="2" s="1"/>
  <c r="F13" i="9"/>
  <c r="R80" i="2" s="1"/>
  <c r="M6" i="7"/>
  <c r="L4" i="7"/>
  <c r="M6" i="10"/>
  <c r="L4" i="10"/>
  <c r="M6" i="8"/>
  <c r="L4" i="8"/>
  <c r="M6" i="9"/>
  <c r="L4" i="9"/>
  <c r="S9" i="3"/>
  <c r="R9" i="3"/>
  <c r="B10" i="3"/>
  <c r="C10" i="3"/>
  <c r="B11" i="3"/>
  <c r="C11" i="3"/>
  <c r="D11" i="3"/>
  <c r="B12" i="3"/>
  <c r="C12" i="3"/>
  <c r="D12" i="3"/>
  <c r="B13" i="3"/>
  <c r="B14" i="3"/>
  <c r="B15" i="3"/>
  <c r="C15" i="3"/>
  <c r="D15" i="3"/>
  <c r="B18" i="3"/>
  <c r="B9" i="3"/>
  <c r="P6" i="2"/>
  <c r="H12" i="1"/>
  <c r="G20" i="1"/>
  <c r="J5" i="3"/>
  <c r="B16" i="3"/>
  <c r="G16" i="1"/>
  <c r="Q6" i="2"/>
  <c r="C16" i="3"/>
  <c r="D16" i="3"/>
  <c r="B17" i="3"/>
  <c r="R10" i="3"/>
  <c r="F11" i="3"/>
  <c r="G11" i="3"/>
  <c r="H11" i="3"/>
  <c r="F12" i="3"/>
  <c r="G12" i="3"/>
  <c r="H12" i="3"/>
  <c r="F13" i="3"/>
  <c r="F14" i="3"/>
  <c r="F15" i="3"/>
  <c r="G15" i="3"/>
  <c r="H15" i="3"/>
  <c r="F18" i="3"/>
  <c r="F9" i="3"/>
  <c r="F10" i="3"/>
  <c r="G10" i="3"/>
  <c r="P7" i="2"/>
  <c r="F16" i="3"/>
  <c r="Q7" i="2"/>
  <c r="G16" i="3"/>
  <c r="S11" i="3"/>
  <c r="R11" i="3"/>
  <c r="J12" i="3"/>
  <c r="K12" i="3"/>
  <c r="L12" i="3"/>
  <c r="J13" i="3"/>
  <c r="J14" i="3"/>
  <c r="J15" i="3"/>
  <c r="K15" i="3"/>
  <c r="L15" i="3"/>
  <c r="J18" i="3"/>
  <c r="J9" i="3"/>
  <c r="J10" i="3"/>
  <c r="K10" i="3"/>
  <c r="J11" i="3"/>
  <c r="K11" i="3"/>
  <c r="L11" i="3"/>
  <c r="P8" i="2"/>
  <c r="J16" i="3"/>
  <c r="Q8" i="2"/>
  <c r="K16" i="3"/>
  <c r="L16" i="3"/>
  <c r="J17" i="3"/>
  <c r="S12" i="3"/>
  <c r="R12" i="3"/>
  <c r="B20" i="3"/>
  <c r="B21" i="3"/>
  <c r="C21" i="3"/>
  <c r="B22" i="3"/>
  <c r="C22" i="3"/>
  <c r="D22" i="3"/>
  <c r="B23" i="3"/>
  <c r="C23" i="3"/>
  <c r="D23" i="3"/>
  <c r="B24" i="3"/>
  <c r="B25" i="3"/>
  <c r="B26" i="3"/>
  <c r="C26" i="3"/>
  <c r="D26" i="3"/>
  <c r="B29" i="3"/>
  <c r="P9" i="2"/>
  <c r="B27" i="3"/>
  <c r="Q9" i="2"/>
  <c r="C27" i="3"/>
  <c r="S13" i="3"/>
  <c r="R13" i="3"/>
  <c r="F20" i="3"/>
  <c r="F21" i="3"/>
  <c r="G21" i="3"/>
  <c r="F22" i="3"/>
  <c r="G22" i="3"/>
  <c r="H22" i="3"/>
  <c r="F23" i="3"/>
  <c r="G23" i="3"/>
  <c r="H23" i="3"/>
  <c r="F24" i="3"/>
  <c r="F25" i="3"/>
  <c r="F26" i="3"/>
  <c r="G26" i="3"/>
  <c r="H26" i="3"/>
  <c r="F29" i="3"/>
  <c r="P10" i="2"/>
  <c r="F27" i="3"/>
  <c r="Q10" i="2"/>
  <c r="G27" i="3"/>
  <c r="H27" i="3"/>
  <c r="F28" i="3"/>
  <c r="R14" i="3"/>
  <c r="J20" i="3"/>
  <c r="J21" i="3"/>
  <c r="K21" i="3"/>
  <c r="J22" i="3"/>
  <c r="K22" i="3"/>
  <c r="L22" i="3"/>
  <c r="J23" i="3"/>
  <c r="K23" i="3"/>
  <c r="L23" i="3"/>
  <c r="J24" i="3"/>
  <c r="J25" i="3"/>
  <c r="J26" i="3"/>
  <c r="K26" i="3"/>
  <c r="L26" i="3"/>
  <c r="J29" i="3"/>
  <c r="P11" i="2"/>
  <c r="J27" i="3"/>
  <c r="Q11" i="2"/>
  <c r="K27" i="3"/>
  <c r="L27" i="3"/>
  <c r="S15" i="3"/>
  <c r="R15" i="3"/>
  <c r="B31" i="3"/>
  <c r="B32" i="3"/>
  <c r="C32" i="3"/>
  <c r="B33" i="3"/>
  <c r="C33" i="3"/>
  <c r="D33" i="3"/>
  <c r="B34" i="3"/>
  <c r="C34" i="3"/>
  <c r="D34" i="3"/>
  <c r="B35" i="3"/>
  <c r="B36" i="3"/>
  <c r="B37" i="3"/>
  <c r="C37" i="3"/>
  <c r="D37" i="3"/>
  <c r="B40" i="3"/>
  <c r="P12" i="2"/>
  <c r="B38" i="3"/>
  <c r="Q12" i="2"/>
  <c r="C38" i="3"/>
  <c r="D38" i="3"/>
  <c r="B39" i="3"/>
  <c r="R16" i="3"/>
  <c r="F31" i="3"/>
  <c r="F32" i="3"/>
  <c r="G32" i="3"/>
  <c r="F33" i="3"/>
  <c r="G33" i="3"/>
  <c r="H33" i="3"/>
  <c r="F34" i="3"/>
  <c r="G34" i="3"/>
  <c r="H34" i="3"/>
  <c r="F35" i="3"/>
  <c r="F36" i="3"/>
  <c r="F37" i="3"/>
  <c r="G37" i="3"/>
  <c r="H37" i="3"/>
  <c r="F40" i="3"/>
  <c r="P13" i="2"/>
  <c r="F38" i="3"/>
  <c r="Q13" i="2"/>
  <c r="G38" i="3"/>
  <c r="S17" i="3"/>
  <c r="R17" i="3"/>
  <c r="J31" i="3"/>
  <c r="J32" i="3"/>
  <c r="K32" i="3"/>
  <c r="J33" i="3"/>
  <c r="K33" i="3"/>
  <c r="L33" i="3"/>
  <c r="J34" i="3"/>
  <c r="K34" i="3"/>
  <c r="L34" i="3"/>
  <c r="J35" i="3"/>
  <c r="J36" i="3"/>
  <c r="J37" i="3"/>
  <c r="K37" i="3"/>
  <c r="L37" i="3"/>
  <c r="J40" i="3"/>
  <c r="P14" i="2"/>
  <c r="J38" i="3"/>
  <c r="Q14" i="2"/>
  <c r="K38" i="3"/>
  <c r="L38" i="3"/>
  <c r="J39" i="3"/>
  <c r="S18" i="3"/>
  <c r="R18" i="3"/>
  <c r="B42" i="3"/>
  <c r="B43" i="3"/>
  <c r="C43" i="3"/>
  <c r="B44" i="3"/>
  <c r="C44" i="3"/>
  <c r="D44" i="3"/>
  <c r="B45" i="3"/>
  <c r="C45" i="3"/>
  <c r="D45" i="3"/>
  <c r="B46" i="3"/>
  <c r="B47" i="3"/>
  <c r="B48" i="3"/>
  <c r="C48" i="3"/>
  <c r="D48" i="3"/>
  <c r="B51" i="3"/>
  <c r="P15" i="2"/>
  <c r="B49" i="3"/>
  <c r="Q15" i="2"/>
  <c r="C49" i="3"/>
  <c r="D49" i="3"/>
  <c r="B50" i="3"/>
  <c r="R19" i="3"/>
  <c r="F42" i="3"/>
  <c r="F43" i="3"/>
  <c r="G43" i="3"/>
  <c r="F44" i="3"/>
  <c r="G44" i="3"/>
  <c r="H44" i="3"/>
  <c r="F45" i="3"/>
  <c r="G45" i="3"/>
  <c r="H45" i="3"/>
  <c r="F46" i="3"/>
  <c r="F47" i="3"/>
  <c r="F48" i="3"/>
  <c r="G48" i="3"/>
  <c r="H48" i="3"/>
  <c r="F51" i="3"/>
  <c r="R20" i="3"/>
  <c r="J42" i="3"/>
  <c r="J43" i="3"/>
  <c r="K43" i="3"/>
  <c r="J44" i="3"/>
  <c r="K44" i="3"/>
  <c r="L44" i="3"/>
  <c r="J45" i="3"/>
  <c r="K45" i="3"/>
  <c r="L45" i="3"/>
  <c r="J46" i="3"/>
  <c r="J47" i="3"/>
  <c r="J48" i="3"/>
  <c r="K48" i="3"/>
  <c r="L48" i="3"/>
  <c r="J51" i="3"/>
  <c r="R21" i="3"/>
  <c r="B53" i="3"/>
  <c r="B54" i="3"/>
  <c r="C54" i="3"/>
  <c r="B55" i="3"/>
  <c r="C55" i="3"/>
  <c r="D55" i="3"/>
  <c r="B56" i="3"/>
  <c r="C56" i="3"/>
  <c r="D56" i="3"/>
  <c r="B57" i="3"/>
  <c r="B58" i="3"/>
  <c r="B59" i="3"/>
  <c r="C59" i="3"/>
  <c r="D59" i="3"/>
  <c r="B62" i="3"/>
  <c r="R22" i="3"/>
  <c r="F53" i="3"/>
  <c r="F54" i="3"/>
  <c r="G54" i="3"/>
  <c r="F55" i="3"/>
  <c r="G55" i="3"/>
  <c r="H55" i="3"/>
  <c r="F56" i="3"/>
  <c r="G56" i="3"/>
  <c r="H56" i="3"/>
  <c r="F57" i="3"/>
  <c r="F58" i="3"/>
  <c r="F59" i="3"/>
  <c r="G59" i="3"/>
  <c r="H59" i="3"/>
  <c r="F62" i="3"/>
  <c r="R23" i="3"/>
  <c r="J53" i="3"/>
  <c r="J54" i="3"/>
  <c r="K54" i="3"/>
  <c r="J55" i="3"/>
  <c r="K55" i="3"/>
  <c r="L55" i="3"/>
  <c r="J56" i="3"/>
  <c r="K56" i="3"/>
  <c r="L56" i="3"/>
  <c r="J57" i="3"/>
  <c r="J58" i="3"/>
  <c r="J59" i="3"/>
  <c r="K59" i="3"/>
  <c r="L59" i="3"/>
  <c r="J62" i="3"/>
  <c r="R24" i="3"/>
  <c r="B64" i="3"/>
  <c r="B65" i="3"/>
  <c r="C65" i="3"/>
  <c r="B66" i="3"/>
  <c r="C66" i="3"/>
  <c r="D66" i="3"/>
  <c r="B67" i="3"/>
  <c r="C67" i="3"/>
  <c r="D67" i="3"/>
  <c r="B68" i="3"/>
  <c r="B69" i="3"/>
  <c r="B70" i="3"/>
  <c r="C70" i="3"/>
  <c r="D70" i="3"/>
  <c r="B73" i="3"/>
  <c r="R25" i="3"/>
  <c r="F64" i="3"/>
  <c r="F65" i="3"/>
  <c r="G65" i="3"/>
  <c r="F66" i="3"/>
  <c r="G66" i="3"/>
  <c r="H66" i="3"/>
  <c r="F67" i="3"/>
  <c r="G67" i="3"/>
  <c r="H67" i="3"/>
  <c r="F68" i="3"/>
  <c r="F69" i="3"/>
  <c r="F70" i="3"/>
  <c r="G70" i="3"/>
  <c r="H70" i="3"/>
  <c r="F73" i="3"/>
  <c r="R26" i="3"/>
  <c r="J64" i="3"/>
  <c r="J65" i="3"/>
  <c r="K65" i="3"/>
  <c r="J66" i="3"/>
  <c r="K66" i="3"/>
  <c r="L66" i="3"/>
  <c r="J67" i="3"/>
  <c r="K67" i="3"/>
  <c r="L67" i="3"/>
  <c r="J68" i="3"/>
  <c r="J69" i="3"/>
  <c r="J70" i="3"/>
  <c r="K70" i="3"/>
  <c r="L70" i="3"/>
  <c r="J73" i="3"/>
  <c r="R27" i="3"/>
  <c r="B75" i="3"/>
  <c r="B76" i="3"/>
  <c r="C76" i="3"/>
  <c r="B77" i="3"/>
  <c r="C77" i="3"/>
  <c r="D77" i="3"/>
  <c r="B78" i="3"/>
  <c r="C78" i="3"/>
  <c r="D78" i="3"/>
  <c r="B79" i="3"/>
  <c r="B80" i="3"/>
  <c r="B81" i="3"/>
  <c r="C81" i="3"/>
  <c r="D81" i="3"/>
  <c r="B84" i="3"/>
  <c r="R28" i="3"/>
  <c r="F75" i="3"/>
  <c r="F76" i="3"/>
  <c r="G76" i="3"/>
  <c r="F77" i="3"/>
  <c r="G77" i="3"/>
  <c r="H77" i="3"/>
  <c r="F78" i="3"/>
  <c r="G78" i="3"/>
  <c r="H78" i="3"/>
  <c r="F79" i="3"/>
  <c r="F80" i="3"/>
  <c r="F81" i="3"/>
  <c r="G81" i="3"/>
  <c r="H81" i="3"/>
  <c r="F84" i="3"/>
  <c r="R29" i="3"/>
  <c r="J75" i="3"/>
  <c r="J76" i="3"/>
  <c r="K76" i="3"/>
  <c r="J77" i="3"/>
  <c r="K77" i="3"/>
  <c r="L77" i="3"/>
  <c r="J78" i="3"/>
  <c r="K78" i="3"/>
  <c r="L78" i="3"/>
  <c r="J79" i="3"/>
  <c r="J80" i="3"/>
  <c r="J81" i="3"/>
  <c r="K81" i="3"/>
  <c r="L81" i="3"/>
  <c r="J84" i="3"/>
  <c r="R30" i="3"/>
  <c r="B86" i="3"/>
  <c r="B87" i="3"/>
  <c r="C87" i="3"/>
  <c r="B88" i="3"/>
  <c r="C88" i="3"/>
  <c r="D88" i="3"/>
  <c r="B89" i="3"/>
  <c r="C89" i="3"/>
  <c r="D89" i="3"/>
  <c r="B90" i="3"/>
  <c r="B91" i="3"/>
  <c r="B92" i="3"/>
  <c r="C92" i="3"/>
  <c r="D92" i="3"/>
  <c r="B95" i="3"/>
  <c r="R31" i="3"/>
  <c r="F86" i="3"/>
  <c r="F87" i="3"/>
  <c r="G87" i="3"/>
  <c r="F88" i="3"/>
  <c r="G88" i="3"/>
  <c r="H88" i="3"/>
  <c r="F89" i="3"/>
  <c r="G89" i="3"/>
  <c r="H89" i="3"/>
  <c r="F90" i="3"/>
  <c r="F91" i="3"/>
  <c r="F92" i="3"/>
  <c r="G92" i="3"/>
  <c r="H92" i="3"/>
  <c r="F95" i="3"/>
  <c r="R32" i="3"/>
  <c r="J86" i="3"/>
  <c r="J87" i="3"/>
  <c r="K87" i="3"/>
  <c r="J88" i="3"/>
  <c r="K88" i="3"/>
  <c r="L88" i="3"/>
  <c r="J89" i="3"/>
  <c r="K89" i="3"/>
  <c r="L89" i="3"/>
  <c r="J90" i="3"/>
  <c r="J91" i="3"/>
  <c r="J92" i="3"/>
  <c r="K92" i="3"/>
  <c r="L92" i="3"/>
  <c r="J95" i="3"/>
  <c r="R33" i="3"/>
  <c r="B97" i="3"/>
  <c r="B98" i="3"/>
  <c r="C98" i="3"/>
  <c r="B99" i="3"/>
  <c r="C99" i="3"/>
  <c r="D99" i="3"/>
  <c r="B100" i="3"/>
  <c r="C100" i="3"/>
  <c r="D100" i="3"/>
  <c r="B101" i="3"/>
  <c r="B102" i="3"/>
  <c r="B103" i="3"/>
  <c r="C103" i="3"/>
  <c r="D103" i="3"/>
  <c r="B106" i="3"/>
  <c r="R34" i="3"/>
  <c r="F97" i="3"/>
  <c r="F98" i="3"/>
  <c r="G98" i="3"/>
  <c r="F99" i="3"/>
  <c r="G99" i="3"/>
  <c r="H99" i="3"/>
  <c r="F100" i="3"/>
  <c r="G100" i="3"/>
  <c r="H100" i="3"/>
  <c r="F101" i="3"/>
  <c r="F102" i="3"/>
  <c r="F103" i="3"/>
  <c r="G103" i="3"/>
  <c r="H103" i="3"/>
  <c r="F106" i="3"/>
  <c r="R35" i="3"/>
  <c r="J97" i="3"/>
  <c r="J98" i="3"/>
  <c r="K98" i="3"/>
  <c r="J99" i="3"/>
  <c r="K99" i="3"/>
  <c r="L99" i="3"/>
  <c r="J100" i="3"/>
  <c r="K100" i="3"/>
  <c r="L100" i="3"/>
  <c r="J101" i="3"/>
  <c r="J102" i="3"/>
  <c r="J103" i="3"/>
  <c r="K103" i="3"/>
  <c r="L103" i="3"/>
  <c r="J106" i="3"/>
  <c r="R36" i="3"/>
  <c r="B108" i="3"/>
  <c r="B109" i="3"/>
  <c r="C109" i="3"/>
  <c r="B110" i="3"/>
  <c r="C110" i="3"/>
  <c r="D110" i="3"/>
  <c r="B111" i="3"/>
  <c r="C111" i="3"/>
  <c r="D111" i="3"/>
  <c r="B112" i="3"/>
  <c r="B113" i="3"/>
  <c r="B114" i="3"/>
  <c r="C114" i="3"/>
  <c r="D114" i="3"/>
  <c r="B117" i="3"/>
  <c r="R37" i="3"/>
  <c r="F108" i="3"/>
  <c r="F109" i="3"/>
  <c r="G109" i="3"/>
  <c r="F110" i="3"/>
  <c r="G110" i="3"/>
  <c r="H110" i="3"/>
  <c r="F111" i="3"/>
  <c r="G111" i="3"/>
  <c r="H111" i="3"/>
  <c r="F112" i="3"/>
  <c r="F113" i="3"/>
  <c r="F114" i="3"/>
  <c r="G114" i="3"/>
  <c r="H114" i="3"/>
  <c r="F117" i="3"/>
  <c r="R38" i="3"/>
  <c r="J108" i="3"/>
  <c r="J109" i="3"/>
  <c r="K109" i="3"/>
  <c r="J110" i="3"/>
  <c r="K110" i="3"/>
  <c r="L110" i="3"/>
  <c r="J111" i="3"/>
  <c r="K111" i="3"/>
  <c r="L111" i="3"/>
  <c r="J112" i="3"/>
  <c r="J113" i="3"/>
  <c r="J114" i="3"/>
  <c r="K114" i="3"/>
  <c r="L114" i="3"/>
  <c r="J117" i="3"/>
  <c r="R9" i="4"/>
  <c r="B10" i="4"/>
  <c r="C10" i="4"/>
  <c r="B11" i="4"/>
  <c r="C11" i="4"/>
  <c r="D11" i="4"/>
  <c r="B12" i="4"/>
  <c r="C12" i="4"/>
  <c r="D12" i="4"/>
  <c r="B13" i="4"/>
  <c r="B14" i="4"/>
  <c r="B15" i="4"/>
  <c r="C15" i="4"/>
  <c r="D15" i="4"/>
  <c r="B18" i="4"/>
  <c r="B9" i="4"/>
  <c r="P16" i="2"/>
  <c r="G17" i="1"/>
  <c r="J5" i="4"/>
  <c r="B16" i="4"/>
  <c r="Q16" i="2"/>
  <c r="C16" i="4"/>
  <c r="R10" i="4"/>
  <c r="F11" i="4"/>
  <c r="G11" i="4"/>
  <c r="H11" i="4"/>
  <c r="F12" i="4"/>
  <c r="G12" i="4"/>
  <c r="H12" i="4"/>
  <c r="F13" i="4"/>
  <c r="F14" i="4"/>
  <c r="F15" i="4"/>
  <c r="G15" i="4"/>
  <c r="H15" i="4"/>
  <c r="F18" i="4"/>
  <c r="F9" i="4"/>
  <c r="F10" i="4"/>
  <c r="G10" i="4"/>
  <c r="P17" i="2"/>
  <c r="F16" i="4"/>
  <c r="Q17" i="2"/>
  <c r="G16" i="4"/>
  <c r="R11" i="4"/>
  <c r="J12" i="4"/>
  <c r="K12" i="4"/>
  <c r="L12" i="4"/>
  <c r="J13" i="4"/>
  <c r="J14" i="4"/>
  <c r="J15" i="4"/>
  <c r="K15" i="4"/>
  <c r="L15" i="4"/>
  <c r="J18" i="4"/>
  <c r="J9" i="4"/>
  <c r="J10" i="4"/>
  <c r="K10" i="4"/>
  <c r="J11" i="4"/>
  <c r="K11" i="4"/>
  <c r="L11" i="4"/>
  <c r="P18" i="2"/>
  <c r="J16" i="4"/>
  <c r="Q18" i="2"/>
  <c r="K16" i="4"/>
  <c r="R12" i="4"/>
  <c r="B20" i="4"/>
  <c r="B21" i="4"/>
  <c r="C21" i="4"/>
  <c r="B22" i="4"/>
  <c r="C22" i="4"/>
  <c r="D22" i="4"/>
  <c r="B23" i="4"/>
  <c r="C23" i="4"/>
  <c r="D23" i="4"/>
  <c r="B24" i="4"/>
  <c r="B25" i="4"/>
  <c r="B26" i="4"/>
  <c r="C26" i="4"/>
  <c r="D26" i="4"/>
  <c r="B29" i="4"/>
  <c r="P19" i="2"/>
  <c r="B27" i="4"/>
  <c r="Q19" i="2"/>
  <c r="C27" i="4"/>
  <c r="R13" i="4"/>
  <c r="F20" i="4"/>
  <c r="F21" i="4"/>
  <c r="G21" i="4"/>
  <c r="F22" i="4"/>
  <c r="G22" i="4"/>
  <c r="H22" i="4"/>
  <c r="F23" i="4"/>
  <c r="G23" i="4"/>
  <c r="H23" i="4"/>
  <c r="F24" i="4"/>
  <c r="F25" i="4"/>
  <c r="F26" i="4"/>
  <c r="G26" i="4"/>
  <c r="H26" i="4"/>
  <c r="F29" i="4"/>
  <c r="P20" i="2"/>
  <c r="F27" i="4"/>
  <c r="Q20" i="2"/>
  <c r="G27" i="4"/>
  <c r="R14" i="4"/>
  <c r="J20" i="4"/>
  <c r="J21" i="4"/>
  <c r="K21" i="4"/>
  <c r="J22" i="4"/>
  <c r="K22" i="4"/>
  <c r="L22" i="4"/>
  <c r="J23" i="4"/>
  <c r="K23" i="4"/>
  <c r="L23" i="4"/>
  <c r="J24" i="4"/>
  <c r="J25" i="4"/>
  <c r="J26" i="4"/>
  <c r="K26" i="4"/>
  <c r="L26" i="4"/>
  <c r="J29" i="4"/>
  <c r="P21" i="2"/>
  <c r="J27" i="4"/>
  <c r="Q21" i="2"/>
  <c r="K27" i="4"/>
  <c r="R15" i="4"/>
  <c r="B31" i="4"/>
  <c r="B32" i="4"/>
  <c r="C32" i="4"/>
  <c r="B33" i="4"/>
  <c r="C33" i="4"/>
  <c r="D33" i="4"/>
  <c r="B34" i="4"/>
  <c r="C34" i="4"/>
  <c r="D34" i="4"/>
  <c r="B37" i="4"/>
  <c r="D37" i="4"/>
  <c r="B40" i="4"/>
  <c r="B35" i="4"/>
  <c r="B36" i="4"/>
  <c r="C37" i="4"/>
  <c r="P22" i="2"/>
  <c r="B38" i="4"/>
  <c r="Q22" i="2"/>
  <c r="C38" i="4"/>
  <c r="R22" i="4"/>
  <c r="F54" i="4"/>
  <c r="G55" i="4"/>
  <c r="G56" i="4"/>
  <c r="F57" i="4"/>
  <c r="F59" i="4"/>
  <c r="H59" i="4"/>
  <c r="F53" i="4"/>
  <c r="G54" i="4"/>
  <c r="F55" i="4"/>
  <c r="H55" i="4"/>
  <c r="F56" i="4"/>
  <c r="H56" i="4"/>
  <c r="F58" i="4"/>
  <c r="G59" i="4"/>
  <c r="F62" i="4"/>
  <c r="R23" i="4"/>
  <c r="J53" i="4"/>
  <c r="J54" i="4"/>
  <c r="K55" i="4"/>
  <c r="K56" i="4"/>
  <c r="L56" i="4"/>
  <c r="J58" i="4"/>
  <c r="K59" i="4"/>
  <c r="J62" i="4"/>
  <c r="K54" i="4"/>
  <c r="J55" i="4"/>
  <c r="L55" i="4"/>
  <c r="J56" i="4"/>
  <c r="J57" i="4"/>
  <c r="J59" i="4"/>
  <c r="L59" i="4"/>
  <c r="R24" i="4"/>
  <c r="B65" i="4"/>
  <c r="B66" i="4"/>
  <c r="D66" i="4"/>
  <c r="C67" i="4"/>
  <c r="B69" i="4"/>
  <c r="B70" i="4"/>
  <c r="D70" i="4"/>
  <c r="B73" i="4"/>
  <c r="B64" i="4"/>
  <c r="C65" i="4"/>
  <c r="C66" i="4"/>
  <c r="B67" i="4"/>
  <c r="D67" i="4"/>
  <c r="B68" i="4"/>
  <c r="C70" i="4"/>
  <c r="R25" i="4"/>
  <c r="F64" i="4"/>
  <c r="F65" i="4"/>
  <c r="G66" i="4"/>
  <c r="F67" i="4"/>
  <c r="H67" i="4"/>
  <c r="F68" i="4"/>
  <c r="F69" i="4"/>
  <c r="G70" i="4"/>
  <c r="G65" i="4"/>
  <c r="F66" i="4"/>
  <c r="H66" i="4"/>
  <c r="G67" i="4"/>
  <c r="F70" i="4"/>
  <c r="H70" i="4"/>
  <c r="F73" i="4"/>
  <c r="R28" i="4"/>
  <c r="G76" i="4"/>
  <c r="F77" i="4"/>
  <c r="H78" i="4"/>
  <c r="F80" i="4"/>
  <c r="F81" i="4"/>
  <c r="H81" i="4"/>
  <c r="F75" i="4"/>
  <c r="F76" i="4"/>
  <c r="G77" i="4"/>
  <c r="H77" i="4"/>
  <c r="F78" i="4"/>
  <c r="G78" i="4"/>
  <c r="F79" i="4"/>
  <c r="G81" i="4"/>
  <c r="F84" i="4"/>
  <c r="R29" i="4"/>
  <c r="J75" i="4"/>
  <c r="K76" i="4"/>
  <c r="J77" i="4"/>
  <c r="L77" i="4"/>
  <c r="K78" i="4"/>
  <c r="J79" i="4"/>
  <c r="K81" i="4"/>
  <c r="J84" i="4"/>
  <c r="J76" i="4"/>
  <c r="K77" i="4"/>
  <c r="J78" i="4"/>
  <c r="L78" i="4"/>
  <c r="J80" i="4"/>
  <c r="J81" i="4"/>
  <c r="L81" i="4"/>
  <c r="R32" i="4"/>
  <c r="J86" i="4"/>
  <c r="K87" i="4"/>
  <c r="K88" i="4"/>
  <c r="J89" i="4"/>
  <c r="L89" i="4"/>
  <c r="J91" i="4"/>
  <c r="K92" i="4"/>
  <c r="J95" i="4"/>
  <c r="J87" i="4"/>
  <c r="J88" i="4"/>
  <c r="L88" i="4"/>
  <c r="K89" i="4"/>
  <c r="J90" i="4"/>
  <c r="J92" i="4"/>
  <c r="L92" i="4"/>
  <c r="R34" i="4"/>
  <c r="F97" i="4"/>
  <c r="F98" i="4"/>
  <c r="G98" i="4"/>
  <c r="F99" i="4"/>
  <c r="G99" i="4"/>
  <c r="H99" i="4"/>
  <c r="F100" i="4"/>
  <c r="G100" i="4"/>
  <c r="H100" i="4"/>
  <c r="F101" i="4"/>
  <c r="F102" i="4"/>
  <c r="F103" i="4"/>
  <c r="G103" i="4"/>
  <c r="H103" i="4"/>
  <c r="F106" i="4"/>
  <c r="R35" i="4"/>
  <c r="J97" i="4"/>
  <c r="J98" i="4"/>
  <c r="K98" i="4"/>
  <c r="J99" i="4"/>
  <c r="K99" i="4"/>
  <c r="L99" i="4"/>
  <c r="J100" i="4"/>
  <c r="K100" i="4"/>
  <c r="L100" i="4"/>
  <c r="J101" i="4"/>
  <c r="J102" i="4"/>
  <c r="J103" i="4"/>
  <c r="K103" i="4"/>
  <c r="L103" i="4"/>
  <c r="J106" i="4"/>
  <c r="S11" i="5"/>
  <c r="P28" i="2"/>
  <c r="J16" i="5"/>
  <c r="R11" i="5"/>
  <c r="J12" i="5"/>
  <c r="K12" i="5"/>
  <c r="L12" i="5"/>
  <c r="J13" i="5"/>
  <c r="J14" i="5"/>
  <c r="J15" i="5"/>
  <c r="K15" i="5"/>
  <c r="L15" i="5"/>
  <c r="J18" i="5"/>
  <c r="J9" i="5"/>
  <c r="J10" i="5"/>
  <c r="K10" i="5"/>
  <c r="J11" i="5"/>
  <c r="K11" i="5"/>
  <c r="L11" i="5"/>
  <c r="Q28" i="2"/>
  <c r="K16" i="5"/>
  <c r="L16" i="5"/>
  <c r="S12" i="5"/>
  <c r="R12" i="5"/>
  <c r="B20" i="5"/>
  <c r="B21" i="5"/>
  <c r="C21" i="5"/>
  <c r="B22" i="5"/>
  <c r="C22" i="5"/>
  <c r="D22" i="5"/>
  <c r="B23" i="5"/>
  <c r="C23" i="5"/>
  <c r="D23" i="5"/>
  <c r="B24" i="5"/>
  <c r="B25" i="5"/>
  <c r="B26" i="5"/>
  <c r="C26" i="5"/>
  <c r="D26" i="5"/>
  <c r="B29" i="5"/>
  <c r="P29" i="2"/>
  <c r="B27" i="5"/>
  <c r="Q29" i="2"/>
  <c r="C27" i="5"/>
  <c r="D27" i="5"/>
  <c r="V30" i="2"/>
  <c r="W30" i="2" s="1"/>
  <c r="S13" i="5"/>
  <c r="R13" i="5"/>
  <c r="F20" i="5"/>
  <c r="F21" i="5"/>
  <c r="G21" i="5"/>
  <c r="F22" i="5"/>
  <c r="G22" i="5"/>
  <c r="H22" i="5"/>
  <c r="F23" i="5"/>
  <c r="G23" i="5"/>
  <c r="H23" i="5"/>
  <c r="F24" i="5"/>
  <c r="F25" i="5"/>
  <c r="F26" i="5"/>
  <c r="G26" i="5"/>
  <c r="H26" i="5"/>
  <c r="F29" i="5"/>
  <c r="P30" i="2"/>
  <c r="F27" i="5"/>
  <c r="Q30" i="2"/>
  <c r="G27" i="5"/>
  <c r="R30" i="2"/>
  <c r="H27" i="5"/>
  <c r="U30" i="2"/>
  <c r="P31" i="2"/>
  <c r="J27" i="5"/>
  <c r="Q31" i="2"/>
  <c r="K27" i="5"/>
  <c r="L27" i="5"/>
  <c r="J28" i="5"/>
  <c r="S14" i="5"/>
  <c r="R14" i="5"/>
  <c r="J20" i="5"/>
  <c r="J21" i="5"/>
  <c r="K21" i="5"/>
  <c r="J22" i="5"/>
  <c r="K22" i="5"/>
  <c r="L22" i="5"/>
  <c r="J23" i="5"/>
  <c r="K23" i="5"/>
  <c r="L23" i="5"/>
  <c r="J24" i="5"/>
  <c r="J25" i="5"/>
  <c r="J26" i="5"/>
  <c r="K26" i="5"/>
  <c r="L26" i="5"/>
  <c r="J29" i="5"/>
  <c r="V33" i="2"/>
  <c r="W33" i="2" s="1"/>
  <c r="S16" i="5"/>
  <c r="P33" i="2"/>
  <c r="F38" i="5"/>
  <c r="Q33" i="2"/>
  <c r="G38" i="5"/>
  <c r="R33" i="2"/>
  <c r="H38" i="5"/>
  <c r="U33" i="2"/>
  <c r="R16" i="5"/>
  <c r="F31" i="5"/>
  <c r="F32" i="5"/>
  <c r="G32" i="5"/>
  <c r="F33" i="5"/>
  <c r="G33" i="5"/>
  <c r="H33" i="5"/>
  <c r="F34" i="5"/>
  <c r="G34" i="5"/>
  <c r="H34" i="5"/>
  <c r="F35" i="5"/>
  <c r="F36" i="5"/>
  <c r="F37" i="5"/>
  <c r="G37" i="5"/>
  <c r="H37" i="5"/>
  <c r="F40" i="5"/>
  <c r="R21" i="5"/>
  <c r="B53" i="5"/>
  <c r="B54" i="5"/>
  <c r="C54" i="5"/>
  <c r="B55" i="5"/>
  <c r="C55" i="5"/>
  <c r="D55" i="5"/>
  <c r="B56" i="5"/>
  <c r="C56" i="5"/>
  <c r="D56" i="5"/>
  <c r="B57" i="5"/>
  <c r="B58" i="5"/>
  <c r="B59" i="5"/>
  <c r="C59" i="5"/>
  <c r="D59" i="5"/>
  <c r="B62" i="5"/>
  <c r="R22" i="5"/>
  <c r="F53" i="5"/>
  <c r="F54" i="5"/>
  <c r="G54" i="5"/>
  <c r="F55" i="5"/>
  <c r="G55" i="5"/>
  <c r="H55" i="5"/>
  <c r="F56" i="5"/>
  <c r="G56" i="5"/>
  <c r="H56" i="5"/>
  <c r="F57" i="5"/>
  <c r="F58" i="5"/>
  <c r="F59" i="5"/>
  <c r="G59" i="5"/>
  <c r="H59" i="5"/>
  <c r="F62" i="5"/>
  <c r="R25" i="5"/>
  <c r="F64" i="5"/>
  <c r="F65" i="5"/>
  <c r="G65" i="5"/>
  <c r="F66" i="5"/>
  <c r="G66" i="5"/>
  <c r="H66" i="5"/>
  <c r="F67" i="5"/>
  <c r="G67" i="5"/>
  <c r="H67" i="5"/>
  <c r="F68" i="5"/>
  <c r="F69" i="5"/>
  <c r="F70" i="5"/>
  <c r="G70" i="5"/>
  <c r="H70" i="5"/>
  <c r="F73" i="5"/>
  <c r="R26" i="5"/>
  <c r="J64" i="5"/>
  <c r="J65" i="5"/>
  <c r="K65" i="5"/>
  <c r="J66" i="5"/>
  <c r="K66" i="5"/>
  <c r="L66" i="5"/>
  <c r="J67" i="5"/>
  <c r="K67" i="5"/>
  <c r="L67" i="5"/>
  <c r="J68" i="5"/>
  <c r="J69" i="5"/>
  <c r="J70" i="5"/>
  <c r="K70" i="5"/>
  <c r="L70" i="5"/>
  <c r="J73" i="5"/>
  <c r="R27" i="5"/>
  <c r="B75" i="5"/>
  <c r="B76" i="5"/>
  <c r="C76" i="5"/>
  <c r="B77" i="5"/>
  <c r="C77" i="5"/>
  <c r="D77" i="5"/>
  <c r="B78" i="5"/>
  <c r="C78" i="5"/>
  <c r="D78" i="5"/>
  <c r="B79" i="5"/>
  <c r="B80" i="5"/>
  <c r="B81" i="5"/>
  <c r="C81" i="5"/>
  <c r="D81" i="5"/>
  <c r="B84" i="5"/>
  <c r="R34" i="5"/>
  <c r="F97" i="5"/>
  <c r="F98" i="5"/>
  <c r="G98" i="5"/>
  <c r="F99" i="5"/>
  <c r="G99" i="5"/>
  <c r="H99" i="5"/>
  <c r="F100" i="5"/>
  <c r="G100" i="5"/>
  <c r="H100" i="5"/>
  <c r="F101" i="5"/>
  <c r="F102" i="5"/>
  <c r="F103" i="5"/>
  <c r="G103" i="5"/>
  <c r="H103" i="5"/>
  <c r="F106" i="5"/>
  <c r="R35" i="5"/>
  <c r="J97" i="5"/>
  <c r="J98" i="5"/>
  <c r="K98" i="5"/>
  <c r="J99" i="5"/>
  <c r="K99" i="5"/>
  <c r="L99" i="5"/>
  <c r="J100" i="5"/>
  <c r="K100" i="5"/>
  <c r="L100" i="5"/>
  <c r="J101" i="5"/>
  <c r="J102" i="5"/>
  <c r="J103" i="5"/>
  <c r="K103" i="5"/>
  <c r="L103" i="5"/>
  <c r="J106" i="5"/>
  <c r="R36" i="5"/>
  <c r="B108" i="5"/>
  <c r="B109" i="5"/>
  <c r="C109" i="5"/>
  <c r="B110" i="5"/>
  <c r="C110" i="5"/>
  <c r="D110" i="5"/>
  <c r="B111" i="5"/>
  <c r="C111" i="5"/>
  <c r="D111" i="5"/>
  <c r="B112" i="5"/>
  <c r="B113" i="5"/>
  <c r="B114" i="5"/>
  <c r="C114" i="5"/>
  <c r="D114" i="5"/>
  <c r="B117" i="5"/>
  <c r="R37" i="5"/>
  <c r="F108" i="5"/>
  <c r="F109" i="5"/>
  <c r="G109" i="5"/>
  <c r="F110" i="5"/>
  <c r="G110" i="5"/>
  <c r="H110" i="5"/>
  <c r="F111" i="5"/>
  <c r="G111" i="5"/>
  <c r="H111" i="5"/>
  <c r="F112" i="5"/>
  <c r="F113" i="5"/>
  <c r="F114" i="5"/>
  <c r="G114" i="5"/>
  <c r="H114" i="5"/>
  <c r="F117" i="5"/>
  <c r="P36" i="2"/>
  <c r="G19" i="1"/>
  <c r="J5" i="6"/>
  <c r="B16" i="6"/>
  <c r="Q36" i="2"/>
  <c r="C16" i="6"/>
  <c r="R9" i="6"/>
  <c r="B10" i="6"/>
  <c r="C10" i="6"/>
  <c r="B11" i="6"/>
  <c r="C11" i="6"/>
  <c r="D11" i="6"/>
  <c r="B12" i="6"/>
  <c r="C12" i="6"/>
  <c r="D12" i="6"/>
  <c r="B13" i="6"/>
  <c r="B14" i="6"/>
  <c r="B15" i="6"/>
  <c r="C15" i="6"/>
  <c r="D15" i="6"/>
  <c r="B18" i="6"/>
  <c r="B9" i="6"/>
  <c r="P38" i="2"/>
  <c r="J16" i="6"/>
  <c r="Q38" i="2"/>
  <c r="K16" i="6"/>
  <c r="R38" i="2"/>
  <c r="L16" i="6"/>
  <c r="U38" i="2"/>
  <c r="V38" i="2"/>
  <c r="W38" i="2" s="1"/>
  <c r="S11" i="6"/>
  <c r="R11" i="6"/>
  <c r="J12" i="6"/>
  <c r="K12" i="6"/>
  <c r="L12" i="6"/>
  <c r="J13" i="6"/>
  <c r="J14" i="6"/>
  <c r="J15" i="6"/>
  <c r="K15" i="6"/>
  <c r="L15" i="6"/>
  <c r="J18" i="6"/>
  <c r="J9" i="6"/>
  <c r="J10" i="6"/>
  <c r="K10" i="6"/>
  <c r="J11" i="6"/>
  <c r="K11" i="6"/>
  <c r="L11" i="6"/>
  <c r="P39" i="2"/>
  <c r="B27" i="6"/>
  <c r="Q39" i="2"/>
  <c r="C27" i="6"/>
  <c r="R39" i="2"/>
  <c r="D27" i="6"/>
  <c r="U39" i="2"/>
  <c r="V39" i="2"/>
  <c r="W39" i="2" s="1"/>
  <c r="R12" i="6"/>
  <c r="B20" i="6"/>
  <c r="B21" i="6"/>
  <c r="C21" i="6"/>
  <c r="B22" i="6"/>
  <c r="C22" i="6"/>
  <c r="D22" i="6"/>
  <c r="B23" i="6"/>
  <c r="C23" i="6"/>
  <c r="D23" i="6"/>
  <c r="B24" i="6"/>
  <c r="B25" i="6"/>
  <c r="B26" i="6"/>
  <c r="C26" i="6"/>
  <c r="D26" i="6"/>
  <c r="B29" i="6"/>
  <c r="P40" i="2"/>
  <c r="F27" i="6"/>
  <c r="Q40" i="2"/>
  <c r="G27" i="6"/>
  <c r="R13" i="6"/>
  <c r="F20" i="6"/>
  <c r="F21" i="6"/>
  <c r="G21" i="6"/>
  <c r="F22" i="6"/>
  <c r="G22" i="6"/>
  <c r="H22" i="6"/>
  <c r="F23" i="6"/>
  <c r="G23" i="6"/>
  <c r="H23" i="6"/>
  <c r="F24" i="6"/>
  <c r="F25" i="6"/>
  <c r="F26" i="6"/>
  <c r="G26" i="6"/>
  <c r="H26" i="6"/>
  <c r="F29" i="6"/>
  <c r="P42" i="2"/>
  <c r="B38" i="6"/>
  <c r="Q42" i="2"/>
  <c r="C38" i="6"/>
  <c r="D38" i="6"/>
  <c r="S15" i="6"/>
  <c r="R15" i="6"/>
  <c r="B31" i="6"/>
  <c r="B32" i="6"/>
  <c r="C32" i="6"/>
  <c r="B33" i="6"/>
  <c r="C33" i="6"/>
  <c r="D33" i="6"/>
  <c r="B34" i="6"/>
  <c r="C34" i="6"/>
  <c r="D34" i="6"/>
  <c r="B35" i="6"/>
  <c r="B36" i="6"/>
  <c r="B37" i="6"/>
  <c r="C37" i="6"/>
  <c r="D37" i="6"/>
  <c r="B40" i="6"/>
  <c r="R17" i="6"/>
  <c r="J31" i="6"/>
  <c r="J32" i="6"/>
  <c r="K32" i="6"/>
  <c r="J33" i="6"/>
  <c r="K33" i="6"/>
  <c r="L33" i="6"/>
  <c r="J34" i="6"/>
  <c r="K34" i="6"/>
  <c r="L34" i="6"/>
  <c r="J35" i="6"/>
  <c r="J36" i="6"/>
  <c r="J37" i="6"/>
  <c r="K37" i="6"/>
  <c r="L37" i="6"/>
  <c r="J40" i="6"/>
  <c r="P44" i="2"/>
  <c r="J38" i="6"/>
  <c r="Q44" i="2"/>
  <c r="K38" i="6"/>
  <c r="L38" i="6"/>
  <c r="R18" i="6"/>
  <c r="B42" i="6"/>
  <c r="B43" i="6"/>
  <c r="C43" i="6"/>
  <c r="B44" i="6"/>
  <c r="C44" i="6"/>
  <c r="D44" i="6"/>
  <c r="B45" i="6"/>
  <c r="C45" i="6"/>
  <c r="D45" i="6"/>
  <c r="B46" i="6"/>
  <c r="B47" i="6"/>
  <c r="B48" i="6"/>
  <c r="C48" i="6"/>
  <c r="D48" i="6"/>
  <c r="B51" i="6"/>
  <c r="P45" i="2"/>
  <c r="B49" i="6"/>
  <c r="Q45" i="2"/>
  <c r="C49" i="6"/>
  <c r="R19" i="6"/>
  <c r="F42" i="6"/>
  <c r="F43" i="6"/>
  <c r="G43" i="6"/>
  <c r="F44" i="6"/>
  <c r="G44" i="6"/>
  <c r="H44" i="6"/>
  <c r="F45" i="6"/>
  <c r="G45" i="6"/>
  <c r="H45" i="6"/>
  <c r="F46" i="6"/>
  <c r="F47" i="6"/>
  <c r="F48" i="6"/>
  <c r="G48" i="6"/>
  <c r="H48" i="6"/>
  <c r="F51" i="6"/>
  <c r="R20" i="6"/>
  <c r="J42" i="6"/>
  <c r="J43" i="6"/>
  <c r="K43" i="6"/>
  <c r="J44" i="6"/>
  <c r="K44" i="6"/>
  <c r="L44" i="6"/>
  <c r="J45" i="6"/>
  <c r="K45" i="6"/>
  <c r="L45" i="6"/>
  <c r="J46" i="6"/>
  <c r="J47" i="6"/>
  <c r="J48" i="6"/>
  <c r="K48" i="6"/>
  <c r="L48" i="6"/>
  <c r="J51" i="6"/>
  <c r="R21" i="6"/>
  <c r="B53" i="6"/>
  <c r="B54" i="6"/>
  <c r="C54" i="6"/>
  <c r="B55" i="6"/>
  <c r="C55" i="6"/>
  <c r="D55" i="6"/>
  <c r="B56" i="6"/>
  <c r="C56" i="6"/>
  <c r="D56" i="6"/>
  <c r="B57" i="6"/>
  <c r="B58" i="6"/>
  <c r="B59" i="6"/>
  <c r="C59" i="6"/>
  <c r="D59" i="6"/>
  <c r="B62" i="6"/>
  <c r="R22" i="6"/>
  <c r="F53" i="6"/>
  <c r="F54" i="6"/>
  <c r="G54" i="6"/>
  <c r="F55" i="6"/>
  <c r="G55" i="6"/>
  <c r="H55" i="6"/>
  <c r="F56" i="6"/>
  <c r="G56" i="6"/>
  <c r="H56" i="6"/>
  <c r="F57" i="6"/>
  <c r="F58" i="6"/>
  <c r="F59" i="6"/>
  <c r="G59" i="6"/>
  <c r="H59" i="6"/>
  <c r="F62" i="6"/>
  <c r="R24" i="6"/>
  <c r="B64" i="6"/>
  <c r="B65" i="6"/>
  <c r="C65" i="6"/>
  <c r="B66" i="6"/>
  <c r="C66" i="6"/>
  <c r="D66" i="6"/>
  <c r="B67" i="6"/>
  <c r="C67" i="6"/>
  <c r="D67" i="6"/>
  <c r="B68" i="6"/>
  <c r="B69" i="6"/>
  <c r="B70" i="6"/>
  <c r="C70" i="6"/>
  <c r="D70" i="6"/>
  <c r="B73" i="6"/>
  <c r="R28" i="6"/>
  <c r="F75" i="6"/>
  <c r="F76" i="6"/>
  <c r="G76" i="6"/>
  <c r="F77" i="6"/>
  <c r="G77" i="6"/>
  <c r="H77" i="6"/>
  <c r="F78" i="6"/>
  <c r="G78" i="6"/>
  <c r="H78" i="6"/>
  <c r="F79" i="6"/>
  <c r="F80" i="6"/>
  <c r="F81" i="6"/>
  <c r="G81" i="6"/>
  <c r="H81" i="6"/>
  <c r="F84" i="6"/>
  <c r="R31" i="6"/>
  <c r="F86" i="6"/>
  <c r="F87" i="6"/>
  <c r="G87" i="6"/>
  <c r="F88" i="6"/>
  <c r="G88" i="6"/>
  <c r="H88" i="6"/>
  <c r="F89" i="6"/>
  <c r="G89" i="6"/>
  <c r="H89" i="6"/>
  <c r="F90" i="6"/>
  <c r="F91" i="6"/>
  <c r="F92" i="6"/>
  <c r="G92" i="6"/>
  <c r="H92" i="6"/>
  <c r="F95" i="6"/>
  <c r="R16" i="4"/>
  <c r="F31" i="4"/>
  <c r="F32" i="4"/>
  <c r="G32" i="4"/>
  <c r="F33" i="4"/>
  <c r="G33" i="4"/>
  <c r="H33" i="4"/>
  <c r="F34" i="4"/>
  <c r="G34" i="4"/>
  <c r="H34" i="4"/>
  <c r="G37" i="4"/>
  <c r="F35" i="4"/>
  <c r="F36" i="4"/>
  <c r="F37" i="4"/>
  <c r="H37" i="4"/>
  <c r="F40" i="4"/>
  <c r="P23" i="2"/>
  <c r="F38" i="4"/>
  <c r="Q23" i="2"/>
  <c r="G38" i="4"/>
  <c r="R17" i="4"/>
  <c r="J31" i="4"/>
  <c r="J32" i="4"/>
  <c r="K32" i="4"/>
  <c r="J33" i="4"/>
  <c r="K33" i="4"/>
  <c r="L33" i="4"/>
  <c r="J34" i="4"/>
  <c r="K34" i="4"/>
  <c r="L34" i="4"/>
  <c r="J37" i="4"/>
  <c r="L37" i="4"/>
  <c r="J40" i="4"/>
  <c r="J35" i="4"/>
  <c r="J36" i="4"/>
  <c r="K37" i="4"/>
  <c r="P24" i="2"/>
  <c r="J38" i="4"/>
  <c r="Q24" i="2"/>
  <c r="K38" i="4"/>
  <c r="R18" i="4"/>
  <c r="C43" i="4"/>
  <c r="B44" i="4"/>
  <c r="D44" i="4"/>
  <c r="C45" i="4"/>
  <c r="B48" i="4"/>
  <c r="D48" i="4"/>
  <c r="B42" i="4"/>
  <c r="B43" i="4"/>
  <c r="C44" i="4"/>
  <c r="B45" i="4"/>
  <c r="D45" i="4"/>
  <c r="B46" i="4"/>
  <c r="B47" i="4"/>
  <c r="C48" i="4"/>
  <c r="B51" i="4"/>
  <c r="P25" i="2"/>
  <c r="B49" i="4"/>
  <c r="Q25" i="2"/>
  <c r="C49" i="4"/>
  <c r="R19" i="4"/>
  <c r="F42" i="4"/>
  <c r="G43" i="4"/>
  <c r="G44" i="4"/>
  <c r="G45" i="4"/>
  <c r="F46" i="4"/>
  <c r="F47" i="4"/>
  <c r="G48" i="4"/>
  <c r="F51" i="4"/>
  <c r="F43" i="4"/>
  <c r="F44" i="4"/>
  <c r="H44" i="4"/>
  <c r="F45" i="4"/>
  <c r="H45" i="4"/>
  <c r="F48" i="4"/>
  <c r="H48" i="4"/>
  <c r="R20" i="4"/>
  <c r="J42" i="4"/>
  <c r="J43" i="4"/>
  <c r="K43" i="4"/>
  <c r="K44" i="4"/>
  <c r="J45" i="4"/>
  <c r="L45" i="4"/>
  <c r="J48" i="4"/>
  <c r="L48" i="4"/>
  <c r="J44" i="4"/>
  <c r="L44" i="4"/>
  <c r="K45" i="4"/>
  <c r="J46" i="4"/>
  <c r="J47" i="4"/>
  <c r="K48" i="4"/>
  <c r="J51" i="4"/>
  <c r="R21" i="4"/>
  <c r="B53" i="4"/>
  <c r="B55" i="4"/>
  <c r="D55" i="4"/>
  <c r="C56" i="4"/>
  <c r="B58" i="4"/>
  <c r="C59" i="4"/>
  <c r="B62" i="4"/>
  <c r="B54" i="4"/>
  <c r="C54" i="4"/>
  <c r="C55" i="4"/>
  <c r="B56" i="4"/>
  <c r="D56" i="4"/>
  <c r="B57" i="4"/>
  <c r="B59" i="4"/>
  <c r="D59" i="4"/>
  <c r="R26" i="4"/>
  <c r="J65" i="4"/>
  <c r="K66" i="4"/>
  <c r="L67" i="4"/>
  <c r="J70" i="4"/>
  <c r="K70" i="4"/>
  <c r="J64" i="4"/>
  <c r="K65" i="4"/>
  <c r="J66" i="4"/>
  <c r="L66" i="4"/>
  <c r="J67" i="4"/>
  <c r="K67" i="4"/>
  <c r="J68" i="4"/>
  <c r="J69" i="4"/>
  <c r="L70" i="4"/>
  <c r="J73" i="4"/>
  <c r="R27" i="4"/>
  <c r="B75" i="4"/>
  <c r="C76" i="4"/>
  <c r="C77" i="4"/>
  <c r="D78" i="4"/>
  <c r="B79" i="4"/>
  <c r="B81" i="4"/>
  <c r="C81" i="4"/>
  <c r="B84" i="4"/>
  <c r="B76" i="4"/>
  <c r="B77" i="4"/>
  <c r="D77" i="4"/>
  <c r="B78" i="4"/>
  <c r="C78" i="4"/>
  <c r="B80" i="4"/>
  <c r="D81" i="4"/>
  <c r="R30" i="4"/>
  <c r="C87" i="4"/>
  <c r="C88" i="4"/>
  <c r="C89" i="4"/>
  <c r="D89" i="4"/>
  <c r="B91" i="4"/>
  <c r="C92" i="4"/>
  <c r="B95" i="4"/>
  <c r="B86" i="4"/>
  <c r="B87" i="4"/>
  <c r="B88" i="4"/>
  <c r="D88" i="4"/>
  <c r="B89" i="4"/>
  <c r="B90" i="4"/>
  <c r="B92" i="4"/>
  <c r="D92" i="4"/>
  <c r="R31" i="4"/>
  <c r="G87" i="4"/>
  <c r="F88" i="4"/>
  <c r="G88" i="4"/>
  <c r="H89" i="4"/>
  <c r="F90" i="4"/>
  <c r="F92" i="4"/>
  <c r="H92" i="4"/>
  <c r="F86" i="4"/>
  <c r="F87" i="4"/>
  <c r="H88" i="4"/>
  <c r="F89" i="4"/>
  <c r="G89" i="4"/>
  <c r="F91" i="4"/>
  <c r="G92" i="4"/>
  <c r="F95" i="4"/>
  <c r="R33" i="4"/>
  <c r="B97" i="4"/>
  <c r="B98" i="4"/>
  <c r="B99" i="4"/>
  <c r="C99" i="4"/>
  <c r="D99" i="4"/>
  <c r="B100" i="4"/>
  <c r="C100" i="4"/>
  <c r="D100" i="4"/>
  <c r="B101" i="4"/>
  <c r="B102" i="4"/>
  <c r="B103" i="4"/>
  <c r="C103" i="4"/>
  <c r="D103" i="4"/>
  <c r="B106" i="4"/>
  <c r="C98" i="4"/>
  <c r="R36" i="4"/>
  <c r="B108" i="4"/>
  <c r="B109" i="4"/>
  <c r="C109" i="4"/>
  <c r="B110" i="4"/>
  <c r="C110" i="4"/>
  <c r="D110" i="4"/>
  <c r="B111" i="4"/>
  <c r="C111" i="4"/>
  <c r="D111" i="4"/>
  <c r="B112" i="4"/>
  <c r="B113" i="4"/>
  <c r="B114" i="4"/>
  <c r="C114" i="4"/>
  <c r="D114" i="4"/>
  <c r="B117" i="4"/>
  <c r="R37" i="4"/>
  <c r="F108" i="4"/>
  <c r="F109" i="4"/>
  <c r="G109" i="4"/>
  <c r="F110" i="4"/>
  <c r="G110" i="4"/>
  <c r="H110" i="4"/>
  <c r="F111" i="4"/>
  <c r="G111" i="4"/>
  <c r="H111" i="4"/>
  <c r="F112" i="4"/>
  <c r="F113" i="4"/>
  <c r="F114" i="4"/>
  <c r="G114" i="4"/>
  <c r="H114" i="4"/>
  <c r="F117" i="4"/>
  <c r="R38" i="4"/>
  <c r="J108" i="4"/>
  <c r="J109" i="4"/>
  <c r="K109" i="4"/>
  <c r="J110" i="4"/>
  <c r="K110" i="4"/>
  <c r="L110" i="4"/>
  <c r="J111" i="4"/>
  <c r="K111" i="4"/>
  <c r="L111" i="4"/>
  <c r="J112" i="4"/>
  <c r="J113" i="4"/>
  <c r="J114" i="4"/>
  <c r="K114" i="4"/>
  <c r="L114" i="4"/>
  <c r="J117" i="4"/>
  <c r="R9" i="5"/>
  <c r="B10" i="5"/>
  <c r="C10" i="5"/>
  <c r="B11" i="5"/>
  <c r="C11" i="5"/>
  <c r="D11" i="5"/>
  <c r="B12" i="5"/>
  <c r="C12" i="5"/>
  <c r="D12" i="5"/>
  <c r="B13" i="5"/>
  <c r="B14" i="5"/>
  <c r="B15" i="5"/>
  <c r="C15" i="5"/>
  <c r="D15" i="5"/>
  <c r="B18" i="5"/>
  <c r="B9" i="5"/>
  <c r="P26" i="2"/>
  <c r="G18" i="1"/>
  <c r="J5" i="5"/>
  <c r="B16" i="5"/>
  <c r="Q26" i="2"/>
  <c r="C16" i="5"/>
  <c r="D16" i="5"/>
  <c r="S9" i="5"/>
  <c r="R10" i="5"/>
  <c r="F11" i="5"/>
  <c r="G11" i="5"/>
  <c r="H11" i="5"/>
  <c r="F12" i="5"/>
  <c r="G12" i="5"/>
  <c r="H12" i="5"/>
  <c r="F13" i="5"/>
  <c r="F14" i="5"/>
  <c r="F15" i="5"/>
  <c r="G15" i="5"/>
  <c r="H15" i="5"/>
  <c r="F18" i="5"/>
  <c r="F9" i="5"/>
  <c r="F10" i="5"/>
  <c r="G10" i="5"/>
  <c r="P27" i="2"/>
  <c r="F16" i="5"/>
  <c r="Q27" i="2"/>
  <c r="G16" i="5"/>
  <c r="H16" i="5"/>
  <c r="F17" i="5"/>
  <c r="S10" i="5"/>
  <c r="R15" i="5"/>
  <c r="B31" i="5"/>
  <c r="B32" i="5"/>
  <c r="C32" i="5"/>
  <c r="B33" i="5"/>
  <c r="C33" i="5"/>
  <c r="D33" i="5"/>
  <c r="B34" i="5"/>
  <c r="C34" i="5"/>
  <c r="D34" i="5"/>
  <c r="B35" i="5"/>
  <c r="B36" i="5"/>
  <c r="B37" i="5"/>
  <c r="C37" i="5"/>
  <c r="D37" i="5"/>
  <c r="B40" i="5"/>
  <c r="P32" i="2"/>
  <c r="B38" i="5"/>
  <c r="Q32" i="2"/>
  <c r="C38" i="5"/>
  <c r="R17" i="5"/>
  <c r="J31" i="5"/>
  <c r="J32" i="5"/>
  <c r="K32" i="5"/>
  <c r="J33" i="5"/>
  <c r="K33" i="5"/>
  <c r="L33" i="5"/>
  <c r="J34" i="5"/>
  <c r="K34" i="5"/>
  <c r="L34" i="5"/>
  <c r="J35" i="5"/>
  <c r="J36" i="5"/>
  <c r="J37" i="5"/>
  <c r="K37" i="5"/>
  <c r="L37" i="5"/>
  <c r="J40" i="5"/>
  <c r="P34" i="2"/>
  <c r="J38" i="5"/>
  <c r="Q34" i="2"/>
  <c r="K38" i="5"/>
  <c r="R34" i="2"/>
  <c r="U34" i="2"/>
  <c r="V34" i="2"/>
  <c r="W34" i="2" s="1"/>
  <c r="R18" i="5"/>
  <c r="B42" i="5"/>
  <c r="B43" i="5"/>
  <c r="C43" i="5"/>
  <c r="B44" i="5"/>
  <c r="C44" i="5"/>
  <c r="D44" i="5"/>
  <c r="B45" i="5"/>
  <c r="C45" i="5"/>
  <c r="D45" i="5"/>
  <c r="B46" i="5"/>
  <c r="B47" i="5"/>
  <c r="B48" i="5"/>
  <c r="C48" i="5"/>
  <c r="D48" i="5"/>
  <c r="B51" i="5"/>
  <c r="P35" i="2"/>
  <c r="B49" i="5"/>
  <c r="Q35" i="2"/>
  <c r="C49" i="5"/>
  <c r="R19" i="5"/>
  <c r="F42" i="5"/>
  <c r="F43" i="5"/>
  <c r="G43" i="5"/>
  <c r="F44" i="5"/>
  <c r="G44" i="5"/>
  <c r="H44" i="5"/>
  <c r="F45" i="5"/>
  <c r="G45" i="5"/>
  <c r="H45" i="5"/>
  <c r="F46" i="5"/>
  <c r="F47" i="5"/>
  <c r="F48" i="5"/>
  <c r="G48" i="5"/>
  <c r="H48" i="5"/>
  <c r="F51" i="5"/>
  <c r="R20" i="5"/>
  <c r="J42" i="5"/>
  <c r="J43" i="5"/>
  <c r="K43" i="5"/>
  <c r="J44" i="5"/>
  <c r="K44" i="5"/>
  <c r="L44" i="5"/>
  <c r="J45" i="5"/>
  <c r="K45" i="5"/>
  <c r="L45" i="5"/>
  <c r="J46" i="5"/>
  <c r="J47" i="5"/>
  <c r="J48" i="5"/>
  <c r="K48" i="5"/>
  <c r="L48" i="5"/>
  <c r="J51" i="5"/>
  <c r="R23" i="5"/>
  <c r="J53" i="5"/>
  <c r="J54" i="5"/>
  <c r="K54" i="5"/>
  <c r="J55" i="5"/>
  <c r="K55" i="5"/>
  <c r="L55" i="5"/>
  <c r="J56" i="5"/>
  <c r="K56" i="5"/>
  <c r="L56" i="5"/>
  <c r="J57" i="5"/>
  <c r="J58" i="5"/>
  <c r="J59" i="5"/>
  <c r="K59" i="5"/>
  <c r="L59" i="5"/>
  <c r="J62" i="5"/>
  <c r="R24" i="5"/>
  <c r="B64" i="5"/>
  <c r="B65" i="5"/>
  <c r="C65" i="5"/>
  <c r="B66" i="5"/>
  <c r="C66" i="5"/>
  <c r="D66" i="5"/>
  <c r="B67" i="5"/>
  <c r="C67" i="5"/>
  <c r="D67" i="5"/>
  <c r="B68" i="5"/>
  <c r="B69" i="5"/>
  <c r="B70" i="5"/>
  <c r="C70" i="5"/>
  <c r="D70" i="5"/>
  <c r="B73" i="5"/>
  <c r="R28" i="5"/>
  <c r="F75" i="5"/>
  <c r="F76" i="5"/>
  <c r="G76" i="5"/>
  <c r="F77" i="5"/>
  <c r="G77" i="5"/>
  <c r="H77" i="5"/>
  <c r="F78" i="5"/>
  <c r="G78" i="5"/>
  <c r="H78" i="5"/>
  <c r="F79" i="5"/>
  <c r="F80" i="5"/>
  <c r="F81" i="5"/>
  <c r="G81" i="5"/>
  <c r="H81" i="5"/>
  <c r="F84" i="5"/>
  <c r="R29" i="5"/>
  <c r="J75" i="5"/>
  <c r="J76" i="5"/>
  <c r="K76" i="5"/>
  <c r="J77" i="5"/>
  <c r="K77" i="5"/>
  <c r="L77" i="5"/>
  <c r="J78" i="5"/>
  <c r="K78" i="5"/>
  <c r="L78" i="5"/>
  <c r="J79" i="5"/>
  <c r="J80" i="5"/>
  <c r="J81" i="5"/>
  <c r="K81" i="5"/>
  <c r="L81" i="5"/>
  <c r="J84" i="5"/>
  <c r="R30" i="5"/>
  <c r="B86" i="5"/>
  <c r="B87" i="5"/>
  <c r="C87" i="5"/>
  <c r="B88" i="5"/>
  <c r="C88" i="5"/>
  <c r="D88" i="5"/>
  <c r="B89" i="5"/>
  <c r="C89" i="5"/>
  <c r="D89" i="5"/>
  <c r="B90" i="5"/>
  <c r="B91" i="5"/>
  <c r="B92" i="5"/>
  <c r="C92" i="5"/>
  <c r="D92" i="5"/>
  <c r="B95" i="5"/>
  <c r="R31" i="5"/>
  <c r="F86" i="5"/>
  <c r="F87" i="5"/>
  <c r="G87" i="5"/>
  <c r="F88" i="5"/>
  <c r="G88" i="5"/>
  <c r="H88" i="5"/>
  <c r="F89" i="5"/>
  <c r="G89" i="5"/>
  <c r="H89" i="5"/>
  <c r="F90" i="5"/>
  <c r="F91" i="5"/>
  <c r="F92" i="5"/>
  <c r="G92" i="5"/>
  <c r="H92" i="5"/>
  <c r="F95" i="5"/>
  <c r="R32" i="5"/>
  <c r="J86" i="5"/>
  <c r="J87" i="5"/>
  <c r="K87" i="5"/>
  <c r="J88" i="5"/>
  <c r="K88" i="5"/>
  <c r="L88" i="5"/>
  <c r="J89" i="5"/>
  <c r="K89" i="5"/>
  <c r="L89" i="5"/>
  <c r="J90" i="5"/>
  <c r="J91" i="5"/>
  <c r="J92" i="5"/>
  <c r="K92" i="5"/>
  <c r="L92" i="5"/>
  <c r="J95" i="5"/>
  <c r="R33" i="5"/>
  <c r="B97" i="5"/>
  <c r="B98" i="5"/>
  <c r="C98" i="5"/>
  <c r="B99" i="5"/>
  <c r="C99" i="5"/>
  <c r="D99" i="5"/>
  <c r="B100" i="5"/>
  <c r="C100" i="5"/>
  <c r="D100" i="5"/>
  <c r="B101" i="5"/>
  <c r="B102" i="5"/>
  <c r="B103" i="5"/>
  <c r="C103" i="5"/>
  <c r="D103" i="5"/>
  <c r="B106" i="5"/>
  <c r="R38" i="5"/>
  <c r="J108" i="5"/>
  <c r="J109" i="5"/>
  <c r="K109" i="5"/>
  <c r="J110" i="5"/>
  <c r="K110" i="5"/>
  <c r="L110" i="5"/>
  <c r="J111" i="5"/>
  <c r="K111" i="5"/>
  <c r="L111" i="5"/>
  <c r="J112" i="5"/>
  <c r="J113" i="5"/>
  <c r="J114" i="5"/>
  <c r="K114" i="5"/>
  <c r="L114" i="5"/>
  <c r="J117" i="5"/>
  <c r="R10" i="6"/>
  <c r="F11" i="6"/>
  <c r="G11" i="6"/>
  <c r="H11" i="6"/>
  <c r="F12" i="6"/>
  <c r="G12" i="6"/>
  <c r="H12" i="6"/>
  <c r="F13" i="6"/>
  <c r="F14" i="6"/>
  <c r="F15" i="6"/>
  <c r="G15" i="6"/>
  <c r="H15" i="6"/>
  <c r="F18" i="6"/>
  <c r="F9" i="6"/>
  <c r="F10" i="6"/>
  <c r="G10" i="6"/>
  <c r="P37" i="2"/>
  <c r="F16" i="6"/>
  <c r="Q37" i="2"/>
  <c r="G16" i="6"/>
  <c r="R14" i="6"/>
  <c r="J20" i="6"/>
  <c r="J21" i="6"/>
  <c r="K21" i="6"/>
  <c r="J22" i="6"/>
  <c r="K22" i="6"/>
  <c r="L22" i="6"/>
  <c r="J23" i="6"/>
  <c r="K23" i="6"/>
  <c r="L23" i="6"/>
  <c r="J24" i="6"/>
  <c r="J25" i="6"/>
  <c r="J26" i="6"/>
  <c r="K26" i="6"/>
  <c r="L26" i="6"/>
  <c r="J29" i="6"/>
  <c r="P41" i="2"/>
  <c r="J27" i="6"/>
  <c r="Q41" i="2"/>
  <c r="K27" i="6"/>
  <c r="R16" i="6"/>
  <c r="F31" i="6"/>
  <c r="F32" i="6"/>
  <c r="G32" i="6"/>
  <c r="F33" i="6"/>
  <c r="G33" i="6"/>
  <c r="H33" i="6"/>
  <c r="F34" i="6"/>
  <c r="G34" i="6"/>
  <c r="H34" i="6"/>
  <c r="F35" i="6"/>
  <c r="F36" i="6"/>
  <c r="F37" i="6"/>
  <c r="G37" i="6"/>
  <c r="H37" i="6"/>
  <c r="F40" i="6"/>
  <c r="P43" i="2"/>
  <c r="F38" i="6"/>
  <c r="Q43" i="2"/>
  <c r="G38" i="6"/>
  <c r="R23" i="6"/>
  <c r="J53" i="6"/>
  <c r="J54" i="6"/>
  <c r="K54" i="6"/>
  <c r="J55" i="6"/>
  <c r="K55" i="6"/>
  <c r="L55" i="6"/>
  <c r="J56" i="6"/>
  <c r="K56" i="6"/>
  <c r="L56" i="6"/>
  <c r="J57" i="6"/>
  <c r="J58" i="6"/>
  <c r="J59" i="6"/>
  <c r="K59" i="6"/>
  <c r="L59" i="6"/>
  <c r="J62" i="6"/>
  <c r="R25" i="6"/>
  <c r="F64" i="6"/>
  <c r="F65" i="6"/>
  <c r="G65" i="6"/>
  <c r="F66" i="6"/>
  <c r="G66" i="6"/>
  <c r="H66" i="6"/>
  <c r="F67" i="6"/>
  <c r="G67" i="6"/>
  <c r="H67" i="6"/>
  <c r="F68" i="6"/>
  <c r="F69" i="6"/>
  <c r="F70" i="6"/>
  <c r="G70" i="6"/>
  <c r="H70" i="6"/>
  <c r="F73" i="6"/>
  <c r="R26" i="6"/>
  <c r="J64" i="6"/>
  <c r="J65" i="6"/>
  <c r="K65" i="6"/>
  <c r="J66" i="6"/>
  <c r="K66" i="6"/>
  <c r="L66" i="6"/>
  <c r="J67" i="6"/>
  <c r="K67" i="6"/>
  <c r="L67" i="6"/>
  <c r="J68" i="6"/>
  <c r="J69" i="6"/>
  <c r="J70" i="6"/>
  <c r="K70" i="6"/>
  <c r="L70" i="6"/>
  <c r="J73" i="6"/>
  <c r="R27" i="6"/>
  <c r="B75" i="6"/>
  <c r="B76" i="6"/>
  <c r="C76" i="6"/>
  <c r="B77" i="6"/>
  <c r="C77" i="6"/>
  <c r="D77" i="6"/>
  <c r="B78" i="6"/>
  <c r="C78" i="6"/>
  <c r="D78" i="6"/>
  <c r="B79" i="6"/>
  <c r="B80" i="6"/>
  <c r="B81" i="6"/>
  <c r="C81" i="6"/>
  <c r="D81" i="6"/>
  <c r="B84" i="6"/>
  <c r="R29" i="6"/>
  <c r="J75" i="6"/>
  <c r="J76" i="6"/>
  <c r="K76" i="6"/>
  <c r="J77" i="6"/>
  <c r="K77" i="6"/>
  <c r="L77" i="6"/>
  <c r="J78" i="6"/>
  <c r="K78" i="6"/>
  <c r="L78" i="6"/>
  <c r="J79" i="6"/>
  <c r="J80" i="6"/>
  <c r="J81" i="6"/>
  <c r="K81" i="6"/>
  <c r="L81" i="6"/>
  <c r="J84" i="6"/>
  <c r="R30" i="6"/>
  <c r="B86" i="6"/>
  <c r="B87" i="6"/>
  <c r="C87" i="6"/>
  <c r="B88" i="6"/>
  <c r="C88" i="6"/>
  <c r="D88" i="6"/>
  <c r="B89" i="6"/>
  <c r="C89" i="6"/>
  <c r="D89" i="6"/>
  <c r="B90" i="6"/>
  <c r="B91" i="6"/>
  <c r="B92" i="6"/>
  <c r="C92" i="6"/>
  <c r="D92" i="6"/>
  <c r="B95" i="6"/>
  <c r="R32" i="6"/>
  <c r="J86" i="6"/>
  <c r="J87" i="6"/>
  <c r="K87" i="6"/>
  <c r="J88" i="6"/>
  <c r="K88" i="6"/>
  <c r="L88" i="6"/>
  <c r="J89" i="6"/>
  <c r="K89" i="6"/>
  <c r="L89" i="6"/>
  <c r="J90" i="6"/>
  <c r="J91" i="6"/>
  <c r="J92" i="6"/>
  <c r="K92" i="6"/>
  <c r="L92" i="6"/>
  <c r="J95" i="6"/>
  <c r="R33" i="6"/>
  <c r="B97" i="6"/>
  <c r="B98" i="6"/>
  <c r="C98" i="6"/>
  <c r="B99" i="6"/>
  <c r="C99" i="6"/>
  <c r="D99" i="6"/>
  <c r="B100" i="6"/>
  <c r="C100" i="6"/>
  <c r="D100" i="6"/>
  <c r="B101" i="6"/>
  <c r="B102" i="6"/>
  <c r="B103" i="6"/>
  <c r="C103" i="6"/>
  <c r="D103" i="6"/>
  <c r="B106" i="6"/>
  <c r="R34" i="6"/>
  <c r="F97" i="6"/>
  <c r="F98" i="6"/>
  <c r="G98" i="6"/>
  <c r="F99" i="6"/>
  <c r="G99" i="6"/>
  <c r="H99" i="6"/>
  <c r="F100" i="6"/>
  <c r="G100" i="6"/>
  <c r="H100" i="6"/>
  <c r="F101" i="6"/>
  <c r="F102" i="6"/>
  <c r="F103" i="6"/>
  <c r="G103" i="6"/>
  <c r="H103" i="6"/>
  <c r="F106" i="6"/>
  <c r="R35" i="6"/>
  <c r="J97" i="6"/>
  <c r="J98" i="6"/>
  <c r="K98" i="6"/>
  <c r="J99" i="6"/>
  <c r="K99" i="6"/>
  <c r="L99" i="6"/>
  <c r="J100" i="6"/>
  <c r="K100" i="6"/>
  <c r="L100" i="6"/>
  <c r="J101" i="6"/>
  <c r="J102" i="6"/>
  <c r="J103" i="6"/>
  <c r="K103" i="6"/>
  <c r="L103" i="6"/>
  <c r="J106" i="6"/>
  <c r="R36" i="6"/>
  <c r="B108" i="6"/>
  <c r="B109" i="6"/>
  <c r="C109" i="6"/>
  <c r="B110" i="6"/>
  <c r="C110" i="6"/>
  <c r="D110" i="6"/>
  <c r="B111" i="6"/>
  <c r="C111" i="6"/>
  <c r="D111" i="6"/>
  <c r="B112" i="6"/>
  <c r="B113" i="6"/>
  <c r="B114" i="6"/>
  <c r="C114" i="6"/>
  <c r="D114" i="6"/>
  <c r="B117" i="6"/>
  <c r="R37" i="6"/>
  <c r="F108" i="6"/>
  <c r="F109" i="6"/>
  <c r="G109" i="6"/>
  <c r="F110" i="6"/>
  <c r="G110" i="6"/>
  <c r="H110" i="6"/>
  <c r="F111" i="6"/>
  <c r="G111" i="6"/>
  <c r="H111" i="6"/>
  <c r="F112" i="6"/>
  <c r="F113" i="6"/>
  <c r="F114" i="6"/>
  <c r="G114" i="6"/>
  <c r="H114" i="6"/>
  <c r="F117" i="6"/>
  <c r="R38" i="6"/>
  <c r="J108" i="6"/>
  <c r="J109" i="6"/>
  <c r="K109" i="6"/>
  <c r="J110" i="6"/>
  <c r="K110" i="6"/>
  <c r="L110" i="6"/>
  <c r="J111" i="6"/>
  <c r="K111" i="6"/>
  <c r="L111" i="6"/>
  <c r="J112" i="6"/>
  <c r="J113" i="6"/>
  <c r="J114" i="6"/>
  <c r="K114" i="6"/>
  <c r="L114" i="6"/>
  <c r="J117" i="6"/>
  <c r="BM12" i="7" l="1"/>
  <c r="R35" i="2"/>
  <c r="BM10" i="7"/>
  <c r="I10" i="7" s="1"/>
  <c r="B28" i="3" s="1"/>
  <c r="D27" i="3"/>
  <c r="U60" i="2"/>
  <c r="B39" i="6"/>
  <c r="V76" i="2"/>
  <c r="W76" i="2" s="1"/>
  <c r="I9" i="9"/>
  <c r="V77" i="2"/>
  <c r="W77" i="2" s="1"/>
  <c r="I10" i="9"/>
  <c r="V78" i="2"/>
  <c r="W78" i="2" s="1"/>
  <c r="I11" i="9"/>
  <c r="V81" i="2"/>
  <c r="W81" i="2" s="1"/>
  <c r="I14" i="9"/>
  <c r="U86" i="2"/>
  <c r="B61" i="5"/>
  <c r="R87" i="2"/>
  <c r="BM20" i="9"/>
  <c r="H60" i="5"/>
  <c r="U90" i="2"/>
  <c r="F72" i="5"/>
  <c r="R82" i="2"/>
  <c r="BM15" i="9"/>
  <c r="R83" i="2"/>
  <c r="BM16" i="9"/>
  <c r="S18" i="5" s="1"/>
  <c r="U84" i="2"/>
  <c r="F50" i="5"/>
  <c r="BM18" i="9"/>
  <c r="R85" i="2"/>
  <c r="L49" i="5"/>
  <c r="BM21" i="9"/>
  <c r="R88" i="2"/>
  <c r="L60" i="5"/>
  <c r="R89" i="2"/>
  <c r="BM22" i="9"/>
  <c r="D71" i="5"/>
  <c r="U74" i="2"/>
  <c r="B17" i="5"/>
  <c r="U56" i="2"/>
  <c r="J17" i="6"/>
  <c r="U57" i="2"/>
  <c r="B28" i="6"/>
  <c r="L93" i="3"/>
  <c r="BM30" i="7"/>
  <c r="I30" i="7" s="1"/>
  <c r="R53" i="2"/>
  <c r="BM28" i="7"/>
  <c r="D93" i="3"/>
  <c r="R51" i="2"/>
  <c r="L71" i="3"/>
  <c r="BM24" i="7"/>
  <c r="R47" i="2"/>
  <c r="H93" i="3"/>
  <c r="BM29" i="7"/>
  <c r="R52" i="2"/>
  <c r="R45" i="2"/>
  <c r="D71" i="3"/>
  <c r="BM22" i="7"/>
  <c r="R61" i="2"/>
  <c r="BM14" i="10"/>
  <c r="R58" i="2"/>
  <c r="BM11" i="10"/>
  <c r="S13" i="6" s="1"/>
  <c r="V62" i="2"/>
  <c r="W62" i="2" s="1"/>
  <c r="I15" i="10"/>
  <c r="R63" i="2"/>
  <c r="BM16" i="10"/>
  <c r="S18" i="6" s="1"/>
  <c r="V64" i="2"/>
  <c r="W64" i="2" s="1"/>
  <c r="I17" i="10"/>
  <c r="S19" i="6"/>
  <c r="V65" i="2"/>
  <c r="W65" i="2" s="1"/>
  <c r="I18" i="10"/>
  <c r="S20" i="6"/>
  <c r="V66" i="2"/>
  <c r="W66" i="2" s="1"/>
  <c r="I19" i="10"/>
  <c r="S21" i="6"/>
  <c r="R67" i="2"/>
  <c r="BM20" i="10"/>
  <c r="H60" i="6"/>
  <c r="I22" i="10"/>
  <c r="V69" i="2"/>
  <c r="W69" i="2" s="1"/>
  <c r="S24" i="6"/>
  <c r="U73" i="2"/>
  <c r="F83" i="6"/>
  <c r="R55" i="2"/>
  <c r="BM8" i="10"/>
  <c r="S10" i="6" s="1"/>
  <c r="R59" i="2"/>
  <c r="BM12" i="10"/>
  <c r="S14" i="6" s="1"/>
  <c r="U68" i="2"/>
  <c r="J61" i="6"/>
  <c r="BM23" i="10"/>
  <c r="R70" i="2"/>
  <c r="H71" i="6"/>
  <c r="R71" i="2"/>
  <c r="BM24" i="10"/>
  <c r="L71" i="6"/>
  <c r="V72" i="2"/>
  <c r="W72" i="2" s="1"/>
  <c r="I25" i="10"/>
  <c r="S27" i="6"/>
  <c r="BM8" i="7"/>
  <c r="R31" i="2"/>
  <c r="BM17" i="7"/>
  <c r="H49" i="3"/>
  <c r="BM18" i="7"/>
  <c r="L49" i="3"/>
  <c r="I19" i="7"/>
  <c r="S21" i="3"/>
  <c r="BM20" i="7"/>
  <c r="H60" i="3"/>
  <c r="BM21" i="7"/>
  <c r="L60" i="3"/>
  <c r="V46" i="2"/>
  <c r="W46" i="2" s="1"/>
  <c r="I23" i="7"/>
  <c r="S25" i="3"/>
  <c r="BM25" i="7"/>
  <c r="R48" i="2"/>
  <c r="D82" i="3"/>
  <c r="BM26" i="7"/>
  <c r="R49" i="2"/>
  <c r="H82" i="3"/>
  <c r="R50" i="2"/>
  <c r="BM27" i="7"/>
  <c r="L82" i="3"/>
  <c r="BM14" i="7"/>
  <c r="R37" i="2"/>
  <c r="BM12" i="8"/>
  <c r="V11" i="2" s="1"/>
  <c r="R11" i="2"/>
  <c r="R28" i="2"/>
  <c r="H93" i="4"/>
  <c r="BM29" i="8"/>
  <c r="BM15" i="8"/>
  <c r="L38" i="4"/>
  <c r="BM8" i="8"/>
  <c r="V7" i="2" s="1"/>
  <c r="R7" i="2"/>
  <c r="H16" i="4"/>
  <c r="BM11" i="8"/>
  <c r="R10" i="2"/>
  <c r="H27" i="4"/>
  <c r="BM13" i="8"/>
  <c r="R12" i="2"/>
  <c r="D38" i="4"/>
  <c r="BM10" i="8"/>
  <c r="R9" i="2"/>
  <c r="D27" i="4"/>
  <c r="BM9" i="8"/>
  <c r="S11" i="4" s="1"/>
  <c r="R8" i="2"/>
  <c r="L16" i="4"/>
  <c r="BM16" i="8"/>
  <c r="R15" i="2"/>
  <c r="D49" i="4"/>
  <c r="BM7" i="8"/>
  <c r="V6" i="2" s="1"/>
  <c r="W6" i="2" s="1"/>
  <c r="D16" i="4"/>
  <c r="BM14" i="8"/>
  <c r="R13" i="2"/>
  <c r="H38" i="4"/>
  <c r="BM20" i="8"/>
  <c r="H60" i="4"/>
  <c r="BM21" i="8"/>
  <c r="L60" i="4"/>
  <c r="BM22" i="8"/>
  <c r="D71" i="4"/>
  <c r="BM23" i="8"/>
  <c r="H71" i="4"/>
  <c r="BM26" i="8"/>
  <c r="H82" i="4"/>
  <c r="BM27" i="8"/>
  <c r="L82" i="4"/>
  <c r="BM30" i="8"/>
  <c r="L93" i="4"/>
  <c r="BM17" i="8"/>
  <c r="H49" i="4"/>
  <c r="BM18" i="8"/>
  <c r="L49" i="4"/>
  <c r="BM19" i="8"/>
  <c r="D60" i="4"/>
  <c r="BM24" i="8"/>
  <c r="L71" i="4"/>
  <c r="BM25" i="8"/>
  <c r="D82" i="4"/>
  <c r="BM28" i="8"/>
  <c r="D93" i="4"/>
  <c r="BM7" i="10"/>
  <c r="V54" i="2" s="1"/>
  <c r="W54" i="2" s="1"/>
  <c r="R36" i="2"/>
  <c r="D16" i="6"/>
  <c r="BM13" i="9"/>
  <c r="V80" i="2" s="1"/>
  <c r="W80" i="2" s="1"/>
  <c r="R32" i="2"/>
  <c r="D38" i="5"/>
  <c r="N6" i="7"/>
  <c r="M4" i="7"/>
  <c r="L5" i="7"/>
  <c r="N6" i="10"/>
  <c r="M4" i="10"/>
  <c r="M5" i="10" s="1"/>
  <c r="L5" i="10"/>
  <c r="N6" i="8"/>
  <c r="M4" i="8"/>
  <c r="L5" i="8"/>
  <c r="N6" i="9"/>
  <c r="M4" i="9"/>
  <c r="M5" i="9" s="1"/>
  <c r="L5" i="9"/>
  <c r="V35" i="2" l="1"/>
  <c r="W35" i="2" s="1"/>
  <c r="S14" i="3"/>
  <c r="I12" i="7"/>
  <c r="U76" i="2"/>
  <c r="J17" i="5"/>
  <c r="U77" i="2"/>
  <c r="B28" i="5"/>
  <c r="U78" i="2"/>
  <c r="F28" i="5"/>
  <c r="U81" i="2"/>
  <c r="F39" i="5"/>
  <c r="I20" i="9"/>
  <c r="V87" i="2"/>
  <c r="W87" i="2" s="1"/>
  <c r="S22" i="5"/>
  <c r="S17" i="5"/>
  <c r="V82" i="2"/>
  <c r="W82" i="2" s="1"/>
  <c r="I15" i="9"/>
  <c r="V83" i="2"/>
  <c r="W83" i="2" s="1"/>
  <c r="I16" i="9"/>
  <c r="I18" i="9"/>
  <c r="V85" i="2"/>
  <c r="W85" i="2" s="1"/>
  <c r="S20" i="5"/>
  <c r="I21" i="9"/>
  <c r="V88" i="2"/>
  <c r="W88" i="2" s="1"/>
  <c r="S23" i="5"/>
  <c r="I22" i="9"/>
  <c r="V89" i="2"/>
  <c r="W89" i="2" s="1"/>
  <c r="S24" i="5"/>
  <c r="S31" i="3"/>
  <c r="V52" i="2"/>
  <c r="W52" i="2" s="1"/>
  <c r="I29" i="7"/>
  <c r="V51" i="2"/>
  <c r="W51" i="2" s="1"/>
  <c r="I28" i="7"/>
  <c r="S30" i="3"/>
  <c r="V53" i="2"/>
  <c r="W53" i="2" s="1"/>
  <c r="S32" i="3"/>
  <c r="V47" i="2"/>
  <c r="W47" i="2" s="1"/>
  <c r="I24" i="7"/>
  <c r="S26" i="3"/>
  <c r="V45" i="2"/>
  <c r="W45" i="2" s="1"/>
  <c r="I22" i="7"/>
  <c r="S24" i="3"/>
  <c r="V31" i="2"/>
  <c r="W31" i="2" s="1"/>
  <c r="I8" i="7"/>
  <c r="S10" i="3"/>
  <c r="U62" i="2"/>
  <c r="J39" i="6"/>
  <c r="S16" i="6"/>
  <c r="V61" i="2"/>
  <c r="W61" i="2" s="1"/>
  <c r="I14" i="10"/>
  <c r="V58" i="2"/>
  <c r="W58" i="2" s="1"/>
  <c r="I11" i="10"/>
  <c r="V63" i="2"/>
  <c r="W63" i="2" s="1"/>
  <c r="I16" i="10"/>
  <c r="U64" i="2"/>
  <c r="F50" i="6"/>
  <c r="U65" i="2"/>
  <c r="J50" i="6"/>
  <c r="U66" i="2"/>
  <c r="B61" i="6"/>
  <c r="V67" i="2"/>
  <c r="W67" i="2" s="1"/>
  <c r="I20" i="10"/>
  <c r="S22" i="6"/>
  <c r="U69" i="2"/>
  <c r="B72" i="6"/>
  <c r="V55" i="2"/>
  <c r="W55" i="2" s="1"/>
  <c r="I8" i="10"/>
  <c r="V59" i="2"/>
  <c r="W59" i="2" s="1"/>
  <c r="I12" i="10"/>
  <c r="V70" i="2"/>
  <c r="W70" i="2" s="1"/>
  <c r="I23" i="10"/>
  <c r="S25" i="6"/>
  <c r="V71" i="2"/>
  <c r="W71" i="2" s="1"/>
  <c r="I24" i="10"/>
  <c r="S26" i="6"/>
  <c r="U72" i="2"/>
  <c r="B83" i="6"/>
  <c r="W7" i="2"/>
  <c r="I14" i="7"/>
  <c r="S16" i="3"/>
  <c r="V37" i="2"/>
  <c r="W37" i="2" s="1"/>
  <c r="I12" i="8"/>
  <c r="S14" i="4"/>
  <c r="V40" i="2"/>
  <c r="W40" i="2" s="1"/>
  <c r="I17" i="7"/>
  <c r="S19" i="3"/>
  <c r="V41" i="2"/>
  <c r="W41" i="2" s="1"/>
  <c r="I18" i="7"/>
  <c r="S20" i="3"/>
  <c r="U42" i="2"/>
  <c r="B61" i="3"/>
  <c r="V43" i="2"/>
  <c r="W43" i="2" s="1"/>
  <c r="I20" i="7"/>
  <c r="S22" i="3"/>
  <c r="V44" i="2"/>
  <c r="W44" i="2" s="1"/>
  <c r="I21" i="7"/>
  <c r="S23" i="3"/>
  <c r="U46" i="2"/>
  <c r="F72" i="3"/>
  <c r="V48" i="2"/>
  <c r="W48" i="2" s="1"/>
  <c r="I25" i="7"/>
  <c r="S27" i="3"/>
  <c r="V49" i="2"/>
  <c r="W49" i="2" s="1"/>
  <c r="I26" i="7"/>
  <c r="S28" i="3"/>
  <c r="I27" i="7"/>
  <c r="V50" i="2"/>
  <c r="W50" i="2" s="1"/>
  <c r="S29" i="3"/>
  <c r="U53" i="2"/>
  <c r="J94" i="3"/>
  <c r="V28" i="2"/>
  <c r="S31" i="4"/>
  <c r="I29" i="8"/>
  <c r="I15" i="8"/>
  <c r="S17" i="4"/>
  <c r="V14" i="2"/>
  <c r="V8" i="2"/>
  <c r="I9" i="8"/>
  <c r="S10" i="4"/>
  <c r="I8" i="8"/>
  <c r="S13" i="4"/>
  <c r="V10" i="2"/>
  <c r="I11" i="8"/>
  <c r="S15" i="4"/>
  <c r="V12" i="2"/>
  <c r="I13" i="8"/>
  <c r="V13" i="2"/>
  <c r="I14" i="8"/>
  <c r="S16" i="4"/>
  <c r="S12" i="4"/>
  <c r="V9" i="2"/>
  <c r="I10" i="8"/>
  <c r="S18" i="4"/>
  <c r="V15" i="2"/>
  <c r="I16" i="8"/>
  <c r="S9" i="4"/>
  <c r="I7" i="8"/>
  <c r="V19" i="2"/>
  <c r="I20" i="8"/>
  <c r="S22" i="4"/>
  <c r="V20" i="2"/>
  <c r="I21" i="8"/>
  <c r="S23" i="4"/>
  <c r="V21" i="2"/>
  <c r="I22" i="8"/>
  <c r="S24" i="4"/>
  <c r="V22" i="2"/>
  <c r="I23" i="8"/>
  <c r="S25" i="4"/>
  <c r="V25" i="2"/>
  <c r="I26" i="8"/>
  <c r="S28" i="4"/>
  <c r="V26" i="2"/>
  <c r="I27" i="8"/>
  <c r="S29" i="4"/>
  <c r="V29" i="2"/>
  <c r="I30" i="8"/>
  <c r="S32" i="4"/>
  <c r="V16" i="2"/>
  <c r="I17" i="8"/>
  <c r="S19" i="4"/>
  <c r="V17" i="2"/>
  <c r="I18" i="8"/>
  <c r="S20" i="4"/>
  <c r="V18" i="2"/>
  <c r="I19" i="8"/>
  <c r="S21" i="4"/>
  <c r="V23" i="2"/>
  <c r="I24" i="8"/>
  <c r="S26" i="4"/>
  <c r="V24" i="2"/>
  <c r="I25" i="8"/>
  <c r="S27" i="4"/>
  <c r="V27" i="2"/>
  <c r="I28" i="8"/>
  <c r="S30" i="4"/>
  <c r="S9" i="6"/>
  <c r="V36" i="2"/>
  <c r="I7" i="10"/>
  <c r="U54" i="2" s="1"/>
  <c r="S15" i="5"/>
  <c r="V32" i="2"/>
  <c r="I13" i="9"/>
  <c r="U80" i="2" s="1"/>
  <c r="O6" i="7"/>
  <c r="N4" i="7"/>
  <c r="O6" i="10"/>
  <c r="N4" i="10"/>
  <c r="O6" i="8"/>
  <c r="N4" i="8"/>
  <c r="O6" i="9"/>
  <c r="N4" i="9"/>
  <c r="M5" i="7"/>
  <c r="M5" i="8"/>
  <c r="U35" i="2" l="1"/>
  <c r="J28" i="3"/>
  <c r="U83" i="2"/>
  <c r="B50" i="5"/>
  <c r="U52" i="2"/>
  <c r="F94" i="3"/>
  <c r="B72" i="3"/>
  <c r="U45" i="2"/>
  <c r="U87" i="2"/>
  <c r="F61" i="5"/>
  <c r="J39" i="5"/>
  <c r="U82" i="2"/>
  <c r="U85" i="2"/>
  <c r="J50" i="5"/>
  <c r="U88" i="2"/>
  <c r="J61" i="5"/>
  <c r="U89" i="2"/>
  <c r="B72" i="5"/>
  <c r="F17" i="3"/>
  <c r="U31" i="2"/>
  <c r="U51" i="2"/>
  <c r="B94" i="3"/>
  <c r="U47" i="2"/>
  <c r="J72" i="3"/>
  <c r="U58" i="2"/>
  <c r="F28" i="6"/>
  <c r="U63" i="2"/>
  <c r="B50" i="6"/>
  <c r="U55" i="2"/>
  <c r="F17" i="6"/>
  <c r="U59" i="2"/>
  <c r="J28" i="6"/>
  <c r="F39" i="6"/>
  <c r="U61" i="2"/>
  <c r="U67" i="2"/>
  <c r="F61" i="6"/>
  <c r="U70" i="2"/>
  <c r="F72" i="6"/>
  <c r="U71" i="2"/>
  <c r="J72" i="6"/>
  <c r="J28" i="4"/>
  <c r="U11" i="2"/>
  <c r="W29" i="2"/>
  <c r="W17" i="2"/>
  <c r="W12" i="2"/>
  <c r="W9" i="2"/>
  <c r="W15" i="2"/>
  <c r="W24" i="2"/>
  <c r="W27" i="2"/>
  <c r="W14" i="2"/>
  <c r="W10" i="2"/>
  <c r="W20" i="2"/>
  <c r="W22" i="2"/>
  <c r="W26" i="2"/>
  <c r="W18" i="2"/>
  <c r="W28" i="2"/>
  <c r="W13" i="2"/>
  <c r="W19" i="2"/>
  <c r="W21" i="2"/>
  <c r="W25" i="2"/>
  <c r="W23" i="2"/>
  <c r="W8" i="2"/>
  <c r="W11" i="2"/>
  <c r="I16" i="1"/>
  <c r="F39" i="3"/>
  <c r="U37" i="2"/>
  <c r="U28" i="2"/>
  <c r="F94" i="4"/>
  <c r="U40" i="2"/>
  <c r="F50" i="3"/>
  <c r="U41" i="2"/>
  <c r="J50" i="3"/>
  <c r="U43" i="2"/>
  <c r="F61" i="3"/>
  <c r="U44" i="2"/>
  <c r="J61" i="3"/>
  <c r="U48" i="2"/>
  <c r="B83" i="3"/>
  <c r="U49" i="2"/>
  <c r="F83" i="3"/>
  <c r="U50" i="2"/>
  <c r="J83" i="3"/>
  <c r="U14" i="2"/>
  <c r="J39" i="4"/>
  <c r="F39" i="4"/>
  <c r="U13" i="2"/>
  <c r="J17" i="4"/>
  <c r="U8" i="2"/>
  <c r="F17" i="4"/>
  <c r="U7" i="2"/>
  <c r="F28" i="4"/>
  <c r="U10" i="2"/>
  <c r="B39" i="4"/>
  <c r="U12" i="2"/>
  <c r="B28" i="4"/>
  <c r="U9" i="2"/>
  <c r="B17" i="4"/>
  <c r="U6" i="2"/>
  <c r="B50" i="4"/>
  <c r="U15" i="2"/>
  <c r="U19" i="2"/>
  <c r="F61" i="4"/>
  <c r="U20" i="2"/>
  <c r="J61" i="4"/>
  <c r="U21" i="2"/>
  <c r="B72" i="4"/>
  <c r="U22" i="2"/>
  <c r="F72" i="4"/>
  <c r="U25" i="2"/>
  <c r="F83" i="4"/>
  <c r="U26" i="2"/>
  <c r="J83" i="4"/>
  <c r="U29" i="2"/>
  <c r="J94" i="4"/>
  <c r="I17" i="1"/>
  <c r="W16" i="2"/>
  <c r="U16" i="2"/>
  <c r="F50" i="4"/>
  <c r="U17" i="2"/>
  <c r="J50" i="4"/>
  <c r="U18" i="2"/>
  <c r="B61" i="4"/>
  <c r="U23" i="2"/>
  <c r="J72" i="4"/>
  <c r="U24" i="2"/>
  <c r="B83" i="4"/>
  <c r="U27" i="2"/>
  <c r="B94" i="4"/>
  <c r="W36" i="2"/>
  <c r="I19" i="1"/>
  <c r="B17" i="6"/>
  <c r="U36" i="2"/>
  <c r="I18" i="1"/>
  <c r="W32" i="2"/>
  <c r="B39" i="5"/>
  <c r="U32" i="2"/>
  <c r="P6" i="7"/>
  <c r="O4" i="7"/>
  <c r="O5" i="7" s="1"/>
  <c r="P6" i="10"/>
  <c r="O4" i="10"/>
  <c r="O5" i="10" s="1"/>
  <c r="N5" i="10"/>
  <c r="P6" i="8"/>
  <c r="O4" i="8"/>
  <c r="O5" i="8" s="1"/>
  <c r="P6" i="9"/>
  <c r="O4" i="9"/>
  <c r="N5" i="9"/>
  <c r="N5" i="7"/>
  <c r="N5" i="8"/>
  <c r="I20" i="1" l="1"/>
  <c r="J12" i="1"/>
  <c r="N63" i="11"/>
  <c r="N61" i="11"/>
  <c r="N59" i="11"/>
  <c r="N57" i="11"/>
  <c r="N56" i="11"/>
  <c r="N55" i="11"/>
  <c r="N54" i="11"/>
  <c r="N53" i="11"/>
  <c r="N52" i="11"/>
  <c r="N51" i="11"/>
  <c r="N50" i="11"/>
  <c r="N39" i="11"/>
  <c r="N8" i="11"/>
  <c r="N7" i="11"/>
  <c r="A3" i="11"/>
  <c r="N64" i="11"/>
  <c r="N60" i="11"/>
  <c r="N49" i="11"/>
  <c r="N45" i="11"/>
  <c r="N9" i="11"/>
  <c r="N6" i="11"/>
  <c r="N65" i="11"/>
  <c r="N62" i="11"/>
  <c r="N58" i="11"/>
  <c r="N48" i="11"/>
  <c r="N47" i="11"/>
  <c r="N46" i="11"/>
  <c r="N44" i="11"/>
  <c r="N43" i="11"/>
  <c r="N42" i="11"/>
  <c r="N41" i="11"/>
  <c r="N40" i="11"/>
  <c r="N31" i="11"/>
  <c r="N37" i="11"/>
  <c r="N36" i="11"/>
  <c r="N35" i="11"/>
  <c r="N34" i="11"/>
  <c r="N33" i="11"/>
  <c r="N32" i="11"/>
  <c r="N30" i="11"/>
  <c r="N29" i="11"/>
  <c r="N28" i="11"/>
  <c r="N27" i="11"/>
  <c r="N26" i="11"/>
  <c r="N25" i="11"/>
  <c r="N24" i="11"/>
  <c r="N23" i="11"/>
  <c r="N22" i="11"/>
  <c r="N21" i="11"/>
  <c r="N20" i="11"/>
  <c r="N19" i="11"/>
  <c r="N18" i="11"/>
  <c r="N17" i="11"/>
  <c r="N16" i="11"/>
  <c r="N15" i="11"/>
  <c r="N14" i="11"/>
  <c r="N13" i="11"/>
  <c r="N12" i="11"/>
  <c r="N11" i="11"/>
  <c r="N10" i="11"/>
  <c r="N38" i="11"/>
  <c r="Q6" i="7"/>
  <c r="P4" i="7"/>
  <c r="P5" i="7" s="1"/>
  <c r="Q6" i="10"/>
  <c r="P4" i="10"/>
  <c r="Q6" i="8"/>
  <c r="P4" i="8"/>
  <c r="P5" i="8" s="1"/>
  <c r="Q6" i="9"/>
  <c r="P4" i="9"/>
  <c r="O5" i="9"/>
  <c r="K63" i="11" l="1"/>
  <c r="I63" i="11"/>
  <c r="F63" i="11"/>
  <c r="E63" i="11"/>
  <c r="C63" i="11"/>
  <c r="A63" i="11"/>
  <c r="L63" i="11"/>
  <c r="H63" i="11"/>
  <c r="B63" i="11"/>
  <c r="J63" i="11"/>
  <c r="G63" i="11"/>
  <c r="D63" i="11"/>
  <c r="K61" i="11"/>
  <c r="I61" i="11"/>
  <c r="G61" i="11"/>
  <c r="E61" i="11"/>
  <c r="D61" i="11"/>
  <c r="B61" i="11"/>
  <c r="L61" i="11"/>
  <c r="J61" i="11"/>
  <c r="H61" i="11"/>
  <c r="F61" i="11"/>
  <c r="C61" i="11"/>
  <c r="A61" i="11"/>
  <c r="L59" i="11"/>
  <c r="K59" i="11"/>
  <c r="J59" i="11"/>
  <c r="I59" i="11"/>
  <c r="H59" i="11"/>
  <c r="G59" i="11"/>
  <c r="F59" i="11"/>
  <c r="E59" i="11"/>
  <c r="D59" i="11"/>
  <c r="C59" i="11"/>
  <c r="B59" i="11"/>
  <c r="A59" i="11"/>
  <c r="L57" i="11"/>
  <c r="J57" i="11"/>
  <c r="I57" i="11"/>
  <c r="G57" i="11"/>
  <c r="E57" i="11"/>
  <c r="C57" i="11"/>
  <c r="A57" i="11"/>
  <c r="K57" i="11"/>
  <c r="H57" i="11"/>
  <c r="F57" i="11"/>
  <c r="D57" i="11"/>
  <c r="B57" i="11"/>
  <c r="K56" i="11"/>
  <c r="I56" i="11"/>
  <c r="G56" i="11"/>
  <c r="E56" i="11"/>
  <c r="C56" i="11"/>
  <c r="A56" i="11"/>
  <c r="L56" i="11"/>
  <c r="J56" i="11"/>
  <c r="H56" i="11"/>
  <c r="F56" i="11"/>
  <c r="D56" i="11"/>
  <c r="B56" i="11"/>
  <c r="K55" i="11"/>
  <c r="I55" i="11"/>
  <c r="L55" i="11"/>
  <c r="J55" i="11"/>
  <c r="H55" i="11"/>
  <c r="G55" i="11"/>
  <c r="F55" i="11"/>
  <c r="E55" i="11"/>
  <c r="D55" i="11"/>
  <c r="C55" i="11"/>
  <c r="B55" i="11"/>
  <c r="A55" i="11"/>
  <c r="F54" i="11"/>
  <c r="D54" i="11"/>
  <c r="C54" i="11"/>
  <c r="B54" i="11"/>
  <c r="L54" i="11"/>
  <c r="K54" i="11"/>
  <c r="J54" i="11"/>
  <c r="I54" i="11"/>
  <c r="H54" i="11"/>
  <c r="G54" i="11"/>
  <c r="E54" i="11"/>
  <c r="A54" i="11"/>
  <c r="L53" i="11"/>
  <c r="J53" i="11"/>
  <c r="I53" i="11"/>
  <c r="G53" i="11"/>
  <c r="E53" i="11"/>
  <c r="D53" i="11"/>
  <c r="B53" i="11"/>
  <c r="A53" i="11"/>
  <c r="K53" i="11"/>
  <c r="H53" i="11"/>
  <c r="F53" i="11"/>
  <c r="C53" i="11"/>
  <c r="K52" i="11"/>
  <c r="J52" i="11"/>
  <c r="I52" i="11"/>
  <c r="H52" i="11"/>
  <c r="G52" i="11"/>
  <c r="F52" i="11"/>
  <c r="E52" i="11"/>
  <c r="D52" i="11"/>
  <c r="C52" i="11"/>
  <c r="B52" i="11"/>
  <c r="A52" i="11"/>
  <c r="L52" i="11"/>
  <c r="L51" i="11"/>
  <c r="K51" i="11"/>
  <c r="J51" i="11"/>
  <c r="I51" i="11"/>
  <c r="H51" i="11"/>
  <c r="G51" i="11"/>
  <c r="F51" i="11"/>
  <c r="E51" i="11"/>
  <c r="D51" i="11"/>
  <c r="C51" i="11"/>
  <c r="B51" i="11"/>
  <c r="A51" i="11"/>
  <c r="L50" i="11"/>
  <c r="K50" i="11"/>
  <c r="J50" i="11"/>
  <c r="I50" i="11"/>
  <c r="H50" i="11"/>
  <c r="G50" i="11"/>
  <c r="F50" i="11"/>
  <c r="E50" i="11"/>
  <c r="D50" i="11"/>
  <c r="C50" i="11"/>
  <c r="B50" i="11"/>
  <c r="A50" i="11"/>
  <c r="L39" i="11"/>
  <c r="K39" i="11"/>
  <c r="J39" i="11"/>
  <c r="I39" i="11"/>
  <c r="H39" i="11"/>
  <c r="G39" i="11"/>
  <c r="F39" i="11"/>
  <c r="E39" i="11"/>
  <c r="D39" i="11"/>
  <c r="C39" i="11"/>
  <c r="B39" i="11"/>
  <c r="A39" i="11"/>
  <c r="L8" i="11"/>
  <c r="K8" i="11"/>
  <c r="J8" i="11"/>
  <c r="I8" i="11"/>
  <c r="H8" i="11"/>
  <c r="G8" i="11"/>
  <c r="F8" i="11"/>
  <c r="E8" i="11"/>
  <c r="D8" i="11"/>
  <c r="C8" i="11"/>
  <c r="B8" i="11"/>
  <c r="A8" i="11"/>
  <c r="J7" i="11"/>
  <c r="H7" i="11"/>
  <c r="F7" i="11"/>
  <c r="D7" i="11"/>
  <c r="B7" i="11"/>
  <c r="L7" i="11"/>
  <c r="K7" i="11"/>
  <c r="I7" i="11"/>
  <c r="G7" i="11"/>
  <c r="E7" i="11"/>
  <c r="C7" i="11"/>
  <c r="A7" i="11"/>
  <c r="J64" i="11"/>
  <c r="H64" i="11"/>
  <c r="F64" i="11"/>
  <c r="D64" i="11"/>
  <c r="B64" i="11"/>
  <c r="A64" i="11"/>
  <c r="K64" i="11"/>
  <c r="I64" i="11"/>
  <c r="G64" i="11"/>
  <c r="C64" i="11"/>
  <c r="L64" i="11"/>
  <c r="E64" i="11"/>
  <c r="L60" i="11"/>
  <c r="K60" i="11"/>
  <c r="I60" i="11"/>
  <c r="H60" i="11"/>
  <c r="G60" i="11"/>
  <c r="F60" i="11"/>
  <c r="E60" i="11"/>
  <c r="D60" i="11"/>
  <c r="C60" i="11"/>
  <c r="B60" i="11"/>
  <c r="A60" i="11"/>
  <c r="J60" i="11"/>
  <c r="L49" i="11"/>
  <c r="K49" i="11"/>
  <c r="J49" i="11"/>
  <c r="I49" i="11"/>
  <c r="H49" i="11"/>
  <c r="G49" i="11"/>
  <c r="F49" i="11"/>
  <c r="E49" i="11"/>
  <c r="D49" i="11"/>
  <c r="C49" i="11"/>
  <c r="B49" i="11"/>
  <c r="A49" i="11"/>
  <c r="L45" i="11"/>
  <c r="K45" i="11"/>
  <c r="J45" i="11"/>
  <c r="I45" i="11"/>
  <c r="H45" i="11"/>
  <c r="G45" i="11"/>
  <c r="F45" i="11"/>
  <c r="E45" i="11"/>
  <c r="D45" i="11"/>
  <c r="C45" i="11"/>
  <c r="B45" i="11"/>
  <c r="A45" i="11"/>
  <c r="L9" i="11"/>
  <c r="K9" i="11"/>
  <c r="J9" i="11"/>
  <c r="I9" i="11"/>
  <c r="H9" i="11"/>
  <c r="G9" i="11"/>
  <c r="F9" i="11"/>
  <c r="E9" i="11"/>
  <c r="D9" i="11"/>
  <c r="C9" i="11"/>
  <c r="B9" i="11"/>
  <c r="A9" i="11"/>
  <c r="L6" i="11"/>
  <c r="J6" i="11"/>
  <c r="H6" i="11"/>
  <c r="F6" i="11"/>
  <c r="C6" i="11"/>
  <c r="A6" i="11"/>
  <c r="K6" i="11"/>
  <c r="I6" i="11"/>
  <c r="G6" i="11"/>
  <c r="E6" i="11"/>
  <c r="D6" i="11"/>
  <c r="B6" i="11"/>
  <c r="L65" i="11"/>
  <c r="J65" i="11"/>
  <c r="G65" i="11"/>
  <c r="D65" i="11"/>
  <c r="A65" i="11"/>
  <c r="H65" i="11"/>
  <c r="F65" i="11"/>
  <c r="B65" i="11"/>
  <c r="K65" i="11"/>
  <c r="I65" i="11"/>
  <c r="E65" i="11"/>
  <c r="C65" i="11"/>
  <c r="L62" i="11"/>
  <c r="J62" i="11"/>
  <c r="H62" i="11"/>
  <c r="G62" i="11"/>
  <c r="E62" i="11"/>
  <c r="C62" i="11"/>
  <c r="A62" i="11"/>
  <c r="K62" i="11"/>
  <c r="I62" i="11"/>
  <c r="F62" i="11"/>
  <c r="D62" i="11"/>
  <c r="B62" i="11"/>
  <c r="L58" i="11"/>
  <c r="I58" i="11"/>
  <c r="G58" i="11"/>
  <c r="E58" i="11"/>
  <c r="D58" i="11"/>
  <c r="B58" i="11"/>
  <c r="K58" i="11"/>
  <c r="J58" i="11"/>
  <c r="H58" i="11"/>
  <c r="F58" i="11"/>
  <c r="C58" i="11"/>
  <c r="A58" i="11"/>
  <c r="L48" i="11"/>
  <c r="K48" i="11"/>
  <c r="J48" i="11"/>
  <c r="I48" i="11"/>
  <c r="H48" i="11"/>
  <c r="G48" i="11"/>
  <c r="F48" i="11"/>
  <c r="E48" i="11"/>
  <c r="D48" i="11"/>
  <c r="C48" i="11"/>
  <c r="B48" i="11"/>
  <c r="A48" i="11"/>
  <c r="L47" i="11"/>
  <c r="K47" i="11"/>
  <c r="J47" i="11"/>
  <c r="I47" i="11"/>
  <c r="H47" i="11"/>
  <c r="G47" i="11"/>
  <c r="F47" i="11"/>
  <c r="E47" i="11"/>
  <c r="D47" i="11"/>
  <c r="C47" i="11"/>
  <c r="B47" i="11"/>
  <c r="A47" i="11"/>
  <c r="L46" i="11"/>
  <c r="K46" i="11"/>
  <c r="J46" i="11"/>
  <c r="I46" i="11"/>
  <c r="H46" i="11"/>
  <c r="G46" i="11"/>
  <c r="F46" i="11"/>
  <c r="E46" i="11"/>
  <c r="D46" i="11"/>
  <c r="C46" i="11"/>
  <c r="B46" i="11"/>
  <c r="A46" i="11"/>
  <c r="L44" i="11"/>
  <c r="K44" i="11"/>
  <c r="J44" i="11"/>
  <c r="I44" i="11"/>
  <c r="H44" i="11"/>
  <c r="G44" i="11"/>
  <c r="F44" i="11"/>
  <c r="E44" i="11"/>
  <c r="D44" i="11"/>
  <c r="C44" i="11"/>
  <c r="B44" i="11"/>
  <c r="A44" i="11"/>
  <c r="L43" i="11"/>
  <c r="K43" i="11"/>
  <c r="J43" i="11"/>
  <c r="I43" i="11"/>
  <c r="H43" i="11"/>
  <c r="G43" i="11"/>
  <c r="F43" i="11"/>
  <c r="E43" i="11"/>
  <c r="D43" i="11"/>
  <c r="C43" i="11"/>
  <c r="B43" i="11"/>
  <c r="A43" i="11"/>
  <c r="L42" i="11"/>
  <c r="K42" i="11"/>
  <c r="J42" i="11"/>
  <c r="I42" i="11"/>
  <c r="H42" i="11"/>
  <c r="G42" i="11"/>
  <c r="F42" i="11"/>
  <c r="E42" i="11"/>
  <c r="D42" i="11"/>
  <c r="C42" i="11"/>
  <c r="B42" i="11"/>
  <c r="A42" i="11"/>
  <c r="L41" i="11"/>
  <c r="K41" i="11"/>
  <c r="J41" i="11"/>
  <c r="I41" i="11"/>
  <c r="H41" i="11"/>
  <c r="G41" i="11"/>
  <c r="F41" i="11"/>
  <c r="E41" i="11"/>
  <c r="D41" i="11"/>
  <c r="C41" i="11"/>
  <c r="B41" i="11"/>
  <c r="A41" i="11"/>
  <c r="L40" i="11"/>
  <c r="K40" i="11"/>
  <c r="J40" i="11"/>
  <c r="I40" i="11"/>
  <c r="H40" i="11"/>
  <c r="G40" i="11"/>
  <c r="F40" i="11"/>
  <c r="E40" i="11"/>
  <c r="D40" i="11"/>
  <c r="C40" i="11"/>
  <c r="B40" i="11"/>
  <c r="A40" i="11"/>
  <c r="L31" i="11"/>
  <c r="K31" i="11"/>
  <c r="J31" i="11"/>
  <c r="I31" i="11"/>
  <c r="H31" i="11"/>
  <c r="G31" i="11"/>
  <c r="F31" i="11"/>
  <c r="E31" i="11"/>
  <c r="D31" i="11"/>
  <c r="C31" i="11"/>
  <c r="B31" i="11"/>
  <c r="A31" i="11"/>
  <c r="L37" i="11"/>
  <c r="J37" i="11"/>
  <c r="H37" i="11"/>
  <c r="F37" i="11"/>
  <c r="D37" i="11"/>
  <c r="B37" i="11"/>
  <c r="K37" i="11"/>
  <c r="I37" i="11"/>
  <c r="G37" i="11"/>
  <c r="E37" i="11"/>
  <c r="C37" i="11"/>
  <c r="A37" i="11"/>
  <c r="L36" i="11"/>
  <c r="J36" i="11"/>
  <c r="H36" i="11"/>
  <c r="G36" i="11"/>
  <c r="E36" i="11"/>
  <c r="C36" i="11"/>
  <c r="K36" i="11"/>
  <c r="I36" i="11"/>
  <c r="F36" i="11"/>
  <c r="D36" i="11"/>
  <c r="B36" i="11"/>
  <c r="A36" i="11"/>
  <c r="L35" i="11"/>
  <c r="J35" i="11"/>
  <c r="H35" i="11"/>
  <c r="G35" i="11"/>
  <c r="E35" i="11"/>
  <c r="C35" i="11"/>
  <c r="A35" i="11"/>
  <c r="K35" i="11"/>
  <c r="I35" i="11"/>
  <c r="F35" i="11"/>
  <c r="D35" i="11"/>
  <c r="B35" i="11"/>
  <c r="K34" i="11"/>
  <c r="H34" i="11"/>
  <c r="F34" i="11"/>
  <c r="L34" i="11"/>
  <c r="J34" i="11"/>
  <c r="I34" i="11"/>
  <c r="G34" i="11"/>
  <c r="E34" i="11"/>
  <c r="D34" i="11"/>
  <c r="C34" i="11"/>
  <c r="B34" i="11"/>
  <c r="A34" i="11"/>
  <c r="K33" i="11"/>
  <c r="J33" i="11"/>
  <c r="I33" i="11"/>
  <c r="H33" i="11"/>
  <c r="G33" i="11"/>
  <c r="F33" i="11"/>
  <c r="E33" i="11"/>
  <c r="D33" i="11"/>
  <c r="C33" i="11"/>
  <c r="B33" i="11"/>
  <c r="A33" i="11"/>
  <c r="L33" i="11"/>
  <c r="L32" i="11"/>
  <c r="K32" i="11"/>
  <c r="J32" i="11"/>
  <c r="I32" i="11"/>
  <c r="H32" i="11"/>
  <c r="G32" i="11"/>
  <c r="F32" i="11"/>
  <c r="E32" i="11"/>
  <c r="D32" i="11"/>
  <c r="C32" i="11"/>
  <c r="B32" i="11"/>
  <c r="A32" i="11"/>
  <c r="L30" i="11"/>
  <c r="K30" i="11"/>
  <c r="J30" i="11"/>
  <c r="I30" i="11"/>
  <c r="H30" i="11"/>
  <c r="G30" i="11"/>
  <c r="F30" i="11"/>
  <c r="E30" i="11"/>
  <c r="D30" i="11"/>
  <c r="C30" i="11"/>
  <c r="B30" i="11"/>
  <c r="A30" i="11"/>
  <c r="L29" i="11"/>
  <c r="K29" i="11"/>
  <c r="J29" i="11"/>
  <c r="I29" i="11"/>
  <c r="H29" i="11"/>
  <c r="G29" i="11"/>
  <c r="F29" i="11"/>
  <c r="E29" i="11"/>
  <c r="D29" i="11"/>
  <c r="C29" i="11"/>
  <c r="B29" i="11"/>
  <c r="A29" i="11"/>
  <c r="L28" i="11"/>
  <c r="K28" i="11"/>
  <c r="J28" i="11"/>
  <c r="I28" i="11"/>
  <c r="H28" i="11"/>
  <c r="G28" i="11"/>
  <c r="F28" i="11"/>
  <c r="E28" i="11"/>
  <c r="D28" i="11"/>
  <c r="C28" i="11"/>
  <c r="B28" i="11"/>
  <c r="A28" i="11"/>
  <c r="L27" i="11"/>
  <c r="K27" i="11"/>
  <c r="J27" i="11"/>
  <c r="I27" i="11"/>
  <c r="H27" i="11"/>
  <c r="G27" i="11"/>
  <c r="F27" i="11"/>
  <c r="E27" i="11"/>
  <c r="D27" i="11"/>
  <c r="C27" i="11"/>
  <c r="B27" i="11"/>
  <c r="A27" i="11"/>
  <c r="L26" i="11"/>
  <c r="K26" i="11"/>
  <c r="J26" i="11"/>
  <c r="I26" i="11"/>
  <c r="H26" i="11"/>
  <c r="G26" i="11"/>
  <c r="F26" i="11"/>
  <c r="E26" i="11"/>
  <c r="D26" i="11"/>
  <c r="C26" i="11"/>
  <c r="B26" i="11"/>
  <c r="A26" i="11"/>
  <c r="L25" i="11"/>
  <c r="K25" i="11"/>
  <c r="J25" i="11"/>
  <c r="I25" i="11"/>
  <c r="H25" i="11"/>
  <c r="G25" i="11"/>
  <c r="F25" i="11"/>
  <c r="E25" i="11"/>
  <c r="D25" i="11"/>
  <c r="C25" i="11"/>
  <c r="B25" i="11"/>
  <c r="A25" i="11"/>
  <c r="L24" i="11"/>
  <c r="K24" i="11"/>
  <c r="J24" i="11"/>
  <c r="I24" i="11"/>
  <c r="H24" i="11"/>
  <c r="G24" i="11"/>
  <c r="F24" i="11"/>
  <c r="E24" i="11"/>
  <c r="D24" i="11"/>
  <c r="C24" i="11"/>
  <c r="B24" i="11"/>
  <c r="A24" i="11"/>
  <c r="L23" i="11"/>
  <c r="K23" i="11"/>
  <c r="J23" i="11"/>
  <c r="I23" i="11"/>
  <c r="H23" i="11"/>
  <c r="G23" i="11"/>
  <c r="F23" i="11"/>
  <c r="E23" i="11"/>
  <c r="D23" i="11"/>
  <c r="C23" i="11"/>
  <c r="B23" i="11"/>
  <c r="A23" i="11"/>
  <c r="L22" i="11"/>
  <c r="K22" i="11"/>
  <c r="J22" i="11"/>
  <c r="I22" i="11"/>
  <c r="H22" i="11"/>
  <c r="G22" i="11"/>
  <c r="F22" i="11"/>
  <c r="E22" i="11"/>
  <c r="D22" i="11"/>
  <c r="C22" i="11"/>
  <c r="B22" i="11"/>
  <c r="A22" i="11"/>
  <c r="L21" i="11"/>
  <c r="K21" i="11"/>
  <c r="J21" i="11"/>
  <c r="I21" i="11"/>
  <c r="H21" i="11"/>
  <c r="G21" i="11"/>
  <c r="F21" i="11"/>
  <c r="E21" i="11"/>
  <c r="D21" i="11"/>
  <c r="C21" i="11"/>
  <c r="B21" i="11"/>
  <c r="A21" i="11"/>
  <c r="L20" i="11"/>
  <c r="K20" i="11"/>
  <c r="J20" i="11"/>
  <c r="I20" i="11"/>
  <c r="H20" i="11"/>
  <c r="G20" i="11"/>
  <c r="F20" i="11"/>
  <c r="E20" i="11"/>
  <c r="D20" i="11"/>
  <c r="C20" i="11"/>
  <c r="B20" i="11"/>
  <c r="A20" i="11"/>
  <c r="L19" i="11"/>
  <c r="K19" i="11"/>
  <c r="J19" i="11"/>
  <c r="I19" i="11"/>
  <c r="H19" i="11"/>
  <c r="G19" i="11"/>
  <c r="F19" i="11"/>
  <c r="E19" i="11"/>
  <c r="D19" i="11"/>
  <c r="C19" i="11"/>
  <c r="B19" i="11"/>
  <c r="A19" i="11"/>
  <c r="L18" i="11"/>
  <c r="K18" i="11"/>
  <c r="J18" i="11"/>
  <c r="I18" i="11"/>
  <c r="H18" i="11"/>
  <c r="G18" i="11"/>
  <c r="F18" i="11"/>
  <c r="E18" i="11"/>
  <c r="D18" i="11"/>
  <c r="C18" i="11"/>
  <c r="B18" i="11"/>
  <c r="A18" i="11"/>
  <c r="L17" i="11"/>
  <c r="K17" i="11"/>
  <c r="J17" i="11"/>
  <c r="I17" i="11"/>
  <c r="H17" i="11"/>
  <c r="G17" i="11"/>
  <c r="F17" i="11"/>
  <c r="E17" i="11"/>
  <c r="D17" i="11"/>
  <c r="C17" i="11"/>
  <c r="B17" i="11"/>
  <c r="A17" i="11"/>
  <c r="L16" i="11"/>
  <c r="K16" i="11"/>
  <c r="J16" i="11"/>
  <c r="I16" i="11"/>
  <c r="H16" i="11"/>
  <c r="G16" i="11"/>
  <c r="F16" i="11"/>
  <c r="E16" i="11"/>
  <c r="D16" i="11"/>
  <c r="C16" i="11"/>
  <c r="B16" i="11"/>
  <c r="A16" i="11"/>
  <c r="L15" i="11"/>
  <c r="K15" i="11"/>
  <c r="J15" i="11"/>
  <c r="I15" i="11"/>
  <c r="H15" i="11"/>
  <c r="G15" i="11"/>
  <c r="F15" i="11"/>
  <c r="E15" i="11"/>
  <c r="D15" i="11"/>
  <c r="C15" i="11"/>
  <c r="B15" i="11"/>
  <c r="A15" i="11"/>
  <c r="L14" i="11"/>
  <c r="K14" i="11"/>
  <c r="J14" i="11"/>
  <c r="I14" i="11"/>
  <c r="H14" i="11"/>
  <c r="G14" i="11"/>
  <c r="F14" i="11"/>
  <c r="E14" i="11"/>
  <c r="D14" i="11"/>
  <c r="C14" i="11"/>
  <c r="B14" i="11"/>
  <c r="A14" i="11"/>
  <c r="L13" i="11"/>
  <c r="K13" i="11"/>
  <c r="J13" i="11"/>
  <c r="I13" i="11"/>
  <c r="H13" i="11"/>
  <c r="G13" i="11"/>
  <c r="F13" i="11"/>
  <c r="E13" i="11"/>
  <c r="D13" i="11"/>
  <c r="C13" i="11"/>
  <c r="B13" i="11"/>
  <c r="A13" i="11"/>
  <c r="L12" i="11"/>
  <c r="K12" i="11"/>
  <c r="J12" i="11"/>
  <c r="I12" i="11"/>
  <c r="H12" i="11"/>
  <c r="G12" i="11"/>
  <c r="F12" i="11"/>
  <c r="E12" i="11"/>
  <c r="D12" i="11"/>
  <c r="C12" i="11"/>
  <c r="B12" i="11"/>
  <c r="A12" i="11"/>
  <c r="L11" i="11"/>
  <c r="K11" i="11"/>
  <c r="J11" i="11"/>
  <c r="I11" i="11"/>
  <c r="H11" i="11"/>
  <c r="G11" i="11"/>
  <c r="F11" i="11"/>
  <c r="E11" i="11"/>
  <c r="D11" i="11"/>
  <c r="C11" i="11"/>
  <c r="B11" i="11"/>
  <c r="A11" i="11"/>
  <c r="L10" i="11"/>
  <c r="K10" i="11"/>
  <c r="J10" i="11"/>
  <c r="I10" i="11"/>
  <c r="H10" i="11"/>
  <c r="G10" i="11"/>
  <c r="F10" i="11"/>
  <c r="E10" i="11"/>
  <c r="D10" i="11"/>
  <c r="C10" i="11"/>
  <c r="B10" i="11"/>
  <c r="A10" i="11"/>
  <c r="L38" i="11"/>
  <c r="K38" i="11"/>
  <c r="J38" i="11"/>
  <c r="I38" i="11"/>
  <c r="H38" i="11"/>
  <c r="F38" i="11"/>
  <c r="D38" i="11"/>
  <c r="B38" i="11"/>
  <c r="G38" i="11"/>
  <c r="E38" i="11"/>
  <c r="C38" i="11"/>
  <c r="A38" i="11"/>
  <c r="R6" i="7"/>
  <c r="Q4" i="7"/>
  <c r="Q5" i="7" s="1"/>
  <c r="R6" i="10"/>
  <c r="Q4" i="10"/>
  <c r="Q5" i="10" s="1"/>
  <c r="P5" i="10"/>
  <c r="R6" i="8"/>
  <c r="Q4" i="8"/>
  <c r="Q5" i="8" s="1"/>
  <c r="R6" i="9"/>
  <c r="Q4" i="9"/>
  <c r="Q5" i="9" s="1"/>
  <c r="P5" i="9"/>
  <c r="S6" i="7" l="1"/>
  <c r="R4" i="7"/>
  <c r="R5" i="7" s="1"/>
  <c r="S6" i="10"/>
  <c r="R4" i="10"/>
  <c r="R5" i="10" s="1"/>
  <c r="S6" i="8"/>
  <c r="R4" i="8"/>
  <c r="R5" i="8" s="1"/>
  <c r="S6" i="9"/>
  <c r="R4" i="9"/>
  <c r="R5" i="9" s="1"/>
  <c r="T6" i="7" l="1"/>
  <c r="S4" i="7"/>
  <c r="S5" i="7" s="1"/>
  <c r="T6" i="10"/>
  <c r="S4" i="10"/>
  <c r="S5" i="10" s="1"/>
  <c r="T6" i="8"/>
  <c r="S4" i="8"/>
  <c r="S5" i="8" s="1"/>
  <c r="T6" i="9"/>
  <c r="S4" i="9"/>
  <c r="S5" i="9" s="1"/>
  <c r="U6" i="7" l="1"/>
  <c r="T4" i="7"/>
  <c r="T5" i="7" s="1"/>
  <c r="U6" i="10"/>
  <c r="T4" i="10"/>
  <c r="T5" i="10" s="1"/>
  <c r="U6" i="8"/>
  <c r="T4" i="8"/>
  <c r="T5" i="8" s="1"/>
  <c r="U6" i="9"/>
  <c r="T4" i="9"/>
  <c r="T5" i="9" s="1"/>
  <c r="V6" i="7" l="1"/>
  <c r="U4" i="7"/>
  <c r="U5" i="7" s="1"/>
  <c r="V6" i="10"/>
  <c r="U4" i="10"/>
  <c r="U5" i="10" s="1"/>
  <c r="V6" i="8"/>
  <c r="U4" i="8"/>
  <c r="U5" i="8" s="1"/>
  <c r="V6" i="9"/>
  <c r="U4" i="9"/>
  <c r="U5" i="9" s="1"/>
  <c r="W6" i="7" l="1"/>
  <c r="V4" i="7"/>
  <c r="V5" i="7" s="1"/>
  <c r="W6" i="10"/>
  <c r="V4" i="10"/>
  <c r="V5" i="10" s="1"/>
  <c r="W6" i="8"/>
  <c r="V4" i="8"/>
  <c r="V5" i="8" s="1"/>
  <c r="W6" i="9"/>
  <c r="V4" i="9"/>
  <c r="V5" i="9" s="1"/>
  <c r="X6" i="7" l="1"/>
  <c r="W4" i="7"/>
  <c r="W5" i="7" s="1"/>
  <c r="X6" i="10"/>
  <c r="W4" i="10"/>
  <c r="W5" i="10" s="1"/>
  <c r="X6" i="8"/>
  <c r="W4" i="8"/>
  <c r="W5" i="8" s="1"/>
  <c r="X6" i="9"/>
  <c r="W4" i="9"/>
  <c r="W5" i="9" s="1"/>
  <c r="Y6" i="7" l="1"/>
  <c r="X4" i="7"/>
  <c r="X5" i="7" s="1"/>
  <c r="Y6" i="10"/>
  <c r="X4" i="10"/>
  <c r="X5" i="10" s="1"/>
  <c r="Y6" i="8"/>
  <c r="X4" i="8"/>
  <c r="X5" i="8" s="1"/>
  <c r="Y6" i="9"/>
  <c r="X4" i="9"/>
  <c r="X5" i="9" s="1"/>
  <c r="Z6" i="7" l="1"/>
  <c r="Y4" i="7"/>
  <c r="Y5" i="7" s="1"/>
  <c r="Z6" i="10"/>
  <c r="Y4" i="10"/>
  <c r="Y5" i="10" s="1"/>
  <c r="Z6" i="8"/>
  <c r="Y4" i="8"/>
  <c r="Y5" i="8" s="1"/>
  <c r="Z6" i="9"/>
  <c r="Y4" i="9"/>
  <c r="Y5" i="9" s="1"/>
  <c r="AA6" i="7" l="1"/>
  <c r="Z4" i="7"/>
  <c r="Z5" i="7" s="1"/>
  <c r="AA6" i="10"/>
  <c r="Z4" i="10"/>
  <c r="Z5" i="10" s="1"/>
  <c r="AA6" i="8"/>
  <c r="Z4" i="8"/>
  <c r="Z5" i="8" s="1"/>
  <c r="AA6" i="9"/>
  <c r="Z4" i="9"/>
  <c r="Z5" i="9" s="1"/>
  <c r="AB6" i="7" l="1"/>
  <c r="AA4" i="7"/>
  <c r="AA5" i="7" s="1"/>
  <c r="AB6" i="10"/>
  <c r="AA4" i="10"/>
  <c r="AA5" i="10" s="1"/>
  <c r="AB6" i="8"/>
  <c r="AA4" i="8"/>
  <c r="AA5" i="8" s="1"/>
  <c r="AB6" i="9"/>
  <c r="AA4" i="9"/>
  <c r="AA5" i="9" s="1"/>
  <c r="AC6" i="7" l="1"/>
  <c r="AB4" i="7"/>
  <c r="AB5" i="7" s="1"/>
  <c r="AC6" i="10"/>
  <c r="AB4" i="10"/>
  <c r="AB5" i="10" s="1"/>
  <c r="AC6" i="8"/>
  <c r="AB4" i="8"/>
  <c r="AB5" i="8" s="1"/>
  <c r="AC6" i="9"/>
  <c r="AB4" i="9"/>
  <c r="AB5" i="9" s="1"/>
  <c r="AD6" i="7" l="1"/>
  <c r="AC4" i="7"/>
  <c r="AC5" i="7" s="1"/>
  <c r="AD6" i="10"/>
  <c r="AC4" i="10"/>
  <c r="AC5" i="10" s="1"/>
  <c r="AD6" i="8"/>
  <c r="AC4" i="8"/>
  <c r="AC5" i="8" s="1"/>
  <c r="AD6" i="9"/>
  <c r="AC4" i="9"/>
  <c r="AC5" i="9" s="1"/>
  <c r="AE6" i="7" l="1"/>
  <c r="AD4" i="7"/>
  <c r="AD5" i="7" s="1"/>
  <c r="AE6" i="10"/>
  <c r="AD4" i="10"/>
  <c r="AD5" i="10" s="1"/>
  <c r="AE6" i="8"/>
  <c r="AD4" i="8"/>
  <c r="AD5" i="8" s="1"/>
  <c r="AE6" i="9"/>
  <c r="AD4" i="9"/>
  <c r="AD5" i="9" s="1"/>
  <c r="AF6" i="7" l="1"/>
  <c r="AE4" i="7"/>
  <c r="AE5" i="7" s="1"/>
  <c r="AF6" i="10"/>
  <c r="AE4" i="10"/>
  <c r="AE5" i="10" s="1"/>
  <c r="AF6" i="8"/>
  <c r="AE4" i="8"/>
  <c r="AE5" i="8" s="1"/>
  <c r="AF6" i="9"/>
  <c r="AE4" i="9"/>
  <c r="AE5" i="9" s="1"/>
  <c r="AG6" i="7" l="1"/>
  <c r="AF4" i="7"/>
  <c r="AF5" i="7" s="1"/>
  <c r="AG6" i="10"/>
  <c r="AF4" i="10"/>
  <c r="AF5" i="10" s="1"/>
  <c r="AG6" i="8"/>
  <c r="AF4" i="8"/>
  <c r="AF5" i="8" s="1"/>
  <c r="AG6" i="9"/>
  <c r="AF4" i="9"/>
  <c r="AF5" i="9" s="1"/>
  <c r="AH6" i="7" l="1"/>
  <c r="AG4" i="7"/>
  <c r="AG5" i="7" s="1"/>
  <c r="AH6" i="10"/>
  <c r="AG4" i="10"/>
  <c r="AG5" i="10" s="1"/>
  <c r="AH6" i="8"/>
  <c r="AG4" i="8"/>
  <c r="AG5" i="8" s="1"/>
  <c r="AH6" i="9"/>
  <c r="AG4" i="9"/>
  <c r="AG5" i="9" s="1"/>
  <c r="AI6" i="7" l="1"/>
  <c r="AH4" i="7"/>
  <c r="AH5" i="7" s="1"/>
  <c r="AI6" i="10"/>
  <c r="AH4" i="10"/>
  <c r="AH5" i="10" s="1"/>
  <c r="AI6" i="8"/>
  <c r="AH4" i="8"/>
  <c r="AH5" i="8" s="1"/>
  <c r="AI6" i="9"/>
  <c r="AH4" i="9"/>
  <c r="AH5" i="9" s="1"/>
  <c r="AJ6" i="7" l="1"/>
  <c r="AI4" i="7"/>
  <c r="AI5" i="7" s="1"/>
  <c r="AJ6" i="10"/>
  <c r="AI4" i="10"/>
  <c r="AI5" i="10" s="1"/>
  <c r="AJ6" i="8"/>
  <c r="AI4" i="8"/>
  <c r="AI5" i="8" s="1"/>
  <c r="AJ6" i="9"/>
  <c r="AI4" i="9"/>
  <c r="AI5" i="9" s="1"/>
  <c r="AK6" i="7" l="1"/>
  <c r="AJ4" i="7"/>
  <c r="AK6" i="10"/>
  <c r="AJ4" i="10"/>
  <c r="AJ5" i="10" s="1"/>
  <c r="AK6" i="8"/>
  <c r="AJ4" i="8"/>
  <c r="AJ5" i="8" s="1"/>
  <c r="AK6" i="9"/>
  <c r="AJ4" i="9"/>
  <c r="AJ5" i="9" s="1"/>
  <c r="AL6" i="7" l="1"/>
  <c r="AK4" i="7"/>
  <c r="AK5" i="7" s="1"/>
  <c r="AJ5" i="7"/>
  <c r="AL6" i="10"/>
  <c r="AK4" i="10"/>
  <c r="AK5" i="10" s="1"/>
  <c r="AL6" i="8"/>
  <c r="AK4" i="8"/>
  <c r="AK5" i="8" s="1"/>
  <c r="AL6" i="9"/>
  <c r="AK4" i="9"/>
  <c r="AK5" i="9" s="1"/>
  <c r="AM6" i="7" l="1"/>
  <c r="AL4" i="7"/>
  <c r="AM6" i="10"/>
  <c r="AL4" i="10"/>
  <c r="AL5" i="10" s="1"/>
  <c r="AM6" i="8"/>
  <c r="AL4" i="8"/>
  <c r="AL5" i="8" s="1"/>
  <c r="AM6" i="9"/>
  <c r="AL4" i="9"/>
  <c r="AL5" i="9" s="1"/>
  <c r="AN6" i="7" l="1"/>
  <c r="AM4" i="7"/>
  <c r="AM5" i="7" s="1"/>
  <c r="AL5" i="7"/>
  <c r="AN6" i="10"/>
  <c r="AM4" i="10"/>
  <c r="AM5" i="10" s="1"/>
  <c r="AN6" i="8"/>
  <c r="AM4" i="8"/>
  <c r="AM5" i="8" s="1"/>
  <c r="AN6" i="9"/>
  <c r="AM4" i="9"/>
  <c r="AM5" i="9" s="1"/>
  <c r="AO6" i="7" l="1"/>
  <c r="AN4" i="7"/>
  <c r="AO6" i="10"/>
  <c r="AN4" i="10"/>
  <c r="AN5" i="10" s="1"/>
  <c r="AO6" i="8"/>
  <c r="AN4" i="8"/>
  <c r="AN5" i="8" s="1"/>
  <c r="AO6" i="9"/>
  <c r="AN4" i="9"/>
  <c r="AN5" i="9" s="1"/>
  <c r="AP6" i="7" l="1"/>
  <c r="AO4" i="7"/>
  <c r="AO5" i="7" s="1"/>
  <c r="AN5" i="7"/>
  <c r="AP6" i="10"/>
  <c r="AO4" i="10"/>
  <c r="AO5" i="10" s="1"/>
  <c r="AP6" i="8"/>
  <c r="AO4" i="8"/>
  <c r="AO5" i="8" s="1"/>
  <c r="AP6" i="9"/>
  <c r="AO4" i="9"/>
  <c r="AO5" i="9" s="1"/>
  <c r="AQ6" i="7" l="1"/>
  <c r="AP4" i="7"/>
  <c r="AQ6" i="10"/>
  <c r="AP4" i="10"/>
  <c r="AP5" i="10" s="1"/>
  <c r="AQ6" i="8"/>
  <c r="AP4" i="8"/>
  <c r="AP5" i="8" s="1"/>
  <c r="AQ6" i="9"/>
  <c r="AP4" i="9"/>
  <c r="AP5" i="9" s="1"/>
  <c r="AR6" i="7" l="1"/>
  <c r="AQ4" i="7"/>
  <c r="AQ5" i="7" s="1"/>
  <c r="AP5" i="7"/>
  <c r="AR6" i="10"/>
  <c r="AQ4" i="10"/>
  <c r="AQ5" i="10" s="1"/>
  <c r="AR6" i="8"/>
  <c r="AQ4" i="8"/>
  <c r="AQ5" i="8" s="1"/>
  <c r="AR6" i="9"/>
  <c r="AQ4" i="9"/>
  <c r="AQ5" i="9" s="1"/>
  <c r="AS6" i="7" l="1"/>
  <c r="AR4" i="7"/>
  <c r="AS6" i="10"/>
  <c r="AR4" i="10"/>
  <c r="AR5" i="10" s="1"/>
  <c r="AS6" i="8"/>
  <c r="AR4" i="8"/>
  <c r="AR5" i="8" s="1"/>
  <c r="AS6" i="9"/>
  <c r="AR4" i="9"/>
  <c r="AR5" i="9" s="1"/>
  <c r="AT6" i="7" l="1"/>
  <c r="AS4" i="7"/>
  <c r="AS5" i="7" s="1"/>
  <c r="AR5" i="7"/>
  <c r="AS4" i="10"/>
  <c r="AS5" i="10" s="1"/>
  <c r="AT6" i="10"/>
  <c r="AT6" i="8"/>
  <c r="AS4" i="8"/>
  <c r="AS5" i="8" s="1"/>
  <c r="AT6" i="9"/>
  <c r="AS4" i="9"/>
  <c r="AS5" i="9" s="1"/>
  <c r="AU6" i="7" l="1"/>
  <c r="AT4" i="7"/>
  <c r="AU6" i="10"/>
  <c r="AT4" i="10"/>
  <c r="AT5" i="10" s="1"/>
  <c r="AU6" i="8"/>
  <c r="AT4" i="8"/>
  <c r="AT5" i="8" s="1"/>
  <c r="AT4" i="9"/>
  <c r="AT5" i="9" s="1"/>
  <c r="AU6" i="9"/>
  <c r="AV6" i="7" l="1"/>
  <c r="AU4" i="7"/>
  <c r="AU5" i="7" s="1"/>
  <c r="AT5" i="7"/>
  <c r="AV6" i="10"/>
  <c r="AU4" i="10"/>
  <c r="AU5" i="10" s="1"/>
  <c r="AV6" i="8"/>
  <c r="AU4" i="8"/>
  <c r="AU5" i="8" s="1"/>
  <c r="AV6" i="9"/>
  <c r="AU4" i="9"/>
  <c r="AU5" i="9" s="1"/>
  <c r="AW6" i="7" l="1"/>
  <c r="AV4" i="7"/>
  <c r="AV4" i="10"/>
  <c r="AV5" i="10" s="1"/>
  <c r="AW6" i="10"/>
  <c r="AW6" i="8"/>
  <c r="AV4" i="8"/>
  <c r="AV5" i="8" s="1"/>
  <c r="AV4" i="9"/>
  <c r="AV5" i="9" s="1"/>
  <c r="AW6" i="9"/>
  <c r="AX6" i="7" l="1"/>
  <c r="AW4" i="7"/>
  <c r="AW5" i="7" s="1"/>
  <c r="AV5" i="7"/>
  <c r="AX6" i="10"/>
  <c r="AW4" i="10"/>
  <c r="AW5" i="10" s="1"/>
  <c r="AX6" i="8"/>
  <c r="AW4" i="8"/>
  <c r="AW5" i="8" s="1"/>
  <c r="AX6" i="9"/>
  <c r="AW4" i="9"/>
  <c r="AW5" i="9" s="1"/>
  <c r="AY6" i="7" l="1"/>
  <c r="AX4" i="7"/>
  <c r="AY6" i="10"/>
  <c r="AX4" i="10"/>
  <c r="AX5" i="10" s="1"/>
  <c r="AY6" i="8"/>
  <c r="AX4" i="8"/>
  <c r="AX5" i="8" s="1"/>
  <c r="AX4" i="9"/>
  <c r="AX5" i="9" s="1"/>
  <c r="AY6" i="9"/>
  <c r="AZ6" i="7" l="1"/>
  <c r="AY4" i="7"/>
  <c r="AX5" i="7"/>
  <c r="AZ6" i="10"/>
  <c r="AY4" i="10"/>
  <c r="AY5" i="10" s="1"/>
  <c r="AZ6" i="8"/>
  <c r="AY4" i="8"/>
  <c r="AY5" i="8" s="1"/>
  <c r="AZ6" i="9"/>
  <c r="AY4" i="9"/>
  <c r="AY5" i="9" s="1"/>
  <c r="BA6" i="7" l="1"/>
  <c r="AZ4" i="7"/>
  <c r="AZ4" i="10"/>
  <c r="AZ5" i="10" s="1"/>
  <c r="BA6" i="10"/>
  <c r="BA6" i="8"/>
  <c r="AZ4" i="8"/>
  <c r="AZ5" i="8" s="1"/>
  <c r="AZ4" i="9"/>
  <c r="AZ5" i="9" s="1"/>
  <c r="BA6" i="9"/>
  <c r="AY5" i="7"/>
  <c r="BB6" i="7" l="1"/>
  <c r="BA4" i="7"/>
  <c r="BB6" i="10"/>
  <c r="BA4" i="10"/>
  <c r="BA5" i="10" s="1"/>
  <c r="BB6" i="8"/>
  <c r="BA4" i="8"/>
  <c r="BA5" i="8" s="1"/>
  <c r="BB6" i="9"/>
  <c r="BA4" i="9"/>
  <c r="BA5" i="9" s="1"/>
  <c r="AZ5" i="7"/>
  <c r="BC6" i="7" l="1"/>
  <c r="BB4" i="7"/>
  <c r="BB4" i="10"/>
  <c r="BB5" i="10" s="1"/>
  <c r="BC6" i="10"/>
  <c r="BC6" i="8"/>
  <c r="BB4" i="8"/>
  <c r="BB5" i="8" s="1"/>
  <c r="BB4" i="9"/>
  <c r="BB5" i="9" s="1"/>
  <c r="BC6" i="9"/>
  <c r="BA5" i="7"/>
  <c r="BD6" i="7" l="1"/>
  <c r="BC4" i="7"/>
  <c r="BD6" i="10"/>
  <c r="BC4" i="10"/>
  <c r="BC5" i="10" s="1"/>
  <c r="BD6" i="8"/>
  <c r="BC4" i="8"/>
  <c r="BC5" i="8" s="1"/>
  <c r="BD6" i="9"/>
  <c r="BC4" i="9"/>
  <c r="BC5" i="9" s="1"/>
  <c r="BB5" i="7"/>
  <c r="BE6" i="7" l="1"/>
  <c r="BD4" i="7"/>
  <c r="BD4" i="10"/>
  <c r="BD5" i="10" s="1"/>
  <c r="BE6" i="10"/>
  <c r="BE6" i="8"/>
  <c r="BD4" i="8"/>
  <c r="BD5" i="8" s="1"/>
  <c r="BD4" i="9"/>
  <c r="BD5" i="9" s="1"/>
  <c r="BE6" i="9"/>
  <c r="BC5" i="7"/>
  <c r="BF6" i="7" l="1"/>
  <c r="BE4" i="7"/>
  <c r="BF6" i="10"/>
  <c r="BE4" i="10"/>
  <c r="BE5" i="10" s="1"/>
  <c r="BF6" i="8"/>
  <c r="BE4" i="8"/>
  <c r="BE5" i="8" s="1"/>
  <c r="BF6" i="9"/>
  <c r="BE4" i="9"/>
  <c r="BE5" i="9" s="1"/>
  <c r="BD5" i="7"/>
  <c r="BG6" i="7" l="1"/>
  <c r="BF4" i="7"/>
  <c r="BF4" i="10"/>
  <c r="BF5" i="10" s="1"/>
  <c r="BG6" i="10"/>
  <c r="BG6" i="8"/>
  <c r="BF4" i="8"/>
  <c r="BF5" i="8" s="1"/>
  <c r="BF4" i="9"/>
  <c r="BF5" i="9" s="1"/>
  <c r="BG6" i="9"/>
  <c r="BE5" i="7"/>
  <c r="BH6" i="7" l="1"/>
  <c r="BG4" i="7"/>
  <c r="BH6" i="10"/>
  <c r="BG4" i="10"/>
  <c r="BG5" i="10" s="1"/>
  <c r="BH6" i="8"/>
  <c r="BG4" i="8"/>
  <c r="BG5" i="8" s="1"/>
  <c r="BH6" i="9"/>
  <c r="BG4" i="9"/>
  <c r="BG5" i="9" s="1"/>
  <c r="BF5" i="7"/>
  <c r="BI6" i="7" l="1"/>
  <c r="BH4" i="7"/>
  <c r="BH4" i="10"/>
  <c r="BH5" i="10" s="1"/>
  <c r="BI6" i="10"/>
  <c r="BI6" i="8"/>
  <c r="BH4" i="8"/>
  <c r="BH5" i="8" s="1"/>
  <c r="BH4" i="9"/>
  <c r="BH5" i="9" s="1"/>
  <c r="BI6" i="9"/>
  <c r="BG5" i="7"/>
  <c r="BJ6" i="7" l="1"/>
  <c r="BJ4" i="7" s="1"/>
  <c r="BI4" i="7"/>
  <c r="BJ6" i="10"/>
  <c r="BJ4" i="10" s="1"/>
  <c r="BI4" i="10"/>
  <c r="BI5" i="10" s="1"/>
  <c r="BJ6" i="8"/>
  <c r="BJ4" i="8" s="1"/>
  <c r="BI4" i="8"/>
  <c r="BI5" i="8" s="1"/>
  <c r="BJ6" i="9"/>
  <c r="BJ4" i="9" s="1"/>
  <c r="BI4" i="9"/>
  <c r="BI5" i="9" s="1"/>
  <c r="BH5" i="7"/>
  <c r="A3" i="7" l="1"/>
  <c r="B6" i="3"/>
  <c r="BJ5" i="7"/>
  <c r="B6" i="6"/>
  <c r="A3" i="10"/>
  <c r="BJ5" i="10"/>
  <c r="A3" i="8"/>
  <c r="B6" i="4"/>
  <c r="BJ5" i="8"/>
  <c r="B6" i="5"/>
  <c r="A3" i="9"/>
  <c r="BJ5" i="9"/>
  <c r="BI5" i="7"/>
  <c r="L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5" authorId="0" shapeId="0" xr:uid="{00000000-0006-0000-0100-000001000000}">
      <text>
        <r>
          <rPr>
            <sz val="10"/>
            <rFont val="FreeSans"/>
            <family val="2"/>
          </rPr>
          <t>⚠️ توزيع مبدئي مؤقت للأطفال المستوردين من ملفك (معرفناش فصل كل طفل). عدّله من القايمة المنسدلة</t>
        </r>
        <r>
          <rPr>
            <sz val="10"/>
            <rFont val="Arial"/>
            <family val="2"/>
          </rPr>
          <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<sst xmlns="http://schemas.openxmlformats.org/spreadsheetml/2006/main" count="750" uniqueCount="405">
  <si>
    <t>🌱 خدمة براعم — نظام الافتقاد والحضور</t>
  </si>
  <si>
    <t>🧭 التنقل السريع</t>
  </si>
  <si>
    <t>📌 نظرة عامة</t>
  </si>
  <si>
    <t>👶 إجمالي الأطفال</t>
  </si>
  <si>
    <t>👦 أولاد</t>
  </si>
  <si>
    <t>👧 بنات</t>
  </si>
  <si>
    <t>📈 نسبة الحضور العامة</t>
  </si>
  <si>
    <t>⚠️ محتاجين افتقاد</t>
  </si>
  <si>
    <t>🗓️ آخر جمعة مسجلة</t>
  </si>
  <si>
    <t>📊 ملخص الفصول</t>
  </si>
  <si>
    <t>الفصل</t>
  </si>
  <si>
    <t>الأطفال</t>
  </si>
  <si>
    <t>أولاد</t>
  </si>
  <si>
    <t>بنات</t>
  </si>
  <si>
    <t>نسبة الحضور</t>
  </si>
  <si>
    <t>محتاجين افتقاد</t>
  </si>
  <si>
    <t>حالة السعة</t>
  </si>
  <si>
    <t>الإجمالي</t>
  </si>
  <si>
    <t>📋 قاعدة بيانات الأطفال</t>
  </si>
  <si>
    <t>✍️ اكتب بيانات الطفل في أول صف فاضي (الخانات البيضاء من «الاسم» لـ «الحالة») — الأعمدة الرمادية الغامقة بتتحسب لوحدها.   الطفل بيظهر أوتوماتيك في كارت فصله وفي قايمة الحضور.   ⚠️ ماتمسحش صفوف ولا تعمل Sort — استخدم «غير نشط».</t>
  </si>
  <si>
    <t>م</t>
  </si>
  <si>
    <t>الكود</t>
  </si>
  <si>
    <t>الاسم</t>
  </si>
  <si>
    <t>النوع</t>
  </si>
  <si>
    <t>السنة الدراسية</t>
  </si>
  <si>
    <t>الفصل (الملاك)</t>
  </si>
  <si>
    <t>يروح لوحده؟</t>
  </si>
  <si>
    <t>رقم الأم</t>
  </si>
  <si>
    <t>رقم الأب</t>
  </si>
  <si>
    <t>العنوان</t>
  </si>
  <si>
    <t>الصورة 📷</t>
  </si>
  <si>
    <t>ملاحظات</t>
  </si>
  <si>
    <t>الحالة</t>
  </si>
  <si>
    <t>مفتاح</t>
  </si>
  <si>
    <t>ترتيب</t>
  </si>
  <si>
    <t>حضور ✅</t>
  </si>
  <si>
    <t>غياب ❌</t>
  </si>
  <si>
    <t>النسبة</t>
  </si>
  <si>
    <t>غياب متتالي</t>
  </si>
  <si>
    <t>آخر حضور</t>
  </si>
  <si>
    <t>حالة الحضور</t>
  </si>
  <si>
    <t>tier</t>
  </si>
  <si>
    <t>فهرس</t>
  </si>
  <si>
    <t>ولد</t>
  </si>
  <si>
    <t>سنة أولى</t>
  </si>
  <si>
    <t>سوريال</t>
  </si>
  <si>
    <t>نشط</t>
  </si>
  <si>
    <t>بنت</t>
  </si>
  <si>
    <t>غبريال</t>
  </si>
  <si>
    <t>سنة تانية</t>
  </si>
  <si>
    <t>رفائيل</t>
  </si>
  <si>
    <t>ميخائيل</t>
  </si>
  <si>
    <t>👶 عدد الأطفال</t>
  </si>
  <si>
    <t>👦 أولاد   |   👧 بنات</t>
  </si>
  <si>
    <t>📈 متوسط حضور الفصل</t>
  </si>
  <si>
    <t>اضغط على الخانة واختار:   ح = حاضر   |   غ = غائب   |   ع = معتذر (بعذر)</t>
  </si>
  <si>
    <t>← كل عمود = اجتماع أسبوعي واحد. العمود المميّز بالذهبي = اجتماع الأسبوع ده.</t>
  </si>
  <si>
    <t>👥 عدد الحاضرين في الاجتماع</t>
  </si>
  <si>
    <t>📈 نسبة الحضور في الاجتماع</t>
  </si>
  <si>
    <t>بعذر 🟠</t>
  </si>
  <si>
    <t>📞 قايمة الافتقاد</t>
  </si>
  <si>
    <t>القايمة بتتحدّث أوتوماتيك من الحضور. اضغط على الرقم للاتصال، أو واتساب للمراسلة.</t>
  </si>
  <si>
    <t>واتساب الأم</t>
  </si>
  <si>
    <t>واتساب الأب</t>
  </si>
  <si>
    <t>⚙️ الإعدادات</t>
  </si>
  <si>
    <t>الفصول (الملائكة)</t>
  </si>
  <si>
    <t>نعم/لا</t>
  </si>
  <si>
    <t>الأيام</t>
  </si>
  <si>
    <t>الحضور</t>
  </si>
  <si>
    <t>فصل 1</t>
  </si>
  <si>
    <t>نعم</t>
  </si>
  <si>
    <t>الأحد</t>
  </si>
  <si>
    <t>ح</t>
  </si>
  <si>
    <t>فصل 2</t>
  </si>
  <si>
    <t>لا</t>
  </si>
  <si>
    <t>غير نشط</t>
  </si>
  <si>
    <t>الاثنين</t>
  </si>
  <si>
    <t>غ</t>
  </si>
  <si>
    <t>فصل 3</t>
  </si>
  <si>
    <t>سنة تالتة</t>
  </si>
  <si>
    <t>الثلاثاء</t>
  </si>
  <si>
    <t>ع</t>
  </si>
  <si>
    <t>فصل 4</t>
  </si>
  <si>
    <t>سنة رابعة</t>
  </si>
  <si>
    <t>الأربعاء</t>
  </si>
  <si>
    <t>⚠️ ماتغيّرش أسماء الفصول بعد ما تبدأ تسجّل أطفال (الأسماء دي هي اللي بيتربط بيها الأطفال).</t>
  </si>
  <si>
    <t>سنة خامسة</t>
  </si>
  <si>
    <t>الخميس</t>
  </si>
  <si>
    <t>التواريخ والحضور</t>
  </si>
  <si>
    <t>سنة سادسة</t>
  </si>
  <si>
    <t>الجمعة</t>
  </si>
  <si>
    <t>بداية العام الخدمي</t>
  </si>
  <si>
    <t>السبت</t>
  </si>
  <si>
    <t>نهاية العام الخدمي</t>
  </si>
  <si>
    <t>يوم الاجتماع</t>
  </si>
  <si>
    <t>رقم اليوم (تلقائي)</t>
  </si>
  <si>
    <t>أول اجتماع (تلقائي)</t>
  </si>
  <si>
    <t>حدود التقييم</t>
  </si>
  <si>
    <t>القوائم المنسدلة بتتاخد من هنا — ضيف سنة جديدة في الخانات الفاضية.</t>
  </si>
  <si>
    <t>نسبة حضور «ممتاز» من</t>
  </si>
  <si>
    <t>نسبة حضور «جيد» من</t>
  </si>
  <si>
    <t>غياب متتالي = افتقاد ضروري من</t>
  </si>
  <si>
    <t>سعة كل فصل: 30 طفل (متضبطة في تصميم الكروت وقوايم الحضور).</t>
  </si>
  <si>
    <t>الخانات الصفراء = إدخال (بالأزرق). الرمادي = تلقائي.</t>
  </si>
  <si>
    <t>الجمع المسجلة بتتحسب من تاريخ البداية لحد النهاية — 53 اجتماع كحد أقصى.</t>
  </si>
  <si>
    <t>📖 دليل الاستخدام</t>
  </si>
  <si>
    <t>➕ إضافة طفل جديد</t>
  </si>
  <si>
    <t>اضغط زرار «إضافة طفل جديد» (موجود في كل صفحة) — هياخدك لأول صف فاضي في «قاعدة البيانات». اكتب الاسم، النوع، السنة، الفصل، التليفونات… الطفل بيظهر لوحده في كارت فصله وقايمة الحضور وإحصائيات الصفحة الرئيسية.</t>
  </si>
  <si>
    <t>🪪 كروت الأطفال</t>
  </si>
  <si>
    <t>كل فصل ليه صفحة «فصل …» فيها كارت لكل طفل: الاسم والصورة والتليفونات (اضغط الرقم = اتصال، واتساب = رسالة) وإحصائيات الحضور وحالته.</t>
  </si>
  <si>
    <t>📷 إضافة صورة الطفل</t>
  </si>
  <si>
    <t>في «قاعدة البيانات» اضغط خانة «الصورة» للطفل ← Insert ← Pictures ← Place in Cell (Excel 365). الصورة بتظهر أوتوماتيك في كارته. من غير صورة بيظهر أول حرف من الاسم بلون حسب النوع.</t>
  </si>
  <si>
    <t>📅 تسجيل الحضور</t>
  </si>
  <si>
    <t>افتح «حضور …» للفصل، واضغط على خانة الطفل في عمود الاجتماع واختار: ح = حاضر، غ = غائب، ع = معتذر. الألوان والنسب والإحصائيات بتتحسب لوحدها. عمود اجتماع الأسبوع ده بيتلوّن ذهبي.</t>
  </si>
  <si>
    <t>📞 الافتقاد</t>
  </si>
  <si>
    <t>صفحة «الافتقاد» بتجمّع أوتوماتيك الأطفال اللي نسبة حضورهم قليلة أو غايبين اجتماعات ورا بعض، ومعاهم أزرار الاتصال والواتساب للأم والأب. حدود التقييم بتتغيّر من «الإعدادات».</t>
  </si>
  <si>
    <t>⚠️ قواعد مهمة</t>
  </si>
  <si>
    <t>1) ماتمسحش صف من «قاعدة البيانات» ولا تعمل Sort — لو الطفل مشي غيّر حالته لـ «غير نشط».  2) ماتغيّرش فصل طفل بعد ما يبدأ الحضور (مكانه في القايمة بيتحدد بترتيبه في الفصل).  3) أرقام الموبايل 11 رقم تبدأ بـ 01.  4) السعة 30 طفل لكل فصل.</t>
  </si>
  <si>
    <t>🔒 الحماية</t>
  </si>
  <si>
    <t>الصفحات محمية بدون باسورد عشان ماتتمسحش المعادلات بالغلط. لو عايز تعدّل التصميم: Review ← Unprotect Sheet.</t>
  </si>
  <si>
    <t>🔁 تحديد فصول الأطفال</t>
  </si>
  <si>
    <t>الفصول للأطفال المستوردين من ملفك الأصلي اتوزعت مبدئيًا (مؤقت) — راجعها وعدّلها من عمود «الفصل» في قاعدة البيانات.</t>
  </si>
  <si>
    <t>توماس صابر صبحى</t>
  </si>
  <si>
    <t>سيلينا رامي رومانى</t>
  </si>
  <si>
    <t>روبن عبد المسيح رافت</t>
  </si>
  <si>
    <t>جوى جورج ثابت</t>
  </si>
  <si>
    <t>بارثينيا رامز منير شفيق</t>
  </si>
  <si>
    <t>مينا رفيق زكريا عبد الشهيد</t>
  </si>
  <si>
    <t>بولا غالى توفيق</t>
  </si>
  <si>
    <t>ماري جرجس اسحق عطا الله</t>
  </si>
  <si>
    <t>بيشوى سمير ميخائيل فيلته</t>
  </si>
  <si>
    <t>دانييلا توفيق شوقي</t>
  </si>
  <si>
    <t>بولا ابانوب كرم شلبى</t>
  </si>
  <si>
    <t>دولوريس جوزيف رزق الله</t>
  </si>
  <si>
    <t>جاستن مينا عبد السيد عطيه</t>
  </si>
  <si>
    <t>جانا عبادى يوسف عبادى</t>
  </si>
  <si>
    <t>يوسف ميلاد رسمى بقطر</t>
  </si>
  <si>
    <t>ايرينى ريمون حنا</t>
  </si>
  <si>
    <t>يوستينا سامي عريان سامى فرج</t>
  </si>
  <si>
    <t>مارتينوس مايكل ميشيل</t>
  </si>
  <si>
    <t>جونير بسام نصرى مكرم</t>
  </si>
  <si>
    <t>مريم عماد زارع</t>
  </si>
  <si>
    <t>ماروسكا ميشيل ثروت</t>
  </si>
  <si>
    <t>بيرلا مايكل خليل</t>
  </si>
  <si>
    <t>مورين مينا عوض</t>
  </si>
  <si>
    <t>كارين وليم منير</t>
  </si>
  <si>
    <t>01271325124</t>
  </si>
  <si>
    <t>01286806532</t>
  </si>
  <si>
    <t>01227832577</t>
  </si>
  <si>
    <t>01228872241</t>
  </si>
  <si>
    <t>01270484412</t>
  </si>
  <si>
    <t>01287449133</t>
  </si>
  <si>
    <t>01201247688</t>
  </si>
  <si>
    <t>01201652497</t>
  </si>
  <si>
    <t>01208183104</t>
  </si>
  <si>
    <t>01289871210</t>
  </si>
  <si>
    <t>01225620289</t>
  </si>
  <si>
    <t>01284105321</t>
  </si>
  <si>
    <t>01205976098</t>
  </si>
  <si>
    <t>01273654595</t>
  </si>
  <si>
    <t>01210019391</t>
  </si>
  <si>
    <t>01221026225</t>
  </si>
  <si>
    <t>01270302120</t>
  </si>
  <si>
    <t>01224857003</t>
  </si>
  <si>
    <t>01273998657</t>
  </si>
  <si>
    <t>01206191722</t>
  </si>
  <si>
    <t>01206111792</t>
  </si>
  <si>
    <t>01210949273</t>
  </si>
  <si>
    <t>01227989278</t>
  </si>
  <si>
    <t>01227429046</t>
  </si>
  <si>
    <t>01221561038</t>
  </si>
  <si>
    <t>01206588362</t>
  </si>
  <si>
    <t>01221363758</t>
  </si>
  <si>
    <t>01277561044</t>
  </si>
  <si>
    <t>58 شارع ترعة حمزة - شقة 6 الدور 3 - يمين السلم</t>
  </si>
  <si>
    <t>115 أ ابراج الاصاله امام الصحة - الدور ال 12 الشقة اللي علي اليمين - براج الاصاله امام الصحة الدور ال 12 الشقه على اليمين 
اول عمارة على الشمال</t>
  </si>
  <si>
    <t>8 شارع محمد مغاورى - شقة 5 الدور 5 - من شارع البشري / الشارع اللى قدام محل بيبو</t>
  </si>
  <si>
    <t>5 شارع البشرى المليحة - صيدلية ميشيل</t>
  </si>
  <si>
    <t>19 شارع عزبة الرشيدى - الدور 7 - عزبه النخل / 19 رشدى نساك</t>
  </si>
  <si>
    <t>2 شارع فايز مترى -  شقة 1 - الأرضي / مجدى البقال</t>
  </si>
  <si>
    <t>25 شارع عبد الشافى حسن</t>
  </si>
  <si>
    <t>4 شارع روفائيل سليمان -  شقة 85 الدور 11 - امام الاسانسير</t>
  </si>
  <si>
    <t>10 شارع عطوه حسن - شقة 4 الدور 4</t>
  </si>
  <si>
    <t>8 شارع عبد العاطى احمد عليوة -  شقة 3 الدور 3 - متفرع من شارع جوجو</t>
  </si>
  <si>
    <t>2 شارع محمد عبد الله سلام - شقة 6 الدور 2 - منطقة 2</t>
  </si>
  <si>
    <t>26 شارع أحمد رفاعى -  شقة 6 الدور 6</t>
  </si>
  <si>
    <t>1 شارع على ابو عيش - شقة 1 الدور 2 - عماره المقله</t>
  </si>
  <si>
    <t>5 شارع المدارس - الارضي - الارضى</t>
  </si>
  <si>
    <t>2 شارع فايز مترى - شقة 5 الدور 3 - يمين / مجدى البقال</t>
  </si>
  <si>
    <t>24 شارع مرزق مرزوق الدور 2</t>
  </si>
  <si>
    <t>10 شارع عطية عبد اللطيف - شقة 2 الدور 2</t>
  </si>
  <si>
    <t>13 شارع منطقة أ - شقة 1 الدور 1</t>
  </si>
  <si>
    <t>843 شارع بورسعيد - شقة 4 الدور 2 - مدخل الشونة</t>
  </si>
  <si>
    <t>44 شارع ترعة حمزة - شقة 1 الدور 3 - فوق صيدليه عماد بعد الارضى الشقة شمال السلم</t>
  </si>
  <si>
    <t>4 شارع خاتم المرسلين - الدور 5</t>
  </si>
  <si>
    <t>3 شارع عمرو عبد العزيز - شقة 1 الدور 1</t>
  </si>
  <si>
    <t>23 شارع أحمد رفاعى -  شقة 1 - الارضى - مورين و انجى مع عائلة الجد مكرم حبيب بقطر فى نفس الشقة</t>
  </si>
  <si>
    <t>3 شارع قباء -  شقة 3 الدور 3 - اخر مختار اباظة - قباء</t>
  </si>
  <si>
    <t>بارثينيا اسحق جرجس نادى</t>
  </si>
  <si>
    <t>ادم يوسف يعقوب فهمى عزيز</t>
  </si>
  <si>
    <t>ميرا هاني ظريف فوزى</t>
  </si>
  <si>
    <t>ماريا هانى مكرم نصيف</t>
  </si>
  <si>
    <t>بافلى سلامه سليمان</t>
  </si>
  <si>
    <t>سامي سامح سامي جاد الله</t>
  </si>
  <si>
    <t>بافلى بيشوى جرجس جندى</t>
  </si>
  <si>
    <t>يؤانا دميان جمال</t>
  </si>
  <si>
    <t>مارسيلينو جرجس روماني حبيب</t>
  </si>
  <si>
    <t>جاسيكا صموئيل شكر الله</t>
  </si>
  <si>
    <t>باتريك بولا عطا الله</t>
  </si>
  <si>
    <t>كنده بيشوي سامي</t>
  </si>
  <si>
    <t>إيلاريا أمير رسمي مراد</t>
  </si>
  <si>
    <t>بولا ميشيل رزق يوسف</t>
  </si>
  <si>
    <t>كريس فيكتور الشحات</t>
  </si>
  <si>
    <t>مريم نادر امين يعقوب حنا</t>
  </si>
  <si>
    <t>كيريا مدحت كمال قاعود</t>
  </si>
  <si>
    <t>تونی رومانی فخرى فرهود</t>
  </si>
  <si>
    <t>مارتسيا سامح ميلاد</t>
  </si>
  <si>
    <t>ماثيو مينا مجدى</t>
  </si>
  <si>
    <t>كاراس سمير توفيق شفيق</t>
  </si>
  <si>
    <t>روفانيو مينا ناجى</t>
  </si>
  <si>
    <t>مارك مايكل نبيل نجيب</t>
  </si>
  <si>
    <t>01277715819</t>
  </si>
  <si>
    <t>01280605823</t>
  </si>
  <si>
    <t>01200977582</t>
  </si>
  <si>
    <t>01211025572</t>
  </si>
  <si>
    <t>01283850844</t>
  </si>
  <si>
    <t>01280039813</t>
  </si>
  <si>
    <t>01020032613</t>
  </si>
  <si>
    <t>01284074874</t>
  </si>
  <si>
    <t>01204337555</t>
  </si>
  <si>
    <t>01201002104</t>
  </si>
  <si>
    <t>01287124772</t>
  </si>
  <si>
    <t>01227395565</t>
  </si>
  <si>
    <t>01208403031</t>
  </si>
  <si>
    <t>01220413105</t>
  </si>
  <si>
    <t>01286886002</t>
  </si>
  <si>
    <t>01287576432</t>
  </si>
  <si>
    <t>01224717891</t>
  </si>
  <si>
    <t>01279057492</t>
  </si>
  <si>
    <t>01202234121</t>
  </si>
  <si>
    <t>01287025522</t>
  </si>
  <si>
    <t>01094784210</t>
  </si>
  <si>
    <t>01284238840</t>
  </si>
  <si>
    <t>01201432926</t>
  </si>
  <si>
    <t>01211025537</t>
  </si>
  <si>
    <t>01283970133</t>
  </si>
  <si>
    <t>01223222833</t>
  </si>
  <si>
    <t>01285721261</t>
  </si>
  <si>
    <t>01272167444</t>
  </si>
  <si>
    <t>01283206525</t>
  </si>
  <si>
    <t>01277714878</t>
  </si>
  <si>
    <t>01201682184</t>
  </si>
  <si>
    <t>01060867397</t>
  </si>
  <si>
    <t>01206016411</t>
  </si>
  <si>
    <t>01227021759</t>
  </si>
  <si>
    <t>01206387683</t>
  </si>
  <si>
    <t>01276392214</t>
  </si>
  <si>
    <t>01201449110</t>
  </si>
  <si>
    <t>01202730132</t>
  </si>
  <si>
    <t>5 شارع صليب نخلة، المليحة، حدائق القبة، القاهرة؛ شقة 9، الدور 2</t>
  </si>
  <si>
    <t>7 شارع حامد رضوان، المليحة، حدائق القبة، القاهرة؛ شقة 8، الدور 5</t>
  </si>
  <si>
    <t>20 شارع محمد علي خليل، المليحة، حدائق القبة، القاهرة؛ شقة 8، الدور 4</t>
  </si>
  <si>
    <t>20 شارع عاصم، المليحة، حدائق القبة، القاهرة؛ شقة 7، الدور 7</t>
  </si>
  <si>
    <t>23 شارع عبد الرحمن السني، عمار بن ياسر، العمرانية، الجيزة؛ شقة 5، الدور 3</t>
  </si>
  <si>
    <t>3 شارع نصر الدين محمد، المليحة، حدائق القبة، القاهرة؛ شقة 11، الدور 4</t>
  </si>
  <si>
    <t>23 شارع عاصم، المليحة، حدائق القبة، القاهرة؛ الدور 3</t>
  </si>
  <si>
    <t>16 شارع فضل دير الملاك، حدائق القبة، القاهرة؛ شقة 15، الدور 9</t>
  </si>
  <si>
    <t>18 شارع أحمد محمد فرج، منطقة 5، المليحة، حدائق القبة، القاهرة؛ شقة 1، الدور 4</t>
  </si>
  <si>
    <t>7 شارع أبو طه، متفرع من الفريد، عزبة النخل، القاهرة؛ شقة 2، الدور 3</t>
  </si>
  <si>
    <t>22 شارع دياب فهمي، المليحة، حدائق القبة، القاهرة؛ الدور 4</t>
  </si>
  <si>
    <t>17 شارع صليب نخلة، المليحة، حدائق القبة، القاهرة؛ شقة 2، الدور 2</t>
  </si>
  <si>
    <t>11 شارع محمود سامي عامر، المليحة، حدائق القبة، القاهرة؛ الدور 6</t>
  </si>
  <si>
    <t>17 شارع أحمد رشاد، النزهة، الإسكندرية؛ شقة 21، الدور 6</t>
  </si>
  <si>
    <t>24 شارع سعيد علي أحمد، المليحة، حدائق القبة، القاهرة</t>
  </si>
  <si>
    <t>3 شارع حسين العقبى، المليحة، حدائق القبة، القاهرة؛ الدور 4</t>
  </si>
  <si>
    <t>22 شارع علي شعراوي، المليحة، حدائق القبة، القاهرة؛ الدور 2، شقة 8</t>
  </si>
  <si>
    <t>15 شارع فوزي كيرلس، منطقة 5، المليحة، حدائق القبة، القاهرة؛ الدور 4</t>
  </si>
  <si>
    <t>12 شارع روفائيل سليمان، المليحة، حدائق القبة، القاهرة؛ شقة 12، الدور 12</t>
  </si>
  <si>
    <t>30 شارع دياب فهمي، المليحة، حدائق القبة، القاهرة؛ شقة 7، الدور 4</t>
  </si>
  <si>
    <t>39 شارع الحضانة رقم أول مكرر، عزبة منصور، شبرا الخيمة، القليوبية</t>
  </si>
  <si>
    <t>863 شارع بورسعيد، المليحة، حدائق القبة، القاهرة؛ الدور الأرضي شمال السلم</t>
  </si>
  <si>
    <t>فيرينا مينا عجايبي يوسف سعد</t>
  </si>
  <si>
    <t xml:space="preserve">13 شارع الشيخ المنفلوطي، المليحة، حدائق القبة، القاهرة؛ الدور 8، شقة </t>
  </si>
  <si>
    <t xml:space="preserve">ابانوب منير وديع </t>
  </si>
  <si>
    <t xml:space="preserve">اماليا جون حلمى </t>
  </si>
  <si>
    <t xml:space="preserve">ايفان رامى نجيب </t>
  </si>
  <si>
    <t xml:space="preserve">بتول سامح عطية </t>
  </si>
  <si>
    <t xml:space="preserve">بولا ميلاد لبيب </t>
  </si>
  <si>
    <t xml:space="preserve">جوناثان هانى مجدى </t>
  </si>
  <si>
    <t>جونيستا يوسف فرج</t>
  </si>
  <si>
    <t>جيسي عصام اسعد</t>
  </si>
  <si>
    <t xml:space="preserve">فيلومينا جون رزق الله </t>
  </si>
  <si>
    <t xml:space="preserve">فيلومينا غطاس شوقى </t>
  </si>
  <si>
    <t xml:space="preserve">كريس كرم فوزى </t>
  </si>
  <si>
    <t xml:space="preserve">كيفين ابانوب هانى </t>
  </si>
  <si>
    <t xml:space="preserve">مارتن وجيه عبد المسيح </t>
  </si>
  <si>
    <t xml:space="preserve">ماروسكا عصام سمير </t>
  </si>
  <si>
    <t xml:space="preserve">مارولا رومانى مسعد </t>
  </si>
  <si>
    <t xml:space="preserve">ميخائيل ايهاب فوزى </t>
  </si>
  <si>
    <t xml:space="preserve">ميلانيا ميشيل مختار </t>
  </si>
  <si>
    <t xml:space="preserve">نوفير هانى شفيق </t>
  </si>
  <si>
    <t xml:space="preserve">نيروز سامى شحات </t>
  </si>
  <si>
    <t xml:space="preserve">يوسف بيشوى مجدى </t>
  </si>
  <si>
    <t>01212074732</t>
  </si>
  <si>
    <t>01276233526</t>
  </si>
  <si>
    <t>01283805796</t>
  </si>
  <si>
    <t>01276651727</t>
  </si>
  <si>
    <t>01226092138</t>
  </si>
  <si>
    <t>01270011108</t>
  </si>
  <si>
    <t>01063514009</t>
  </si>
  <si>
    <t>01287744580</t>
  </si>
  <si>
    <t>01224646116</t>
  </si>
  <si>
    <t>01287423255</t>
  </si>
  <si>
    <t>01286925787</t>
  </si>
  <si>
    <t>01555364080</t>
  </si>
  <si>
    <t>01276055302</t>
  </si>
  <si>
    <t>01207004037</t>
  </si>
  <si>
    <t>01280480097</t>
  </si>
  <si>
    <t>01278584725</t>
  </si>
  <si>
    <t>01225621953</t>
  </si>
  <si>
    <t>01273356341</t>
  </si>
  <si>
    <t>01225121226</t>
  </si>
  <si>
    <t>01224151421</t>
  </si>
  <si>
    <t>01226847429</t>
  </si>
  <si>
    <t>01271519003</t>
  </si>
  <si>
    <t>0128388656</t>
  </si>
  <si>
    <t>01225582147</t>
  </si>
  <si>
    <t>01221635450</t>
  </si>
  <si>
    <t>01275214848</t>
  </si>
  <si>
    <t>01288748731</t>
  </si>
  <si>
    <t>01001172448</t>
  </si>
  <si>
    <t>01289923747</t>
  </si>
  <si>
    <t>01221372275</t>
  </si>
  <si>
    <t>01140935654</t>
  </si>
  <si>
    <t>11 شارع نصر الدين محمد  الدور 3</t>
  </si>
  <si>
    <t xml:space="preserve">19 شارع 6 اكتوبر متفرع من جمال عبد الناصر الحرفين </t>
  </si>
  <si>
    <t>89 شارع محمد البوصيري - النزهة شقة 1 دور 3</t>
  </si>
  <si>
    <t xml:space="preserve">18 شارع زمزم متفرع من سيد حمادة الخصوص </t>
  </si>
  <si>
    <t xml:space="preserve">890 شارع بورسعيد المليحة شقة 6 دور 3 </t>
  </si>
  <si>
    <t xml:space="preserve">4 شارع روفائيل سليمان المليحة الدور 7 </t>
  </si>
  <si>
    <t xml:space="preserve">2 شارع ترعة حمزة </t>
  </si>
  <si>
    <t xml:space="preserve">26 شارع احمد رفاعى المليحة شقة 3 الدور 2 </t>
  </si>
  <si>
    <t xml:space="preserve">132 شارع الخليج المصري حدائق القبة </t>
  </si>
  <si>
    <t xml:space="preserve">14 شارع محمود سامى عامر حدائق القبة شقة 10 الدور 4 </t>
  </si>
  <si>
    <t xml:space="preserve">25 شارع صليب نخلة المليحة الدور 9 </t>
  </si>
  <si>
    <t xml:space="preserve">315 شارع الخليج المصرى المليحة شقة 904 الدور 9 </t>
  </si>
  <si>
    <t xml:space="preserve">25 شارع ناصر ابو النصر الخصوص </t>
  </si>
  <si>
    <t xml:space="preserve">8 شارع عبد الملاك حنين المليحة الدور 2 </t>
  </si>
  <si>
    <t xml:space="preserve">15 شارع الازهار متفرع من السيد درويش القصيرين شقة 8 الدور 4 </t>
  </si>
  <si>
    <t xml:space="preserve">3 شارع العباسية شارع ماهر </t>
  </si>
  <si>
    <t xml:space="preserve">7 شارع عبد العاطى احمد عليوة المليحة شقة 7 دور 7 </t>
  </si>
  <si>
    <t xml:space="preserve">4 شارع روفائيل سليمان المليحة الدور 3 </t>
  </si>
  <si>
    <t>6 شارع عبد الرحمن نصر من ترعة الجبل الزيتون شقة 14 الدور 4</t>
  </si>
  <si>
    <t>ايرينى رومانى موريس</t>
  </si>
  <si>
    <t>ايلينا مايكل ايليا</t>
  </si>
  <si>
    <t>إيلينا مينا عاطف عزمى</t>
  </si>
  <si>
    <t>بيشوي نجيب محفوظ وغيرس مسدارى</t>
  </si>
  <si>
    <t>فيرونيكا جورج مكرم ايليا جاد</t>
  </si>
  <si>
    <t>فيلوباتير وجدى سعيد فوزى</t>
  </si>
  <si>
    <t>فيلومينا فادى ريمون شحاته</t>
  </si>
  <si>
    <t>كيرلس عماد سعيد</t>
  </si>
  <si>
    <t>مارك عماد فتحى عبد الله</t>
  </si>
  <si>
    <t>مارولا رومانى مسعد</t>
  </si>
  <si>
    <t>مايا ميلاد قصد الله</t>
  </si>
  <si>
    <t>ميلانو ميلاد اسكندر موسى</t>
  </si>
  <si>
    <t>ميلنيا فوزى فوزى</t>
  </si>
  <si>
    <t>مينا جرجس حليم</t>
  </si>
  <si>
    <t>مينا عادل ناهد ثابت</t>
  </si>
  <si>
    <t>نور مينا شلبى</t>
  </si>
  <si>
    <t>نوڤير سمير انور تامر بشاى</t>
  </si>
  <si>
    <t>01280565829</t>
  </si>
  <si>
    <t>01274774282</t>
  </si>
  <si>
    <t>01287675246</t>
  </si>
  <si>
    <t>01228908309</t>
  </si>
  <si>
    <t>01222311637</t>
  </si>
  <si>
    <t>01226248546</t>
  </si>
  <si>
    <t>01202144309</t>
  </si>
  <si>
    <t>01281130870</t>
  </si>
  <si>
    <t>01270605272</t>
  </si>
  <si>
    <t>01289626257</t>
  </si>
  <si>
    <t>01288801369</t>
  </si>
  <si>
    <t>01204552325</t>
  </si>
  <si>
    <t>01286447225</t>
  </si>
  <si>
    <t>01288999494</t>
  </si>
  <si>
    <t>01101654955</t>
  </si>
  <si>
    <t>01223470881</t>
  </si>
  <si>
    <t>01207353504</t>
  </si>
  <si>
    <t>01284012589</t>
  </si>
  <si>
    <t xml:space="preserve">41 شارع علي شعراوي - الدور 4 - </t>
  </si>
  <si>
    <t>133 شارع مصر والسودان (العدرا المليحة) - شقة 30 الدور 6 - عند كوافير أميرة/ شمال الاسانسير / الشقة اللى فى الوش</t>
  </si>
  <si>
    <t>4 شارع عاصم -  شقة 4 الدور 2 - عاصم متفرع من ش على شعراوى
 امام بيم</t>
  </si>
  <si>
    <t>20 شارع اسماعيل الشيمي -  شقة 7 الدور 2 - عند سوبر ماركت الشرقاوي / خلف السرايا مول</t>
  </si>
  <si>
    <t>9 شارع جميل عبد اللطيف - شقة 2 الدور 3 - حدائق القبه</t>
  </si>
  <si>
    <t>8 شارع الكواكبى - شقة 6 الدور 2</t>
  </si>
  <si>
    <t>6 شارع الكواكبى -  شقة 1 الدور 4</t>
  </si>
  <si>
    <t>8 شارع الكواكبى -  شقة 16 الدور 6 - اليمين</t>
  </si>
  <si>
    <t>3 شارع عبد الله جبرة - الدور 4 - من شارع دياب فهمي - حدائق القبه</t>
  </si>
  <si>
    <t>8 شارع عبد الملاك حنين -  الدور 2</t>
  </si>
  <si>
    <t>4 شارع زهراء اكتوبر  الجديدة (حى الزهور) - الدور 5 - من دياب فهمى المنطقة: المليحة - حدائق القبة</t>
  </si>
  <si>
    <t>25 شارع دياب فهمى - شقة 1 - الشقة اللى جوة</t>
  </si>
  <si>
    <t>8 شارع الكواكبى - الدور 4</t>
  </si>
  <si>
    <t>13 شارع علي شعراوي - مينا حفيد ابراهيم عند جده موقتا ولكن عنوانهم الزاوية الحمراء</t>
  </si>
  <si>
    <t>18 شارع قاسم امين - شقة 808 الدور 8 - برج كوين بلازا</t>
  </si>
  <si>
    <t>6 شارع الكواكبى - الدور 4 - برج بانوراما الحدايق / شمال الاسانسير</t>
  </si>
  <si>
    <t>3 شارع الترعه يمين - امام الصرف الصحى - شقة 3 الدور 3 - شارع الصرف الصحى عزبه عامر المرج الجديدة
بيت الجدة فى روفائيل سليمان  المليحة حدائق القبة رقم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</si>
</sst>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
  </numFmts>
  <fonts count="73">
    <font>
      <sz val="11"/>
      <color theme="1"/>
      <name val="Calibri"/>
      <family val="2"/>
      <charset val="1"/>
    </font>
    <font>
      <sz val="11"/>
      <color theme="1"/>
      <name val="Calibri"/>
      <family val="2"/>
      <scheme val="minor"/>
    </font>
    <font>
      <b/>
      <sz val="26"/>
      <color rgb="FFFFFFFF"/>
      <name val="Arial"/>
      <charset val="1"/>
    </font>
    <font>
      <b/>
      <sz val="11"/>
      <color rgb="FFFFFFFF"/>
      <name val="Arial"/>
      <charset val="1"/>
    </font>
    <font>
      <b/>
      <sz val="13"/>
      <color rgb="FF1F2A44"/>
      <name val="Arial"/>
      <charset val="1"/>
    </font>
    <font>
      <b/>
      <sz val="13"/>
      <color rgb="FFFFFFFF"/>
      <name val="Arial"/>
      <charset val="1"/>
    </font>
    <font>
      <b/>
      <sz val="12"/>
      <color rgb="FFFFFFFF"/>
      <name val="Arial"/>
      <charset val="1"/>
    </font>
    <font>
      <b/>
      <sz val="10"/>
      <color rgb="FFFFFFFF"/>
      <name val="Arial"/>
      <charset val="1"/>
    </font>
    <font>
      <b/>
      <sz val="24"/>
      <color rgb="FF1F2A44"/>
      <name val="Arial"/>
      <charset val="1"/>
    </font>
    <font>
      <b/>
      <sz val="24"/>
      <color rgb="FF3B82C4"/>
      <name val="Arial"/>
      <charset val="1"/>
    </font>
    <font>
      <b/>
      <sz val="24"/>
      <color rgb="FFD6589F"/>
      <name val="Arial"/>
      <charset val="1"/>
    </font>
    <font>
      <b/>
      <sz val="24"/>
      <color rgb="FF1E9E4A"/>
      <name val="Arial"/>
      <charset val="1"/>
    </font>
    <font>
      <b/>
      <sz val="24"/>
      <color rgb="FFC0392B"/>
      <name val="Arial"/>
      <charset val="1"/>
    </font>
    <font>
      <b/>
      <sz val="18"/>
      <color rgb="FF6B4BB8"/>
      <name val="Arial"/>
      <charset val="1"/>
    </font>
    <font>
      <b/>
      <sz val="12"/>
      <color rgb="FF1F2937"/>
      <name val="Arial"/>
      <charset val="1"/>
    </font>
    <font>
      <sz val="12"/>
      <color rgb="FF1F2937"/>
      <name val="Arial"/>
      <charset val="1"/>
    </font>
    <font>
      <b/>
      <sz val="12"/>
      <color rgb="FFB42318"/>
      <name val="Arial"/>
      <charset val="1"/>
    </font>
    <font>
      <b/>
      <sz val="10"/>
      <color rgb="FF4B5563"/>
      <name val="Arial"/>
      <charset val="1"/>
    </font>
    <font>
      <b/>
      <sz val="20"/>
      <color rgb="FFFFFFFF"/>
      <name val="Arial"/>
      <charset val="1"/>
    </font>
    <font>
      <b/>
      <sz val="11"/>
      <color rgb="FF1F2A44"/>
      <name val="Arial"/>
      <charset val="1"/>
    </font>
    <font>
      <sz val="10"/>
      <color rgb="FF7A5B00"/>
      <name val="Arial"/>
      <charset val="1"/>
    </font>
    <font>
      <sz val="10"/>
      <color rgb="FF6B7280"/>
      <name val="Arial"/>
      <charset val="1"/>
    </font>
    <font>
      <b/>
      <sz val="10"/>
      <color rgb="FF1F2A44"/>
      <name val="Arial"/>
      <charset val="1"/>
    </font>
    <font>
      <b/>
      <sz val="11"/>
      <color rgb="FF1F2937"/>
      <name val="Arial"/>
      <charset val="1"/>
    </font>
    <font>
      <sz val="11"/>
      <color rgb="FF1F2937"/>
      <name val="Arial"/>
      <charset val="1"/>
    </font>
    <font>
      <sz val="11"/>
      <color theme="1"/>
      <name val="FreeSans"/>
      <family val="2"/>
    </font>
    <font>
      <sz val="10"/>
      <color rgb="FF1F2937"/>
      <name val="Arial"/>
      <charset val="1"/>
    </font>
    <font>
      <sz val="10"/>
      <name val="FreeSans"/>
      <family val="2"/>
    </font>
    <font>
      <sz val="10"/>
      <name val="Arial"/>
      <family val="2"/>
    </font>
    <font>
      <b/>
      <sz val="24"/>
      <color rgb="FFFFFFFF"/>
      <name val="Arial"/>
      <charset val="1"/>
    </font>
    <font>
      <b/>
      <sz val="22"/>
      <color rgb="FF095A61"/>
      <name val="Arial"/>
      <charset val="1"/>
    </font>
    <font>
      <b/>
      <sz val="18"/>
      <color rgb="FF095A61"/>
      <name val="Arial"/>
      <charset val="1"/>
    </font>
    <font>
      <b/>
      <sz val="10"/>
      <color rgb="FF6B7280"/>
      <name val="Arial"/>
      <charset val="1"/>
    </font>
    <font>
      <b/>
      <sz val="14"/>
      <color rgb="FFFFFFFF"/>
      <name val="Arial"/>
      <charset val="1"/>
    </font>
    <font>
      <b/>
      <sz val="44"/>
      <color rgb="FFFFFFFF"/>
      <name val="Arial"/>
      <charset val="1"/>
    </font>
    <font>
      <b/>
      <sz val="10"/>
      <color rgb="FF1F2937"/>
      <name val="Arial"/>
      <charset val="1"/>
    </font>
    <font>
      <b/>
      <u/>
      <sz val="11"/>
      <color rgb="FF0B5CAD"/>
      <name val="Arial"/>
      <charset val="1"/>
    </font>
    <font>
      <b/>
      <u/>
      <sz val="10"/>
      <color rgb="FF1E7B34"/>
      <name val="Arial"/>
      <charset val="1"/>
    </font>
    <font>
      <b/>
      <sz val="9"/>
      <color rgb="FF4B5563"/>
      <name val="Arial"/>
      <charset val="1"/>
    </font>
    <font>
      <b/>
      <sz val="20"/>
      <color rgb="FF1F6A40"/>
      <name val="Arial"/>
      <charset val="1"/>
    </font>
    <font>
      <b/>
      <sz val="20"/>
      <color rgb="FFB42318"/>
      <name val="Arial"/>
      <charset val="1"/>
    </font>
    <font>
      <b/>
      <sz val="20"/>
      <color rgb="FF6B7280"/>
      <name val="Arial"/>
      <charset val="1"/>
    </font>
    <font>
      <b/>
      <sz val="12"/>
      <color rgb="FF6B7280"/>
      <name val="Arial"/>
      <charset val="1"/>
    </font>
    <font>
      <sz val="9"/>
      <color rgb="FF4B5563"/>
      <name val="Arial"/>
      <charset val="1"/>
    </font>
    <font>
      <b/>
      <sz val="22"/>
      <color rgb="FF4C3386"/>
      <name val="Arial"/>
      <charset val="1"/>
    </font>
    <font>
      <b/>
      <sz val="18"/>
      <color rgb="FF4C3386"/>
      <name val="Arial"/>
      <charset val="1"/>
    </font>
    <font>
      <b/>
      <sz val="22"/>
      <color rgb="FF1F6A40"/>
      <name val="Arial"/>
      <charset val="1"/>
    </font>
    <font>
      <b/>
      <sz val="18"/>
      <color rgb="FF1F6A40"/>
      <name val="Arial"/>
      <charset val="1"/>
    </font>
    <font>
      <b/>
      <sz val="22"/>
      <color rgb="FF8E2A1F"/>
      <name val="Arial"/>
      <charset val="1"/>
    </font>
    <font>
      <b/>
      <sz val="18"/>
      <color rgb="FF8E2A1F"/>
      <name val="Arial"/>
      <charset val="1"/>
    </font>
    <font>
      <b/>
      <sz val="10"/>
      <color rgb="FF095A61"/>
      <name val="Arial"/>
      <charset val="1"/>
    </font>
    <font>
      <b/>
      <sz val="10"/>
      <color rgb="FF7A5B00"/>
      <name val="Arial"/>
      <charset val="1"/>
    </font>
    <font>
      <i/>
      <sz val="10"/>
      <color rgb="FF6B7280"/>
      <name val="Arial"/>
      <charset val="1"/>
    </font>
    <font>
      <b/>
      <sz val="10"/>
      <color rgb="FF1F6A40"/>
      <name val="Arial"/>
      <charset val="1"/>
    </font>
    <font>
      <sz val="9"/>
      <color rgb="FF1D5A94"/>
      <name val="Arial"/>
      <charset val="1"/>
    </font>
    <font>
      <b/>
      <sz val="11"/>
      <color rgb="FF1F6A40"/>
      <name val="Arial"/>
      <charset val="1"/>
    </font>
    <font>
      <b/>
      <sz val="11"/>
      <color rgb="FFB42318"/>
      <name val="Arial"/>
      <charset val="1"/>
    </font>
    <font>
      <b/>
      <sz val="11"/>
      <color rgb="FF9C5700"/>
      <name val="Arial"/>
      <charset val="1"/>
    </font>
    <font>
      <b/>
      <sz val="10"/>
      <color rgb="FF4C3386"/>
      <name val="Arial"/>
      <charset val="1"/>
    </font>
    <font>
      <b/>
      <sz val="10"/>
      <color rgb="FF8E2A1F"/>
      <name val="Arial"/>
      <charset val="1"/>
    </font>
    <font>
      <b/>
      <sz val="22"/>
      <color rgb="FFFFFFFF"/>
      <name val="Arial"/>
      <charset val="1"/>
    </font>
    <font>
      <b/>
      <sz val="11"/>
      <color rgb="FF7A1F14"/>
      <name val="Arial"/>
      <charset val="1"/>
    </font>
    <font>
      <b/>
      <sz val="12"/>
      <color rgb="FF1F2A44"/>
      <name val="Arial"/>
      <charset val="1"/>
    </font>
    <font>
      <b/>
      <sz val="11"/>
      <color rgb="FF0000FF"/>
      <name val="Arial"/>
      <charset val="1"/>
    </font>
    <font>
      <sz val="10"/>
      <color rgb="FF0000FF"/>
      <name val="Arial"/>
      <charset val="1"/>
    </font>
    <font>
      <i/>
      <sz val="9"/>
      <color rgb="FFB42318"/>
      <name val="Arial"/>
      <charset val="1"/>
    </font>
    <font>
      <i/>
      <sz val="9"/>
      <color rgb="FF6B7280"/>
      <name val="Arial"/>
      <charset val="1"/>
    </font>
    <font>
      <sz val="8"/>
      <name val="Calibri"/>
      <family val="2"/>
      <charset val="1"/>
    </font>
    <font>
      <b/>
      <sz val="11"/>
      <color rgb="FF1F2937"/>
      <name val="Arial"/>
      <family val="2"/>
    </font>
    <font>
      <b/>
      <sz val="11"/>
      <color rgb="FF0000FF"/>
      <name val="Arial"/>
      <family val="2"/>
    </font>
    <font>
      <sz val="11"/>
      <color rgb="FF1F2937"/>
      <name val="Arial"/>
      <family val="2"/>
    </font>
    <font>
      <sz val="11"/>
      <name val="Arial"/>
    </font>
    <font>
      <sz val="10"/>
      <name val="Arial"/>
    </font>
  </fonts>
  <fills count="25">
    <fill>
      <patternFill patternType="none"/>
    </fill>
    <fill>
      <patternFill patternType="gray125"/>
    </fill>
    <fill>
      <patternFill patternType="solid">
        <fgColor rgb="FF1F2A45"/>
        <bgColor rgb="FF1F2937"/>
      </patternFill>
    </fill>
    <fill>
      <patternFill patternType="solid">
        <fgColor rgb="FF1F2A45"/>
        <bgColor rgb="FF1F2937"/>
      </patternFill>
    </fill>
    <fill>
      <patternFill patternType="solid">
        <fgColor rgb="FFE7EBF3"/>
        <bgColor rgb="FFE3E8F0"/>
      </patternFill>
    </fill>
    <fill>
      <patternFill patternType="solid">
        <fgColor rgb="FF1E9E4A"/>
        <bgColor rgb="FF2E8B57"/>
      </patternFill>
    </fill>
    <fill>
      <patternFill patternType="solid">
        <fgColor rgb="FFBF382C"/>
        <bgColor rgb="FFD64545"/>
      </patternFill>
    </fill>
    <fill>
      <patternFill patternType="solid">
        <fgColor rgb="FF5B6B8C"/>
        <bgColor rgb="FF6B7280"/>
      </patternFill>
    </fill>
    <fill>
      <patternFill patternType="solid">
        <fgColor rgb="FF0E7C86"/>
        <bgColor rgb="FF2E8B57"/>
      </patternFill>
    </fill>
    <fill>
      <patternFill patternType="solid">
        <fgColor rgb="FF6B4BB8"/>
        <bgColor rgb="FF5B6B8C"/>
      </patternFill>
    </fill>
    <fill>
      <patternFill patternType="solid">
        <fgColor rgb="FF2E8B57"/>
        <bgColor rgb="FF1E9E4A"/>
      </patternFill>
    </fill>
    <fill>
      <patternFill patternType="solid">
        <fgColor rgb="FF095A61"/>
        <bgColor rgb="FF195A96"/>
      </patternFill>
    </fill>
    <fill>
      <patternFill patternType="solid">
        <fgColor rgb="FF4C3386"/>
        <bgColor rgb="FF4B5563"/>
      </patternFill>
    </fill>
    <fill>
      <patternFill patternType="solid">
        <fgColor rgb="FF1F6B3F"/>
        <bgColor rgb="FF136B31"/>
      </patternFill>
    </fill>
    <fill>
      <patternFill patternType="solid">
        <fgColor rgb="FF8D281D"/>
        <bgColor rgb="FFB42318"/>
      </patternFill>
    </fill>
    <fill>
      <patternFill patternType="solid">
        <fgColor rgb="FF3B82C4"/>
        <bgColor rgb="FF5B6B8C"/>
      </patternFill>
    </fill>
    <fill>
      <patternFill patternType="solid">
        <fgColor rgb="FFD6589F"/>
        <bgColor rgb="FFD64545"/>
      </patternFill>
    </fill>
    <fill>
      <patternFill patternType="solid">
        <fgColor rgb="FFF4F6FA"/>
        <bgColor rgb="FFF3F4F6"/>
      </patternFill>
    </fill>
    <fill>
      <patternFill patternType="darkGray">
        <fgColor rgb="FFE8F0FB"/>
        <bgColor rgb="FFEEF2F7"/>
      </patternFill>
    </fill>
    <fill>
      <patternFill patternType="solid">
        <fgColor rgb="FFFFF4CC"/>
        <bgColor rgb="FFFFF3C4"/>
      </patternFill>
    </fill>
    <fill>
      <patternFill patternType="solid">
        <fgColor rgb="FFEEF0F4"/>
        <bgColor rgb="FFEEF2F7"/>
      </patternFill>
    </fill>
    <fill>
      <patternFill patternType="solid">
        <fgColor rgb="FFFFFFFF"/>
        <bgColor rgb="FFF8FAFC"/>
      </patternFill>
    </fill>
    <fill>
      <patternFill patternType="solid">
        <fgColor rgb="FFEEF2F7"/>
        <bgColor rgb="FFEEF0F4"/>
      </patternFill>
    </fill>
    <fill>
      <patternFill patternType="solid">
        <fgColor rgb="FFFDE8E6"/>
        <bgColor rgb="FFFDE2E2"/>
      </patternFill>
    </fill>
    <fill>
      <patternFill patternType="solid">
        <fgColor rgb="FFFFF9DB"/>
        <bgColor rgb="FFFFF4CC"/>
      </patternFill>
    </fill>
  </fills>
  <borders count="21">
    <border>
      <left/>
      <right/>
      <top/>
      <bottom/>
      <diagonal/>
    </border>
    <border>
      <left style="thin">
        <color rgb="FF136B31"/>
      </left>
      <right style="thin">
        <color rgb="FF136B31"/>
      </right>
      <top style="thin">
        <color rgb="FF136B31"/>
      </top>
      <bottom style="thick">
        <color rgb="FF136B31"/>
      </bottom>
      <diagonal/>
    </border>
    <border>
      <left style="thin">
        <color rgb="FFC9A227"/>
      </left>
      <right style="thin">
        <color rgb="FFC9A227"/>
      </right>
      <top style="thin">
        <color rgb="FFC9A227"/>
      </top>
      <bottom style="thick">
        <color rgb="FFC9A227"/>
      </bottom>
      <diagonal/>
    </border>
    <border>
      <left style="thin">
        <color rgb="FF8D281D"/>
      </left>
      <right style="thin">
        <color rgb="FF8D281D"/>
      </right>
      <top style="thin">
        <color rgb="FF8D281D"/>
      </top>
      <bottom style="thick">
        <color rgb="FF8D281D"/>
      </bottom>
      <diagonal/>
    </border>
    <border>
      <left style="thin">
        <color rgb="FF1F2A45"/>
      </left>
      <right style="thin">
        <color rgb="FF1F2A45"/>
      </right>
      <top style="thin">
        <color rgb="FF1F2A45"/>
      </top>
      <bottom style="thick">
        <color rgb="FF1F2A45"/>
      </bottom>
      <diagonal/>
    </border>
    <border>
      <left style="thin">
        <color rgb="FF095A61"/>
      </left>
      <right style="thin">
        <color rgb="FF095A61"/>
      </right>
      <top style="thin">
        <color rgb="FF095A61"/>
      </top>
      <bottom style="thick">
        <color rgb="FF095A61"/>
      </bottom>
      <diagonal/>
    </border>
    <border>
      <left style="thin">
        <color rgb="FF4C3386"/>
      </left>
      <right style="thin">
        <color rgb="FF4C3386"/>
      </right>
      <top style="thin">
        <color rgb="FF4C3386"/>
      </top>
      <bottom style="thick">
        <color rgb="FF4C3386"/>
      </bottom>
      <diagonal/>
    </border>
    <border>
      <left style="thin">
        <color rgb="FF1F6B3F"/>
      </left>
      <right style="thin">
        <color rgb="FF1F6B3F"/>
      </right>
      <top style="thin">
        <color rgb="FF1F6B3F"/>
      </top>
      <bottom style="thick">
        <color rgb="FF1F6B3F"/>
      </bottom>
      <diagonal/>
    </border>
    <border>
      <left style="thin">
        <color rgb="FF0E7C86"/>
      </left>
      <right style="thin">
        <color rgb="FF0E7C86"/>
      </right>
      <top style="thin">
        <color rgb="FF0E7C86"/>
      </top>
      <bottom style="thick">
        <color rgb="FF0E7C86"/>
      </bottom>
      <diagonal/>
    </border>
    <border>
      <left style="thin">
        <color rgb="FF6B4BB8"/>
      </left>
      <right style="thin">
        <color rgb="FF6B4BB8"/>
      </right>
      <top style="thin">
        <color rgb="FF6B4BB8"/>
      </top>
      <bottom style="thick">
        <color rgb="FF6B4BB8"/>
      </bottom>
      <diagonal/>
    </border>
    <border>
      <left style="thin">
        <color rgb="FF2E8B57"/>
      </left>
      <right style="thin">
        <color rgb="FF2E8B57"/>
      </right>
      <top style="thin">
        <color rgb="FF2E8B57"/>
      </top>
      <bottom style="thick">
        <color rgb="FF2E8B57"/>
      </bottom>
      <diagonal/>
    </border>
    <border>
      <left style="thin">
        <color rgb="FFBF382C"/>
      </left>
      <right style="thin">
        <color rgb="FFBF382C"/>
      </right>
      <top style="thin">
        <color rgb="FFBF382C"/>
      </top>
      <bottom style="thick">
        <color rgb="FFBF382C"/>
      </bottom>
      <diagonal/>
    </border>
    <border>
      <left/>
      <right/>
      <top/>
      <bottom style="thick">
        <color rgb="FF1F2A45"/>
      </bottom>
      <diagonal/>
    </border>
    <border>
      <left/>
      <right/>
      <top/>
      <bottom style="thick">
        <color rgb="FF3B82C4"/>
      </bottom>
      <diagonal/>
    </border>
    <border>
      <left/>
      <right/>
      <top/>
      <bottom style="thick">
        <color rgb="FFD6589F"/>
      </bottom>
      <diagonal/>
    </border>
    <border>
      <left/>
      <right/>
      <top/>
      <bottom style="thick">
        <color rgb="FF1E9E4A"/>
      </bottom>
      <diagonal/>
    </border>
    <border>
      <left/>
      <right/>
      <top/>
      <bottom style="thick">
        <color rgb="FFBF382C"/>
      </bottom>
      <diagonal/>
    </border>
    <border>
      <left/>
      <right/>
      <top/>
      <bottom style="thick">
        <color rgb="FF6B4BB8"/>
      </bottom>
      <diagonal/>
    </border>
    <border>
      <left style="thin">
        <color rgb="FFFFFFFF"/>
      </left>
      <right style="thin">
        <color rgb="FFFFFFFF"/>
      </right>
      <top style="thin">
        <color rgb="FFFFFFFF"/>
      </top>
      <bottom style="thin">
        <color rgb="FFFFFFFF"/>
      </bottom>
      <diagonal/>
    </border>
    <border>
      <left style="thin">
        <color rgb="FFD5DAE3"/>
      </left>
      <right style="thin">
        <color rgb="FFD5DAE3"/>
      </right>
      <top style="thin">
        <color rgb="FFD5DAE3"/>
      </top>
      <bottom style="thin">
        <color rgb="FFD5DAE3"/>
      </bottom>
      <diagonal/>
    </border>
    <border>
      <left style="thin">
        <color rgb="FFE5E7EB"/>
      </left>
      <right style="thin">
        <color rgb="FFE5E7EB"/>
      </right>
      <top style="thin">
        <color rgb="FFE5E7EB"/>
      </top>
      <bottom style="thin">
        <color rgb="FFE5E7EB"/>
      </bottom>
      <diagonal/>
    </border>
  </borders>
  <cellStyleXfs count="4">
    <xf numFmtId="0" fontId="0" fillId="0" borderId="0"/>
    <xf numFmtId="0" fontId="1" fillId="0" borderId="0"/>
    <xf numFmtId="0" fontId="71" fillId="0" borderId="0">
      <alignment vertical="center"/>
    </xf>
    <xf numFmtId="0" fontId="72" fillId="0" borderId="0">
      <alignment vertical="center"/>
    </xf>
  </cellStyleXfs>
  <cellXfs count="166">
    <xf numFmtId="0" fontId="0" fillId="0" borderId="0" xfId="0"/>
    <xf numFmtId="0" fontId="3" fillId="2" borderId="18" xfId="0" applyFont="1" applyFill="1" applyBorder="1" applyAlignment="1">
      <alignment horizontal="center" vertical="center" readingOrder="2"/>
    </xf>
    <xf numFmtId="1" fontId="14" fillId="17" borderId="19" xfId="0" applyNumberFormat="1" applyFont="1" applyFill="1" applyBorder="1" applyAlignment="1">
      <alignment horizontal="center" vertical="center" readingOrder="2"/>
    </xf>
    <xf numFmtId="1" fontId="15" fillId="17" borderId="19"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3" fillId="2" borderId="2" xfId="0" applyFont="1" applyFill="1" applyBorder="1" applyAlignment="1">
      <alignment horizontal="center" vertical="center" readingOrder="2"/>
    </xf>
    <xf numFmtId="0" fontId="6"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3" fillId="9" borderId="6" xfId="0" applyFont="1" applyFill="1" applyBorder="1" applyAlignment="1">
      <alignment horizontal="center" vertical="center" readingOrder="2"/>
    </xf>
    <xf numFmtId="0" fontId="3" fillId="10" borderId="7" xfId="0" applyFont="1" applyFill="1" applyBorder="1" applyAlignment="1">
      <alignment horizontal="center" vertical="center" readingOrder="2"/>
    </xf>
    <xf numFmtId="0" fontId="3" fillId="6" borderId="3" xfId="0" applyFont="1" applyFill="1" applyBorder="1" applyAlignment="1">
      <alignment horizontal="center" vertical="center" readingOrder="2"/>
    </xf>
    <xf numFmtId="0" fontId="3" fillId="7" borderId="18" xfId="0" applyFont="1" applyFill="1" applyBorder="1" applyAlignment="1">
      <alignment horizontal="center" vertical="center" wrapText="1" readingOrder="2"/>
    </xf>
    <xf numFmtId="0" fontId="3" fillId="2" borderId="18" xfId="0" applyFont="1" applyFill="1" applyBorder="1" applyAlignment="1">
      <alignment horizontal="center" vertical="center" wrapText="1" readingOrder="2"/>
    </xf>
    <xf numFmtId="0" fontId="21" fillId="20" borderId="19" xfId="0" applyFont="1" applyFill="1" applyBorder="1" applyAlignment="1">
      <alignment horizontal="center" vertical="center" readingOrder="2"/>
    </xf>
    <xf numFmtId="0" fontId="22" fillId="20" borderId="19" xfId="0" applyFont="1" applyFill="1" applyBorder="1" applyAlignment="1">
      <alignment horizontal="center" vertical="center" readingOrder="2"/>
    </xf>
    <xf numFmtId="0" fontId="23" fillId="21" borderId="19" xfId="0" applyFont="1" applyFill="1" applyBorder="1" applyAlignment="1" applyProtection="1">
      <alignment horizontal="right" vertical="center" readingOrder="2"/>
      <protection locked="0"/>
    </xf>
    <xf numFmtId="0" fontId="24" fillId="21" borderId="19" xfId="0" applyFont="1" applyFill="1" applyBorder="1" applyAlignment="1" applyProtection="1">
      <alignment horizontal="center" vertical="center" readingOrder="2"/>
      <protection locked="0"/>
    </xf>
    <xf numFmtId="49" fontId="24" fillId="21" borderId="19" xfId="0" applyNumberFormat="1" applyFont="1" applyFill="1" applyBorder="1" applyAlignment="1" applyProtection="1">
      <alignment horizontal="center" vertical="center" readingOrder="2"/>
      <protection locked="0"/>
    </xf>
    <xf numFmtId="0" fontId="24" fillId="21" borderId="19" xfId="0" applyFont="1" applyFill="1" applyBorder="1" applyAlignment="1" applyProtection="1">
      <alignment horizontal="right" vertical="center" wrapText="1" readingOrder="2"/>
      <protection locked="0"/>
    </xf>
    <xf numFmtId="0" fontId="25" fillId="0" borderId="0" xfId="0" applyFont="1"/>
    <xf numFmtId="1" fontId="26" fillId="20" borderId="19" xfId="0" applyNumberFormat="1" applyFont="1" applyFill="1" applyBorder="1" applyAlignment="1">
      <alignment horizontal="center" vertical="center" readingOrder="2"/>
    </xf>
    <xf numFmtId="9" fontId="26" fillId="20" borderId="19" xfId="0" applyNumberFormat="1" applyFont="1" applyFill="1" applyBorder="1" applyAlignment="1">
      <alignment horizontal="center" vertical="center" readingOrder="2"/>
    </xf>
    <xf numFmtId="164" fontId="26" fillId="20" borderId="19" xfId="0" applyNumberFormat="1" applyFont="1" applyFill="1" applyBorder="1" applyAlignment="1">
      <alignment horizontal="center" vertical="center" readingOrder="2"/>
    </xf>
    <xf numFmtId="0" fontId="26" fillId="20" borderId="19" xfId="0" applyFont="1" applyFill="1" applyBorder="1" applyAlignment="1">
      <alignment horizontal="center" vertical="center" readingOrder="2"/>
    </xf>
    <xf numFmtId="0" fontId="34" fillId="0" borderId="0" xfId="0" applyFont="1" applyAlignment="1">
      <alignment horizontal="center" vertical="center" readingOrder="2"/>
    </xf>
    <xf numFmtId="0" fontId="23" fillId="0" borderId="0" xfId="0" applyFont="1" applyAlignment="1">
      <alignment horizontal="center" vertical="center" readingOrder="2"/>
    </xf>
    <xf numFmtId="0" fontId="36" fillId="0" borderId="0" xfId="0" applyFont="1" applyAlignment="1">
      <alignment horizontal="center" vertical="center" readingOrder="2"/>
    </xf>
    <xf numFmtId="0" fontId="37" fillId="0" borderId="0" xfId="0" applyFont="1" applyAlignment="1">
      <alignment horizontal="center" vertical="center" readingOrder="2"/>
    </xf>
    <xf numFmtId="0" fontId="38" fillId="0" borderId="0" xfId="0" applyFont="1" applyAlignment="1">
      <alignment horizontal="center" vertical="center" readingOrder="2"/>
    </xf>
    <xf numFmtId="1" fontId="39" fillId="0" borderId="0" xfId="0" applyNumberFormat="1" applyFont="1" applyAlignment="1">
      <alignment horizontal="center" vertical="center" readingOrder="2"/>
    </xf>
    <xf numFmtId="1" fontId="40" fillId="0" borderId="0" xfId="0" applyNumberFormat="1" applyFont="1" applyAlignment="1">
      <alignment horizontal="center" vertical="center" readingOrder="2"/>
    </xf>
    <xf numFmtId="9" fontId="41" fillId="0" borderId="0" xfId="0" applyNumberFormat="1" applyFont="1" applyAlignment="1">
      <alignment horizontal="center" vertical="center" readingOrder="2"/>
    </xf>
    <xf numFmtId="1" fontId="53" fillId="22" borderId="19" xfId="0" applyNumberFormat="1" applyFont="1" applyFill="1" applyBorder="1" applyAlignment="1">
      <alignment horizontal="center" vertical="center" readingOrder="2"/>
    </xf>
    <xf numFmtId="9" fontId="54" fillId="22" borderId="19" xfId="0" applyNumberFormat="1" applyFont="1" applyFill="1" applyBorder="1" applyAlignment="1">
      <alignment horizontal="center" vertical="center" readingOrder="2"/>
    </xf>
    <xf numFmtId="0" fontId="7" fillId="11" borderId="18" xfId="0" applyFont="1" applyFill="1" applyBorder="1" applyAlignment="1">
      <alignment horizontal="center" vertical="center" wrapText="1" readingOrder="2"/>
    </xf>
    <xf numFmtId="165" fontId="7" fillId="11" borderId="18" xfId="0" applyNumberFormat="1" applyFont="1" applyFill="1" applyBorder="1" applyAlignment="1">
      <alignment horizontal="center" vertical="center" wrapText="1" readingOrder="2"/>
    </xf>
    <xf numFmtId="0" fontId="21" fillId="0" borderId="19" xfId="0" applyFont="1" applyBorder="1" applyAlignment="1">
      <alignment horizontal="center" vertical="center" readingOrder="2"/>
    </xf>
    <xf numFmtId="0" fontId="23" fillId="0" borderId="19" xfId="0" applyFont="1" applyBorder="1" applyAlignment="1">
      <alignment horizontal="right" vertical="center" readingOrder="2"/>
    </xf>
    <xf numFmtId="1" fontId="55" fillId="0" borderId="19" xfId="0" applyNumberFormat="1" applyFont="1" applyBorder="1" applyAlignment="1">
      <alignment horizontal="center" vertical="center" readingOrder="2"/>
    </xf>
    <xf numFmtId="1" fontId="56" fillId="0" borderId="19" xfId="0" applyNumberFormat="1" applyFont="1" applyBorder="1" applyAlignment="1">
      <alignment horizontal="center" vertical="center" readingOrder="2"/>
    </xf>
    <xf numFmtId="1" fontId="57" fillId="0" borderId="19" xfId="0" applyNumberFormat="1" applyFont="1" applyBorder="1" applyAlignment="1">
      <alignment horizontal="center" vertical="center" readingOrder="2"/>
    </xf>
    <xf numFmtId="9" fontId="23" fillId="0" borderId="19" xfId="0" applyNumberFormat="1" applyFont="1" applyBorder="1" applyAlignment="1">
      <alignment horizontal="center" vertical="center" readingOrder="2"/>
    </xf>
    <xf numFmtId="1" fontId="23" fillId="0" borderId="19" xfId="0" applyNumberFormat="1" applyFont="1" applyBorder="1" applyAlignment="1">
      <alignment horizontal="center" vertical="center" readingOrder="2"/>
    </xf>
    <xf numFmtId="164" fontId="26" fillId="0" borderId="19" xfId="0" applyNumberFormat="1" applyFont="1" applyBorder="1" applyAlignment="1">
      <alignment horizontal="center" vertical="center" readingOrder="2"/>
    </xf>
    <xf numFmtId="0" fontId="35" fillId="0" borderId="19" xfId="0" applyFont="1" applyBorder="1" applyAlignment="1">
      <alignment horizontal="center" vertical="center" readingOrder="2"/>
    </xf>
    <xf numFmtId="0" fontId="14" fillId="0" borderId="20" xfId="0" applyFont="1" applyBorder="1" applyAlignment="1" applyProtection="1">
      <alignment horizontal="center" vertical="center" readingOrder="2"/>
      <protection locked="0"/>
    </xf>
    <xf numFmtId="0" fontId="7" fillId="12" borderId="18" xfId="0" applyFont="1" applyFill="1" applyBorder="1" applyAlignment="1">
      <alignment horizontal="center" vertical="center" wrapText="1" readingOrder="2"/>
    </xf>
    <xf numFmtId="165" fontId="7" fillId="12" borderId="18" xfId="0" applyNumberFormat="1" applyFont="1" applyFill="1" applyBorder="1" applyAlignment="1">
      <alignment horizontal="center" vertical="center" wrapText="1" readingOrder="2"/>
    </xf>
    <xf numFmtId="0" fontId="7" fillId="13" borderId="18" xfId="0" applyFont="1" applyFill="1" applyBorder="1" applyAlignment="1">
      <alignment horizontal="center" vertical="center" wrapText="1" readingOrder="2"/>
    </xf>
    <xf numFmtId="165" fontId="7" fillId="13" borderId="18" xfId="0" applyNumberFormat="1" applyFont="1" applyFill="1" applyBorder="1" applyAlignment="1">
      <alignment horizontal="center" vertical="center" wrapText="1" readingOrder="2"/>
    </xf>
    <xf numFmtId="0" fontId="7" fillId="14" borderId="18" xfId="0" applyFont="1" applyFill="1" applyBorder="1" applyAlignment="1">
      <alignment horizontal="center" vertical="center" wrapText="1" readingOrder="2"/>
    </xf>
    <xf numFmtId="165" fontId="7" fillId="14" borderId="18" xfId="0" applyNumberFormat="1" applyFont="1" applyFill="1" applyBorder="1" applyAlignment="1">
      <alignment horizontal="center" vertical="center" wrapText="1" readingOrder="2"/>
    </xf>
    <xf numFmtId="0" fontId="3" fillId="6" borderId="18" xfId="0" applyFont="1" applyFill="1" applyBorder="1" applyAlignment="1">
      <alignment horizontal="center" vertical="center" wrapText="1" readingOrder="2"/>
    </xf>
    <xf numFmtId="0" fontId="36" fillId="0" borderId="19" xfId="0" applyFont="1" applyBorder="1" applyAlignment="1">
      <alignment horizontal="center" vertical="center" readingOrder="2"/>
    </xf>
    <xf numFmtId="0" fontId="37" fillId="0" borderId="19" xfId="0" applyFont="1" applyBorder="1" applyAlignment="1">
      <alignment horizontal="center" vertical="center" readingOrder="2"/>
    </xf>
    <xf numFmtId="0" fontId="26" fillId="0" borderId="19" xfId="0" applyFont="1" applyBorder="1" applyAlignment="1">
      <alignment horizontal="right" vertical="center" wrapText="1" readingOrder="2"/>
    </xf>
    <xf numFmtId="0" fontId="62" fillId="0" borderId="0" xfId="0" applyFont="1"/>
    <xf numFmtId="0" fontId="7" fillId="2" borderId="19" xfId="0" applyFont="1" applyFill="1" applyBorder="1" applyAlignment="1">
      <alignment horizontal="center" vertical="center" readingOrder="2"/>
    </xf>
    <xf numFmtId="0" fontId="24" fillId="17" borderId="19" xfId="0" applyFont="1" applyFill="1" applyBorder="1" applyAlignment="1">
      <alignment horizontal="center" vertical="center" readingOrder="2"/>
    </xf>
    <xf numFmtId="0" fontId="63" fillId="24" borderId="19" xfId="0" applyFont="1" applyFill="1" applyBorder="1" applyAlignment="1">
      <alignment horizontal="center" vertical="center" readingOrder="2"/>
    </xf>
    <xf numFmtId="0" fontId="64" fillId="24" borderId="19" xfId="0" applyFont="1" applyFill="1" applyBorder="1" applyAlignment="1">
      <alignment horizontal="center" vertical="center" readingOrder="2"/>
    </xf>
    <xf numFmtId="0" fontId="65" fillId="0" borderId="0" xfId="0" applyFont="1"/>
    <xf numFmtId="0" fontId="24" fillId="17" borderId="19" xfId="0" applyFont="1" applyFill="1" applyBorder="1" applyAlignment="1">
      <alignment horizontal="right" vertical="center" readingOrder="2"/>
    </xf>
    <xf numFmtId="164" fontId="63" fillId="24" borderId="19" xfId="0" applyNumberFormat="1" applyFont="1" applyFill="1" applyBorder="1" applyAlignment="1">
      <alignment horizontal="center" vertical="center" readingOrder="2"/>
    </xf>
    <xf numFmtId="164" fontId="24" fillId="20" borderId="19" xfId="0" applyNumberFormat="1" applyFont="1" applyFill="1" applyBorder="1" applyAlignment="1">
      <alignment horizontal="center" vertical="center" readingOrder="2"/>
    </xf>
    <xf numFmtId="1" fontId="24" fillId="20" borderId="19" xfId="0" applyNumberFormat="1" applyFont="1" applyFill="1" applyBorder="1" applyAlignment="1">
      <alignment horizontal="center" vertical="center" readingOrder="2"/>
    </xf>
    <xf numFmtId="0" fontId="66" fillId="0" borderId="0" xfId="0" applyFont="1" applyAlignment="1">
      <alignment horizontal="right" vertical="center" readingOrder="2"/>
    </xf>
    <xf numFmtId="9" fontId="63" fillId="24" borderId="19" xfId="0" applyNumberFormat="1" applyFont="1" applyFill="1" applyBorder="1" applyAlignment="1">
      <alignment horizontal="center" vertical="center" readingOrder="2"/>
    </xf>
    <xf numFmtId="1" fontId="63" fillId="24" borderId="19" xfId="0" applyNumberFormat="1" applyFont="1" applyFill="1" applyBorder="1" applyAlignment="1">
      <alignment horizontal="center" vertical="center" readingOrder="2"/>
    </xf>
    <xf numFmtId="0" fontId="6" fillId="2" borderId="18" xfId="0" applyFont="1" applyFill="1" applyBorder="1" applyAlignment="1">
      <alignment horizontal="right" vertical="center" wrapText="1" readingOrder="2"/>
    </xf>
    <xf numFmtId="0" fontId="24" fillId="17" borderId="18" xfId="0" applyFont="1" applyFill="1" applyBorder="1" applyAlignment="1">
      <alignment horizontal="right" vertical="center" wrapText="1" readingOrder="2"/>
    </xf>
    <xf numFmtId="0" fontId="68" fillId="21" borderId="19" xfId="0" applyFont="1" applyFill="1" applyBorder="1" applyAlignment="1" applyProtection="1">
      <alignment horizontal="right" vertical="center" readingOrder="2"/>
      <protection locked="0"/>
    </xf>
    <xf numFmtId="0" fontId="69" fillId="24" borderId="19" xfId="0" applyFont="1" applyFill="1" applyBorder="1" applyAlignment="1">
      <alignment horizontal="center" vertical="center" readingOrder="2"/>
    </xf>
    <xf numFmtId="0" fontId="70" fillId="21" borderId="19" xfId="0" applyFont="1" applyFill="1" applyBorder="1" applyAlignment="1" applyProtection="1">
      <alignment horizontal="right" vertical="center" wrapText="1" readingOrder="2"/>
      <protection locked="0"/>
    </xf>
    <xf numFmtId="0" fontId="68" fillId="21" borderId="19" xfId="0" applyFont="1" applyFill="1" applyBorder="1" applyAlignment="1" applyProtection="1">
      <alignment horizontal="center" vertical="center" readingOrder="2"/>
      <protection locked="0"/>
    </xf>
    <xf numFmtId="0" fontId="7" fillId="0" borderId="0" xfId="0" applyFont="1" applyAlignment="1">
      <alignment horizontal="center" vertical="center" readingOrder="2"/>
    </xf>
    <xf numFmtId="0" fontId="42" fillId="0" borderId="0" xfId="0" applyFont="1" applyAlignment="1">
      <alignment horizontal="center" vertical="center" readingOrder="2"/>
    </xf>
    <xf numFmtId="0" fontId="43" fillId="0" borderId="0" xfId="0" applyFont="1" applyAlignment="1">
      <alignment horizontal="center" vertical="center" readingOrder="2"/>
    </xf>
    <xf numFmtId="0" fontId="33" fillId="0" borderId="0" xfId="0" applyFont="1" applyAlignment="1">
      <alignment horizontal="center" vertical="center" readingOrder="2"/>
    </xf>
    <xf numFmtId="0" fontId="35" fillId="0" borderId="0" xfId="0" applyFont="1" applyAlignment="1">
      <alignment horizontal="right" vertical="center" wrapText="1" readingOrder="2"/>
    </xf>
    <xf numFmtId="0" fontId="26" fillId="0" borderId="0" xfId="0" applyFont="1" applyAlignment="1">
      <alignment horizontal="right" vertical="center" wrapText="1" readingOrder="2"/>
    </xf>
    <xf numFmtId="0" fontId="32" fillId="0" borderId="0" xfId="0" applyFont="1" applyAlignment="1">
      <alignment horizontal="center" vertical="center" readingOrder="2"/>
    </xf>
    <xf numFmtId="0" fontId="29" fillId="8" borderId="0" xfId="0" applyFont="1" applyFill="1" applyAlignment="1">
      <alignment horizontal="center" vertical="center" readingOrder="2"/>
    </xf>
    <xf numFmtId="0" fontId="3" fillId="2" borderId="2" xfId="0" applyFont="1" applyFill="1" applyBorder="1" applyAlignment="1">
      <alignment horizontal="center" vertical="center" readingOrder="2"/>
    </xf>
    <xf numFmtId="0" fontId="3"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7" fillId="11" borderId="0" xfId="0" applyFont="1" applyFill="1" applyAlignment="1">
      <alignment horizontal="center" vertical="center" readingOrder="2"/>
    </xf>
    <xf numFmtId="1" fontId="30" fillId="22" borderId="0" xfId="0" applyNumberFormat="1" applyFont="1" applyFill="1" applyAlignment="1">
      <alignment horizontal="center" vertical="center" readingOrder="2"/>
    </xf>
    <xf numFmtId="0" fontId="31" fillId="22" borderId="0" xfId="0" applyFont="1" applyFill="1" applyAlignment="1">
      <alignment horizontal="center" vertical="center" readingOrder="2"/>
    </xf>
    <xf numFmtId="9" fontId="30" fillId="22" borderId="0" xfId="0" applyNumberFormat="1" applyFont="1" applyFill="1" applyAlignment="1">
      <alignment horizontal="center" vertical="center" readingOrder="2"/>
    </xf>
    <xf numFmtId="0" fontId="6" fillId="2" borderId="18" xfId="0" applyFont="1" applyFill="1" applyBorder="1" applyAlignment="1">
      <alignment horizontal="center" vertical="center" readingOrder="2"/>
    </xf>
    <xf numFmtId="9" fontId="6" fillId="2" borderId="18"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15" fillId="2" borderId="18" xfId="0" applyFont="1" applyFill="1" applyBorder="1" applyAlignment="1">
      <alignment horizontal="center" vertical="center" readingOrder="2"/>
    </xf>
    <xf numFmtId="0" fontId="6" fillId="10" borderId="18" xfId="0" applyFont="1" applyFill="1" applyBorder="1" applyAlignment="1">
      <alignment horizontal="center" vertical="center" readingOrder="2"/>
    </xf>
    <xf numFmtId="9" fontId="14" fillId="17" borderId="19" xfId="0" applyNumberFormat="1" applyFont="1" applyFill="1" applyBorder="1" applyAlignment="1">
      <alignment horizontal="center" vertical="center" readingOrder="2"/>
    </xf>
    <xf numFmtId="1" fontId="16" fillId="17" borderId="19" xfId="0" applyNumberFormat="1" applyFont="1" applyFill="1" applyBorder="1" applyAlignment="1">
      <alignment horizontal="center" vertical="center" readingOrder="2"/>
    </xf>
    <xf numFmtId="0" fontId="17" fillId="17" borderId="19" xfId="0" applyFont="1" applyFill="1" applyBorder="1" applyAlignment="1">
      <alignment horizontal="center" vertical="center" readingOrder="2"/>
    </xf>
    <xf numFmtId="0" fontId="6" fillId="6" borderId="18" xfId="0" applyFont="1" applyFill="1" applyBorder="1" applyAlignment="1">
      <alignment horizontal="center" vertical="center" readingOrder="2"/>
    </xf>
    <xf numFmtId="0" fontId="6" fillId="8" borderId="18" xfId="0" applyFont="1" applyFill="1" applyBorder="1" applyAlignment="1">
      <alignment horizontal="center" vertical="center" readingOrder="2"/>
    </xf>
    <xf numFmtId="0" fontId="6" fillId="9" borderId="18" xfId="0" applyFont="1" applyFill="1" applyBorder="1" applyAlignment="1">
      <alignment horizontal="center" vertical="center" readingOrder="2"/>
    </xf>
    <xf numFmtId="164" fontId="13" fillId="17" borderId="17" xfId="0" applyNumberFormat="1" applyFont="1" applyFill="1" applyBorder="1" applyAlignment="1">
      <alignment horizontal="center" vertical="center" readingOrder="2"/>
    </xf>
    <xf numFmtId="0" fontId="4" fillId="4" borderId="0" xfId="0" applyFont="1" applyFill="1" applyAlignment="1">
      <alignment horizontal="right" vertical="center" readingOrder="2"/>
    </xf>
    <xf numFmtId="0" fontId="3" fillId="2" borderId="18" xfId="0" applyFont="1" applyFill="1" applyBorder="1" applyAlignment="1">
      <alignment horizontal="center" vertical="center" readingOrder="2"/>
    </xf>
    <xf numFmtId="1" fontId="8" fillId="17" borderId="12" xfId="0" applyNumberFormat="1" applyFont="1" applyFill="1" applyBorder="1" applyAlignment="1">
      <alignment horizontal="center" vertical="center" readingOrder="2"/>
    </xf>
    <xf numFmtId="1" fontId="9" fillId="17" borderId="13" xfId="0" applyNumberFormat="1" applyFont="1" applyFill="1" applyBorder="1" applyAlignment="1">
      <alignment horizontal="center" vertical="center" readingOrder="2"/>
    </xf>
    <xf numFmtId="1" fontId="10" fillId="17" borderId="14" xfId="0" applyNumberFormat="1" applyFont="1" applyFill="1" applyBorder="1" applyAlignment="1">
      <alignment horizontal="center" vertical="center" readingOrder="2"/>
    </xf>
    <xf numFmtId="9" fontId="11" fillId="17" borderId="15" xfId="0" applyNumberFormat="1" applyFont="1" applyFill="1" applyBorder="1" applyAlignment="1">
      <alignment horizontal="center" vertical="center" readingOrder="2"/>
    </xf>
    <xf numFmtId="1" fontId="12" fillId="17" borderId="16" xfId="0" applyNumberFormat="1" applyFont="1" applyFill="1" applyBorder="1" applyAlignment="1">
      <alignment horizontal="center" vertical="center" readingOrder="2"/>
    </xf>
    <xf numFmtId="0" fontId="7" fillId="2" borderId="0" xfId="0" applyFont="1" applyFill="1" applyAlignment="1">
      <alignment horizontal="center" vertical="center" readingOrder="2"/>
    </xf>
    <xf numFmtId="0" fontId="7" fillId="15" borderId="0" xfId="0" applyFont="1" applyFill="1" applyAlignment="1">
      <alignment horizontal="center" vertical="center" readingOrder="2"/>
    </xf>
    <xf numFmtId="0" fontId="7" fillId="16" borderId="0" xfId="0" applyFont="1" applyFill="1" applyAlignment="1">
      <alignment horizontal="center" vertical="center" readingOrder="2"/>
    </xf>
    <xf numFmtId="0" fontId="7" fillId="5" borderId="0" xfId="0" applyFont="1" applyFill="1" applyAlignment="1">
      <alignment horizontal="center" vertical="center" readingOrder="2"/>
    </xf>
    <xf numFmtId="0" fontId="7" fillId="6" borderId="0" xfId="0" applyFont="1" applyFill="1" applyAlignment="1">
      <alignment horizontal="center" vertical="center" readingOrder="2"/>
    </xf>
    <xf numFmtId="0" fontId="7" fillId="9" borderId="0" xfId="0" applyFont="1" applyFill="1" applyAlignment="1">
      <alignment horizontal="center" vertical="center" readingOrder="2"/>
    </xf>
    <xf numFmtId="0" fontId="6" fillId="8" borderId="5" xfId="0" applyFont="1" applyFill="1" applyBorder="1" applyAlignment="1">
      <alignment horizontal="center" vertical="center" readingOrder="2"/>
    </xf>
    <xf numFmtId="0" fontId="6" fillId="9" borderId="6" xfId="0" applyFont="1" applyFill="1" applyBorder="1" applyAlignment="1">
      <alignment horizontal="center" vertical="center" readingOrder="2"/>
    </xf>
    <xf numFmtId="0" fontId="6" fillId="10" borderId="7" xfId="0" applyFont="1" applyFill="1" applyBorder="1" applyAlignment="1">
      <alignment horizontal="center" vertical="center" readingOrder="2"/>
    </xf>
    <xf numFmtId="0" fontId="6" fillId="6" borderId="3" xfId="0" applyFont="1" applyFill="1" applyBorder="1" applyAlignment="1">
      <alignment horizontal="center" vertical="center" readingOrder="2"/>
    </xf>
    <xf numFmtId="0" fontId="6" fillId="11" borderId="8" xfId="0" applyFont="1" applyFill="1" applyBorder="1" applyAlignment="1">
      <alignment horizontal="center" vertical="center" readingOrder="2"/>
    </xf>
    <xf numFmtId="0" fontId="6" fillId="12" borderId="9" xfId="0" applyFont="1" applyFill="1" applyBorder="1" applyAlignment="1">
      <alignment horizontal="center" vertical="center" readingOrder="2"/>
    </xf>
    <xf numFmtId="0" fontId="6" fillId="13" borderId="10" xfId="0" applyFont="1" applyFill="1" applyBorder="1" applyAlignment="1">
      <alignment horizontal="center" vertical="center" readingOrder="2"/>
    </xf>
    <xf numFmtId="0" fontId="6" fillId="14" borderId="11" xfId="0" applyFont="1" applyFill="1" applyBorder="1" applyAlignment="1">
      <alignment horizontal="center" vertical="center" readingOrder="2"/>
    </xf>
    <xf numFmtId="0" fontId="2" fillId="2" borderId="0" xfId="0" applyFont="1" applyFill="1" applyAlignment="1">
      <alignment horizontal="center" vertical="center" readingOrder="2"/>
    </xf>
    <xf numFmtId="0" fontId="3" fillId="3" borderId="0" xfId="0" applyFont="1" applyFill="1" applyAlignment="1">
      <alignment horizontal="center" vertical="center" readingOrder="2"/>
    </xf>
    <xf numFmtId="0" fontId="5" fillId="5" borderId="1" xfId="0" applyFont="1" applyFill="1" applyBorder="1" applyAlignment="1">
      <alignment horizontal="center" vertical="center" readingOrder="2"/>
    </xf>
    <xf numFmtId="0" fontId="5" fillId="2" borderId="2" xfId="0" applyFont="1" applyFill="1" applyBorder="1" applyAlignment="1">
      <alignment horizontal="center" vertical="center" readingOrder="2"/>
    </xf>
    <xf numFmtId="0" fontId="5" fillId="6" borderId="3" xfId="0" applyFont="1" applyFill="1" applyBorder="1" applyAlignment="1">
      <alignment horizontal="center" vertical="center" readingOrder="2"/>
    </xf>
    <xf numFmtId="0" fontId="6" fillId="7" borderId="4" xfId="0" applyFont="1" applyFill="1" applyBorder="1" applyAlignment="1">
      <alignment horizontal="center" vertical="center" readingOrder="2"/>
    </xf>
    <xf numFmtId="0" fontId="19" fillId="18" borderId="0" xfId="0" applyFont="1" applyFill="1" applyAlignment="1">
      <alignment horizontal="center" vertical="center" readingOrder="2"/>
    </xf>
    <xf numFmtId="0" fontId="20" fillId="19" borderId="0" xfId="0" applyFont="1" applyFill="1" applyAlignment="1">
      <alignment horizontal="right" vertical="center" wrapText="1" readingOrder="2"/>
    </xf>
    <xf numFmtId="0" fontId="18" fillId="2" borderId="0" xfId="0" applyFont="1" applyFill="1" applyAlignment="1">
      <alignment horizontal="center" vertical="center" readingOrder="2"/>
    </xf>
    <xf numFmtId="0" fontId="29" fillId="9" borderId="0" xfId="0" applyFont="1" applyFill="1" applyAlignment="1">
      <alignment horizontal="center" vertical="center" readingOrder="2"/>
    </xf>
    <xf numFmtId="0" fontId="3" fillId="9" borderId="6" xfId="0" applyFont="1" applyFill="1" applyBorder="1" applyAlignment="1">
      <alignment horizontal="center" vertical="center" readingOrder="2"/>
    </xf>
    <xf numFmtId="0" fontId="7" fillId="12" borderId="0" xfId="0" applyFont="1" applyFill="1" applyAlignment="1">
      <alignment horizontal="center" vertical="center" readingOrder="2"/>
    </xf>
    <xf numFmtId="1" fontId="44" fillId="22" borderId="0" xfId="0" applyNumberFormat="1" applyFont="1" applyFill="1" applyAlignment="1">
      <alignment horizontal="center" vertical="center" readingOrder="2"/>
    </xf>
    <xf numFmtId="0" fontId="45" fillId="22" borderId="0" xfId="0" applyFont="1" applyFill="1" applyAlignment="1">
      <alignment horizontal="center" vertical="center" readingOrder="2"/>
    </xf>
    <xf numFmtId="9" fontId="44" fillId="22" borderId="0" xfId="0" applyNumberFormat="1" applyFont="1" applyFill="1" applyAlignment="1">
      <alignment horizontal="center" vertical="center" readingOrder="2"/>
    </xf>
    <xf numFmtId="0" fontId="29" fillId="10" borderId="0" xfId="0" applyFont="1" applyFill="1" applyAlignment="1">
      <alignment horizontal="center" vertical="center" readingOrder="2"/>
    </xf>
    <xf numFmtId="0" fontId="3" fillId="10" borderId="7" xfId="0" applyFont="1" applyFill="1" applyBorder="1" applyAlignment="1">
      <alignment horizontal="center" vertical="center" readingOrder="2"/>
    </xf>
    <xf numFmtId="0" fontId="7" fillId="13" borderId="0" xfId="0" applyFont="1" applyFill="1" applyAlignment="1">
      <alignment horizontal="center" vertical="center" readingOrder="2"/>
    </xf>
    <xf numFmtId="1" fontId="46" fillId="22" borderId="0" xfId="0" applyNumberFormat="1" applyFont="1" applyFill="1" applyAlignment="1">
      <alignment horizontal="center" vertical="center" readingOrder="2"/>
    </xf>
    <xf numFmtId="0" fontId="47" fillId="22" borderId="0" xfId="0" applyFont="1" applyFill="1" applyAlignment="1">
      <alignment horizontal="center" vertical="center" readingOrder="2"/>
    </xf>
    <xf numFmtId="9" fontId="46" fillId="22" borderId="0" xfId="0" applyNumberFormat="1" applyFont="1" applyFill="1" applyAlignment="1">
      <alignment horizontal="center" vertical="center" readingOrder="2"/>
    </xf>
    <xf numFmtId="0" fontId="29" fillId="6" borderId="0" xfId="0" applyFont="1" applyFill="1" applyAlignment="1">
      <alignment horizontal="center" vertical="center" readingOrder="2"/>
    </xf>
    <xf numFmtId="0" fontId="3" fillId="6" borderId="3" xfId="0" applyFont="1" applyFill="1" applyBorder="1" applyAlignment="1">
      <alignment horizontal="center" vertical="center" readingOrder="2"/>
    </xf>
    <xf numFmtId="0" fontId="7" fillId="14" borderId="0" xfId="0" applyFont="1" applyFill="1" applyAlignment="1">
      <alignment horizontal="center" vertical="center" readingOrder="2"/>
    </xf>
    <xf numFmtId="1" fontId="48" fillId="22" borderId="0" xfId="0" applyNumberFormat="1" applyFont="1" applyFill="1" applyAlignment="1">
      <alignment horizontal="center" vertical="center" readingOrder="2"/>
    </xf>
    <xf numFmtId="0" fontId="49" fillId="22" borderId="0" xfId="0" applyFont="1" applyFill="1" applyAlignment="1">
      <alignment horizontal="center" vertical="center" readingOrder="2"/>
    </xf>
    <xf numFmtId="9" fontId="48" fillId="22" borderId="0" xfId="0" applyNumberFormat="1" applyFont="1" applyFill="1" applyAlignment="1">
      <alignment horizontal="center" vertical="center" readingOrder="2"/>
    </xf>
    <xf numFmtId="0" fontId="50" fillId="22" borderId="0" xfId="0" applyFont="1" applyFill="1" applyAlignment="1">
      <alignment horizontal="center" vertical="center" wrapText="1" readingOrder="2"/>
    </xf>
    <xf numFmtId="0" fontId="51" fillId="19" borderId="0" xfId="0" applyFont="1" applyFill="1" applyAlignment="1">
      <alignment horizontal="center" vertical="center" readingOrder="2"/>
    </xf>
    <xf numFmtId="0" fontId="52" fillId="22" borderId="0" xfId="0" applyFont="1" applyFill="1" applyAlignment="1">
      <alignment horizontal="right" vertical="center" readingOrder="2"/>
    </xf>
    <xf numFmtId="0" fontId="35" fillId="22" borderId="0" xfId="0" applyFont="1" applyFill="1" applyAlignment="1">
      <alignment horizontal="right" vertical="center" readingOrder="2"/>
    </xf>
    <xf numFmtId="0" fontId="18" fillId="8" borderId="0" xfId="0" applyFont="1" applyFill="1" applyAlignment="1">
      <alignment horizontal="center" vertical="center" readingOrder="2"/>
    </xf>
    <xf numFmtId="0" fontId="58" fillId="22" borderId="0" xfId="0" applyFont="1" applyFill="1" applyAlignment="1">
      <alignment horizontal="center" vertical="center" wrapText="1" readingOrder="2"/>
    </xf>
    <xf numFmtId="0" fontId="18" fillId="9" borderId="0" xfId="0" applyFont="1" applyFill="1" applyAlignment="1">
      <alignment horizontal="center" vertical="center" readingOrder="2"/>
    </xf>
    <xf numFmtId="0" fontId="53" fillId="22" borderId="0" xfId="0" applyFont="1" applyFill="1" applyAlignment="1">
      <alignment horizontal="center" vertical="center" wrapText="1" readingOrder="2"/>
    </xf>
    <xf numFmtId="0" fontId="18" fillId="10" borderId="0" xfId="0" applyFont="1" applyFill="1" applyAlignment="1">
      <alignment horizontal="center" vertical="center" readingOrder="2"/>
    </xf>
    <xf numFmtId="0" fontId="59" fillId="22" borderId="0" xfId="0" applyFont="1" applyFill="1" applyAlignment="1">
      <alignment horizontal="center" vertical="center" wrapText="1" readingOrder="2"/>
    </xf>
    <xf numFmtId="0" fontId="18" fillId="6" borderId="0" xfId="0" applyFont="1" applyFill="1" applyAlignment="1">
      <alignment horizontal="center" vertical="center" readingOrder="2"/>
    </xf>
    <xf numFmtId="0" fontId="61" fillId="23" borderId="0" xfId="0" applyFont="1" applyFill="1" applyAlignment="1">
      <alignment horizontal="center" vertical="center" readingOrder="2"/>
    </xf>
    <xf numFmtId="0" fontId="52" fillId="0" borderId="0" xfId="0" applyFont="1" applyAlignment="1">
      <alignment horizontal="center" vertical="center" readingOrder="2"/>
    </xf>
    <xf numFmtId="0" fontId="60" fillId="6" borderId="0" xfId="0" applyFont="1" applyFill="1" applyAlignment="1">
      <alignment horizontal="center" vertical="center" readingOrder="2"/>
    </xf>
    <xf numFmtId="0" fontId="60" fillId="2" borderId="0" xfId="0" applyFont="1" applyFill="1" applyAlignment="1">
      <alignment horizontal="center" vertical="center" readingOrder="2"/>
    </xf>
    <xf numFmtId="49" fontId="70" fillId="21" borderId="19" xfId="0" applyNumberFormat="1" applyFont="1" applyFill="1" applyBorder="1" applyAlignment="1" applyProtection="1">
      <alignment horizontal="center" vertical="center" readingOrder="2"/>
      <protection locked="0"/>
    </xf>
  </cellXfs>
  <cellStyles count="4">
    <cellStyle name="Normal" xfId="0" builtinId="0"/>
    <cellStyle name="Normal 2" xfId="1" xr:uid="{13DD9753-1E72-4509-BAB7-44E63BA7FEB6}"/>
    <cellStyle name="Normal 3" xfId="2" xr:uid="{28A0BFDA-F3EF-45CF-B154-68E63AC89BB3}"/>
    <cellStyle name="Normal 4" xfId="3" xr:uid="{10976183-DB05-44D7-8AD7-B1611EFFDF9B}"/>
  </cellStyles>
  <dxfs count="154">
    <dxf>
      <font>
        <b/>
        <color rgb="FF9C0006"/>
      </font>
      <fill>
        <patternFill>
          <bgColor rgb="FFFFC7CE"/>
        </patternFill>
      </fill>
    </dxf>
    <dxf>
      <fill>
        <patternFill>
          <bgColor rgb="FFFDF2F1"/>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C0392B"/>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2E8B57"/>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6B4BB8"/>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0E7C86"/>
        </patternFill>
      </fill>
    </dxf>
    <dxf>
      <fill>
        <patternFill>
          <bgColor rgb="FF9CA3AF"/>
        </patternFill>
      </fill>
    </dxf>
    <dxf>
      <fill>
        <patternFill>
          <bgColor rgb="FFFFFFFF"/>
        </patternFill>
      </fill>
    </dxf>
    <dxf>
      <fill>
        <patternFill>
          <bgColor rgb="FFD6589F"/>
        </patternFill>
      </fill>
    </dxf>
    <dxf>
      <fill>
        <patternFill>
          <bgColor rgb="FF3B82C4"/>
        </patternFill>
      </fill>
    </dxf>
    <dxf>
      <font>
        <b/>
        <color rgb="FFB42318"/>
      </font>
      <fill>
        <patternFill>
          <bgColor rgb="FFFADBD8"/>
        </patternFill>
      </fill>
    </dxf>
    <dxf>
      <font>
        <b/>
        <color rgb="FF7A5B00"/>
      </font>
      <fill>
        <patternFill>
          <bgColor rgb="FFFFF0C2"/>
        </patternFill>
      </fill>
    </dxf>
    <dxf>
      <font>
        <b/>
        <color rgb="FF1D5A94"/>
      </font>
      <fill>
        <patternFill>
          <bgColor rgb="FFE3EEFB"/>
        </patternFill>
      </fill>
    </dxf>
    <dxf>
      <font>
        <b/>
        <color rgb="FF1F6A40"/>
      </font>
      <fill>
        <patternFill>
          <bgColor rgb="FFDDF1E5"/>
        </patternFill>
      </fill>
    </dxf>
    <dxf>
      <font>
        <b/>
        <color rgb="FF8E2A1F"/>
      </font>
      <fill>
        <patternFill>
          <bgColor rgb="FFFADBD8"/>
        </patternFill>
      </fill>
    </dxf>
    <dxf>
      <font>
        <b/>
        <color rgb="FF1F6A40"/>
      </font>
      <fill>
        <patternFill>
          <bgColor rgb="FFDDF1E5"/>
        </patternFill>
      </fill>
    </dxf>
    <dxf>
      <font>
        <b/>
        <color rgb="FF4C3386"/>
      </font>
      <fill>
        <patternFill>
          <bgColor rgb="FFE7E0F7"/>
        </patternFill>
      </fill>
    </dxf>
    <dxf>
      <font>
        <b/>
        <color rgb="FF095A61"/>
      </font>
      <fill>
        <patternFill>
          <bgColor rgb="FFD8F0F2"/>
        </patternFill>
      </fill>
    </dxf>
    <dxf>
      <fill>
        <patternFill>
          <bgColor rgb="FFFDE2E2"/>
        </patternFill>
      </fill>
    </dxf>
    <dxf>
      <font>
        <b/>
        <color rgb="FFA3306F"/>
      </font>
      <fill>
        <patternFill>
          <bgColor rgb="FFFBE0EE"/>
        </patternFill>
      </fill>
    </dxf>
    <dxf>
      <font>
        <b/>
        <color rgb="FF1D5A94"/>
      </font>
      <fill>
        <patternFill>
          <bgColor rgb="FFDCEBFA"/>
        </patternFill>
      </fill>
    </dxf>
    <dxf>
      <font>
        <color rgb="FFB42318"/>
      </font>
      <fill>
        <patternFill>
          <bgColor rgb="FFFDE2E2"/>
        </patternFill>
      </fill>
    </dxf>
    <dxf>
      <font>
        <color rgb="FF9CA3AF"/>
      </font>
      <fill>
        <patternFill>
          <bgColor rgb="FFF3F4F6"/>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s>
  <tableStyles count="0" defaultTableStyle="TableStyleMedium2" defaultPivotStyle="PivotStyleLight16"/>
  <colors>
    <indexedColors>
      <rgbColor rgb="FF000000"/>
      <rgbColor rgb="FFFFFFFF"/>
      <rgbColor rgb="FFFDF2F1"/>
      <rgbColor rgb="FFEEF2F7"/>
      <rgbColor rgb="FF0000FF"/>
      <rgbColor rgb="FFFFF0C2"/>
      <rgbColor rgb="FFFDE2E2"/>
      <rgbColor rgb="FFE7EBF3"/>
      <rgbColor rgb="FF9C0006"/>
      <rgbColor rgb="FF006100"/>
      <rgbColor rgb="FF1F6B3F"/>
      <rgbColor rgb="FF7A5B00"/>
      <rgbColor rgb="FF6B4BB8"/>
      <rgbColor rgb="FF0E7C86"/>
      <rgbColor rgb="FFE7E0F7"/>
      <rgbColor rgb="FF818B8C"/>
      <rgbColor rgb="FF6B7280"/>
      <rgbColor rgb="FFBF382C"/>
      <rgbColor rgb="FFFFF9DB"/>
      <rgbColor rgb="FFDDF1E5"/>
      <rgbColor rgb="FFF3F4F6"/>
      <rgbColor rgb="FFD6589F"/>
      <rgbColor rgb="FF195A96"/>
      <rgbColor rgb="FFD5DAE3"/>
      <rgbColor rgb="FFF8FAFC"/>
      <rgbColor rgb="FFFDE8E6"/>
      <rgbColor rgb="FFFFF3C4"/>
      <rgbColor rgb="FFE8F0FB"/>
      <rgbColor rgb="FFF1F3F6"/>
      <rgbColor rgb="FF9C5700"/>
      <rgbColor rgb="FF095A61"/>
      <rgbColor rgb="FFF4F6FA"/>
      <rgbColor rgb="FFEEF0F4"/>
      <rgbColor rgb="FFDCECFA"/>
      <rgbColor rgb="FFC6EFCE"/>
      <rgbColor rgb="FFFFEB9C"/>
      <rgbColor rgb="FFE3E8F0"/>
      <rgbColor rgb="FFFADBD8"/>
      <rgbColor rgb="FFFBE0EE"/>
      <rgbColor rgb="FFFFC7CE"/>
      <rgbColor rgb="FF3B82C4"/>
      <rgbColor rgb="FF1E9E4A"/>
      <rgbColor rgb="FFE5E7EB"/>
      <rgbColor rgb="FFFFF4CC"/>
      <rgbColor rgb="FFC9A227"/>
      <rgbColor rgb="FFD64545"/>
      <rgbColor rgb="FF5B6B8C"/>
      <rgbColor rgb="FF9CA3AF"/>
      <rgbColor rgb="FF1F2A45"/>
      <rgbColor rgb="FF2E8B57"/>
      <rgbColor rgb="FF136B31"/>
      <rgbColor rgb="FF4B5563"/>
      <rgbColor rgb="FF8D281D"/>
      <rgbColor rgb="FFB42318"/>
      <rgbColor rgb="FF4C3386"/>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عدد الأطفال في كل فصل</a:t>
            </a:r>
          </a:p>
        </c:rich>
      </c:tx>
      <c:overlay val="0"/>
      <c:spPr>
        <a:noFill/>
        <a:ln w="0">
          <a:noFill/>
        </a:ln>
      </c:spPr>
    </c:title>
    <c:autoTitleDeleted val="0"/>
    <c:plotArea>
      <c:layout/>
      <c:barChart>
        <c:barDir val="col"/>
        <c:grouping val="stacked"/>
        <c:varyColors val="0"/>
        <c:ser>
          <c:idx val="0"/>
          <c:order val="0"/>
          <c:tx>
            <c:strRef>
              <c:f>الرئيسية!$E$15</c:f>
              <c:strCache>
                <c:ptCount val="1"/>
                <c:pt idx="0">
                  <c:v>أولاد</c:v>
                </c:pt>
              </c:strCache>
            </c:strRef>
          </c:tx>
          <c:spPr>
            <a:solidFill>
              <a:srgbClr val="3B82C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الرئيسية!$E$16:$E$19</c:f>
              <c:numCache>
                <c:formatCode>0</c:formatCode>
                <c:ptCount val="4"/>
                <c:pt idx="0">
                  <c:v>13</c:v>
                </c:pt>
                <c:pt idx="1">
                  <c:v>10</c:v>
                </c:pt>
                <c:pt idx="2">
                  <c:v>0</c:v>
                </c:pt>
                <c:pt idx="3">
                  <c:v>0</c:v>
                </c:pt>
              </c:numCache>
            </c:numRef>
          </c:val>
          <c:extLst>
            <c:ext xmlns:c16="http://schemas.microsoft.com/office/drawing/2014/chart" uri="{C3380CC4-5D6E-409C-BE32-E72D297353CC}">
              <c16:uniqueId val="{00000000-729B-42E7-B4DC-3761D7D89A4D}"/>
            </c:ext>
          </c:extLst>
        </c:ser>
        <c:ser>
          <c:idx val="1"/>
          <c:order val="1"/>
          <c:tx>
            <c:strRef>
              <c:f>الرئيسية!$F$15</c:f>
              <c:strCache>
                <c:ptCount val="1"/>
                <c:pt idx="0">
                  <c:v>بنات</c:v>
                </c:pt>
              </c:strCache>
            </c:strRef>
          </c:tx>
          <c:spPr>
            <a:solidFill>
              <a:srgbClr val="D6589F"/>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الرئيسية!$F$16:$F$19</c:f>
              <c:numCache>
                <c:formatCode>0</c:formatCode>
                <c:ptCount val="4"/>
                <c:pt idx="0">
                  <c:v>11</c:v>
                </c:pt>
                <c:pt idx="1">
                  <c:v>14</c:v>
                </c:pt>
                <c:pt idx="2">
                  <c:v>0</c:v>
                </c:pt>
                <c:pt idx="3">
                  <c:v>0</c:v>
                </c:pt>
              </c:numCache>
            </c:numRef>
          </c:val>
          <c:extLst>
            <c:ext xmlns:c16="http://schemas.microsoft.com/office/drawing/2014/chart" uri="{C3380CC4-5D6E-409C-BE32-E72D297353CC}">
              <c16:uniqueId val="{00000001-729B-42E7-B4DC-3761D7D89A4D}"/>
            </c:ext>
          </c:extLst>
        </c:ser>
        <c:dLbls>
          <c:showLegendKey val="0"/>
          <c:showVal val="0"/>
          <c:showCatName val="0"/>
          <c:showSerName val="0"/>
          <c:showPercent val="0"/>
          <c:showBubbleSize val="0"/>
        </c:dLbls>
        <c:gapWidth val="150"/>
        <c:overlap val="100"/>
        <c:axId val="27742820"/>
        <c:axId val="99149967"/>
      </c:barChart>
      <c:catAx>
        <c:axId val="277428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149967"/>
        <c:crosses val="autoZero"/>
        <c:auto val="1"/>
        <c:lblAlgn val="ctr"/>
        <c:lblOffset val="100"/>
        <c:noMultiLvlLbl val="0"/>
      </c:catAx>
      <c:valAx>
        <c:axId val="991499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74282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نسبة الحضور لكل فصل</a:t>
            </a:r>
          </a:p>
        </c:rich>
      </c:tx>
      <c:overlay val="0"/>
      <c:spPr>
        <a:noFill/>
        <a:ln w="0">
          <a:noFill/>
        </a:ln>
      </c:spPr>
    </c:title>
    <c:autoTitleDeleted val="0"/>
    <c:plotArea>
      <c:layout/>
      <c:barChart>
        <c:barDir val="col"/>
        <c:grouping val="clustered"/>
        <c:varyColors val="0"/>
        <c:ser>
          <c:idx val="0"/>
          <c:order val="0"/>
          <c:tx>
            <c:strRef>
              <c:f>الرئيسية!$G$15</c:f>
              <c:strCache>
                <c:ptCount val="1"/>
                <c:pt idx="0">
                  <c:v>نسبة الحضور</c:v>
                </c:pt>
              </c:strCache>
            </c:strRef>
          </c:tx>
          <c:spPr>
            <a:solidFill>
              <a:srgbClr val="1E9E4A"/>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الرئيسية!$G$16:$G$19</c:f>
              <c:numCache>
                <c:formatCode>0%</c:formatCode>
                <c:ptCount val="4"/>
                <c:pt idx="0">
                  <c:v>0</c:v>
                </c:pt>
                <c:pt idx="1">
                  <c:v>0</c:v>
                </c:pt>
                <c:pt idx="2">
                  <c:v>0</c:v>
                </c:pt>
                <c:pt idx="3">
                  <c:v>0</c:v>
                </c:pt>
              </c:numCache>
            </c:numRef>
          </c:val>
          <c:extLst>
            <c:ext xmlns:c16="http://schemas.microsoft.com/office/drawing/2014/chart" uri="{C3380CC4-5D6E-409C-BE32-E72D297353CC}">
              <c16:uniqueId val="{00000000-9997-478B-AB0F-519CF5D6DA88}"/>
            </c:ext>
          </c:extLst>
        </c:ser>
        <c:dLbls>
          <c:showLegendKey val="0"/>
          <c:showVal val="0"/>
          <c:showCatName val="0"/>
          <c:showSerName val="0"/>
          <c:showPercent val="0"/>
          <c:showBubbleSize val="0"/>
        </c:dLbls>
        <c:gapWidth val="150"/>
        <c:axId val="97414006"/>
        <c:axId val="61380466"/>
      </c:barChart>
      <c:catAx>
        <c:axId val="974140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380466"/>
        <c:crosses val="autoZero"/>
        <c:auto val="1"/>
        <c:lblAlgn val="ctr"/>
        <c:lblOffset val="100"/>
        <c:noMultiLvlLbl val="0"/>
      </c:catAx>
      <c:valAx>
        <c:axId val="61380466"/>
        <c:scaling>
          <c:orientation val="minMax"/>
          <c:max val="1"/>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741400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-630720</xdr:colOff>
      <xdr:row>21</xdr:row>
      <xdr:rowOff>0</xdr:rowOff>
    </xdr:from>
    <xdr:to>
      <xdr:col>6</xdr:col>
      <xdr:colOff>0</xdr:colOff>
      <xdr:row>35</xdr:row>
      <xdr:rowOff>32400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-630720</xdr:colOff>
      <xdr:row>21</xdr:row>
      <xdr:rowOff>0</xdr:rowOff>
    </xdr:from>
    <xdr:to>
      <xdr:col>12</xdr:col>
      <xdr:colOff>0</xdr:colOff>
      <xdr:row>35</xdr:row>
      <xdr:rowOff>32400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14</v>
    <v>4</v>
  </rv>
  <rv s="0">
    <v>15</v>
    <v>4</v>
  </rv>
  <rv s="0">
    <v>16</v>
    <v>4</v>
  </rv>
  <rv s="0">
    <v>17</v>
    <v>4</v>
  </rv>
  <rv s="0">
    <v>18</v>
    <v>4</v>
  </rv>
  <rv s="0">
    <v>19</v>
    <v>4</v>
  </rv>
  <rv s="0">
    <v>20</v>
    <v>4</v>
  </rv>
  <rv s="0">
    <v>21</v>
    <v>4</v>
  </rv>
  <rv s="0">
    <v>22</v>
    <v>4</v>
  </rv>
  <rv s="0">
    <v>23</v>
    <v>4</v>
  </rv>
  <rv s="0">
    <v>24</v>
    <v>4</v>
  </rv>
  <rv s="0">
    <v>25</v>
    <v>4</v>
  </rv>
  <rv s="0">
    <v>26</v>
    <v>4</v>
  </rv>
  <rv s="0">
    <v>0</v>
    <v>4</v>
  </rv>
  <rv s="0">
    <v>1</v>
    <v>4</v>
  </rv>
  <rv s="0">
    <v>2</v>
    <v>4</v>
  </rv>
  <rv s="0">
    <v>3</v>
    <v>4</v>
  </rv>
  <rv s="0">
    <v>4</v>
    <v>4</v>
  </rv>
  <rv s="0">
    <v>5</v>
    <v>4</v>
  </rv>
  <rv s="0">
    <v>6</v>
    <v>4</v>
  </rv>
  <rv s="0">
    <v>7</v>
    <v>4</v>
  </rv>
  <rv s="0">
    <v>8</v>
    <v>4</v>
  </rv>
  <rv s="0">
    <v>9</v>
    <v>4</v>
  </rv>
  <rv s="0">
    <v>10</v>
    <v>4</v>
  </rv>
  <rv s="0">
    <v>11</v>
    <v>4</v>
  </rv>
  <rv s="0">
    <v>12</v>
    <v>4</v>
  </rv>
  <rv s="0">
    <v>13</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ichValueRel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M20"/>
  <sheetViews>
    <sheetView showGridLines="0" rightToLeft="1" zoomScale="90" zoomScaleNormal="90" workbookViewId="0">
      <selection activeCell="E7" sqref="E7:G7"/>
    </sheetView>
  </sheetViews>
  <sheetFormatPr defaultColWidth="8.6640625" defaultRowHeight="14.4"/>
  <cols>
    <col min="1" max="1" width="2" customWidth="1"/>
    <col min="2" max="13" width="12" customWidth="1"/>
    <col min="14" max="14" width="2" customWidth="1"/>
  </cols>
  <sheetData>
    <row r="1" spans="2:13" ht="61.5" customHeight="1">
      <c r="B1" s="123" t="s">
        <v>0</v>
      </c>
      <c r="C1" s="123"/>
      <c r="D1" s="123"/>
      <c r="E1" s="123"/>
      <c r="F1" s="123"/>
      <c r="G1" s="123"/>
      <c r="H1" s="123"/>
      <c r="I1" s="123"/>
      <c r="J1" s="123"/>
      <c r="K1" s="123"/>
      <c r="L1" s="123"/>
      <c r="M1" s="123"/>
    </row>
    <row r="2" spans="2:13" ht="25.5" customHeight="1">
      <c r="B2" s="124" t="str">
        <f>"العام الخدمي  "&amp;DAY(الإعدادات!$B$10)&amp;"/"&amp;MONTH(الإعدادات!$B$10)&amp;"/"&amp;YEAR(الإعدادات!$B$10)&amp;"   ←   "&amp;DAY(الإعدادات!$B$11)&amp;"/"&amp;MONTH(الإعدادات!$B$11)&amp;"/"&amp;YEAR(الإعدادات!$B$11)&amp;"      •      اجتماع كل "&amp;الإعدادات!$B$12</f>
        <v>العام الخدمي  1/10/2026   ←   1/10/2027      •      اجتماع كل الجمعة</v>
      </c>
      <c r="C2" s="124"/>
      <c r="D2" s="124"/>
      <c r="E2" s="124"/>
      <c r="F2" s="124"/>
      <c r="G2" s="124"/>
      <c r="H2" s="124"/>
      <c r="I2" s="124"/>
      <c r="J2" s="124"/>
      <c r="K2" s="124"/>
      <c r="L2" s="124"/>
      <c r="M2" s="124"/>
    </row>
    <row r="3" spans="2:13" ht="9.75" customHeight="1"/>
    <row r="4" spans="2:13" ht="25.5" customHeight="1">
      <c r="B4" s="102" t="s">
        <v>1</v>
      </c>
      <c r="C4" s="102"/>
      <c r="D4" s="102"/>
      <c r="E4" s="102"/>
      <c r="F4" s="102"/>
      <c r="G4" s="102"/>
      <c r="H4" s="102"/>
      <c r="I4" s="102"/>
      <c r="J4" s="102"/>
      <c r="K4" s="102"/>
      <c r="L4" s="102"/>
      <c r="M4" s="102"/>
    </row>
    <row r="5" spans="2:13" ht="42" customHeight="1">
      <c r="B5" s="125" t="str">
        <f>HYPERLINK("#'قاعدة البيانات'!C"&amp;MIN(305,6+COUNTA('قاعدة البيانات'!$C$6:$C$305)),"➕ إضافة طفل جديد")</f>
        <v>➕ إضافة طفل جديد</v>
      </c>
      <c r="C5" s="125"/>
      <c r="D5" s="125"/>
      <c r="E5" s="126" t="str">
        <f>HYPERLINK("#'قاعدة البيانات'!A1","📋 قاعدة البيانات")</f>
        <v>📋 قاعدة البيانات</v>
      </c>
      <c r="F5" s="126"/>
      <c r="G5" s="126"/>
      <c r="H5" s="127" t="str">
        <f>HYPERLINK("#'الافتقاد'!A1","📞 الافتقاد")</f>
        <v>📞 الافتقاد</v>
      </c>
      <c r="I5" s="127"/>
      <c r="J5" s="128" t="str">
        <f>HYPERLINK("#'الإعدادات'!A1","⚙️ الإعدادات")</f>
        <v>⚙️ الإعدادات</v>
      </c>
      <c r="K5" s="128"/>
      <c r="L5" s="128" t="str">
        <f>HYPERLINK("#'دليل الاستخدام'!A1","📖 الدليل")</f>
        <v>📖 الدليل</v>
      </c>
      <c r="M5" s="128"/>
    </row>
    <row r="6" spans="2:13" ht="6" customHeight="1"/>
    <row r="7" spans="2:13" ht="42" customHeight="1">
      <c r="B7" s="115" t="str">
        <f>HYPERLINK("#'فصل سوريال'!A1","🪪 كروت ملاك سوريال")</f>
        <v>🪪 كروت ملاك سوريال</v>
      </c>
      <c r="C7" s="115"/>
      <c r="D7" s="115"/>
      <c r="E7" s="116" t="str">
        <f>HYPERLINK("#'فصل غبريال'!A1","🪪 كروت ملاك غبريال")</f>
        <v>🪪 كروت ملاك غبريال</v>
      </c>
      <c r="F7" s="116"/>
      <c r="G7" s="116"/>
      <c r="H7" s="117" t="str">
        <f>HYPERLINK("#'فصل رفائيل'!A1","🪪 كروت ملاك رفائيل")</f>
        <v>🪪 كروت ملاك رفائيل</v>
      </c>
      <c r="I7" s="117"/>
      <c r="J7" s="117"/>
      <c r="K7" s="118" t="str">
        <f>HYPERLINK("#'فصل ميخائيل'!A1","🪪 كروت ملاك ميخائيل")</f>
        <v>🪪 كروت ملاك ميخائيل</v>
      </c>
      <c r="L7" s="118"/>
      <c r="M7" s="118"/>
    </row>
    <row r="8" spans="2:13" ht="42" customHeight="1">
      <c r="B8" s="119" t="str">
        <f>HYPERLINK("#'حضور سوريال'!A1","📅 حضور سوريال")</f>
        <v>📅 حضور سوريال</v>
      </c>
      <c r="C8" s="119"/>
      <c r="D8" s="119"/>
      <c r="E8" s="120" t="str">
        <f>HYPERLINK("#'حضور غبريال'!A1","📅 حضور غبريال")</f>
        <v>📅 حضور غبريال</v>
      </c>
      <c r="F8" s="120"/>
      <c r="G8" s="120"/>
      <c r="H8" s="121" t="str">
        <f>HYPERLINK("#'حضور رفائيل'!A1","📅 حضور رفائيل")</f>
        <v>📅 حضور رفائيل</v>
      </c>
      <c r="I8" s="121"/>
      <c r="J8" s="121"/>
      <c r="K8" s="122" t="str">
        <f>HYPERLINK("#'حضور ميخائيل'!A1","📅 حضور ميخائيل")</f>
        <v>📅 حضور ميخائيل</v>
      </c>
      <c r="L8" s="122"/>
      <c r="M8" s="122"/>
    </row>
    <row r="9" spans="2:13" ht="9.75" customHeight="1"/>
    <row r="10" spans="2:13" ht="25.5" customHeight="1">
      <c r="B10" s="102" t="s">
        <v>2</v>
      </c>
      <c r="C10" s="102"/>
      <c r="D10" s="102"/>
      <c r="E10" s="102"/>
      <c r="F10" s="102"/>
      <c r="G10" s="102"/>
      <c r="H10" s="102"/>
      <c r="I10" s="102"/>
      <c r="J10" s="102"/>
      <c r="K10" s="102"/>
      <c r="L10" s="102"/>
      <c r="M10" s="102"/>
    </row>
    <row r="11" spans="2:13" ht="21.75" customHeight="1">
      <c r="B11" s="109" t="s">
        <v>3</v>
      </c>
      <c r="C11" s="109"/>
      <c r="D11" s="110" t="s">
        <v>4</v>
      </c>
      <c r="E11" s="110"/>
      <c r="F11" s="111" t="s">
        <v>5</v>
      </c>
      <c r="G11" s="111"/>
      <c r="H11" s="112" t="s">
        <v>6</v>
      </c>
      <c r="I11" s="112"/>
      <c r="J11" s="113" t="s">
        <v>7</v>
      </c>
      <c r="K11" s="113"/>
      <c r="L11" s="114" t="s">
        <v>8</v>
      </c>
      <c r="M11" s="114"/>
    </row>
    <row r="12" spans="2:13" ht="49.5" customHeight="1">
      <c r="B12" s="104">
        <f>COUNTIFS('قاعدة البيانات'!$C$6:$C$305,"&lt;&gt;",'قاعدة البيانات'!$M$6:$M$305,"&lt;&gt;غير نشط")</f>
        <v>85</v>
      </c>
      <c r="C12" s="104"/>
      <c r="D12" s="105">
        <f>COUNTIFS('قاعدة البيانات'!$D$6:$D$305,"ولد",'قاعدة البيانات'!$C$6:$C$305,"&lt;&gt;",'قاعدة البيانات'!$M$6:$M$305,"&lt;&gt;غير نشط")</f>
        <v>23</v>
      </c>
      <c r="E12" s="105"/>
      <c r="F12" s="106">
        <f>COUNTIFS('قاعدة البيانات'!$D$6:$D$305,"بنت",'قاعدة البيانات'!$C$6:$C$305,"&lt;&gt;",'قاعدة البيانات'!$M$6:$M$305,"&lt;&gt;غير نشط")</f>
        <v>25</v>
      </c>
      <c r="G12" s="106"/>
      <c r="H12" s="107" t="str">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v>
      </c>
      <c r="I12" s="107"/>
      <c r="J12" s="108">
        <f>COUNT('قاعدة البيانات'!$W$6:$W$305)</f>
        <v>0</v>
      </c>
      <c r="K12" s="108"/>
      <c r="L12" s="101" t="str">
        <f>IF(MAX(IFERROR(LOOKUP(2,1/ISNUMBER('حضور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ميخائيل'!J6:BJ6),0))=0,"—",MAX(IFERROR(LOOKUP(2,1/ISNUMBER('حضور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f>
        <v>—</v>
      </c>
      <c r="M12" s="101"/>
    </row>
    <row r="13" spans="2:13" ht="12" customHeight="1"/>
    <row r="14" spans="2:13" ht="25.5" customHeight="1">
      <c r="B14" s="102" t="s">
        <v>9</v>
      </c>
      <c r="C14" s="102"/>
      <c r="D14" s="102"/>
      <c r="E14" s="102"/>
      <c r="F14" s="102"/>
      <c r="G14" s="102"/>
      <c r="H14" s="102"/>
      <c r="I14" s="102"/>
      <c r="J14" s="102"/>
      <c r="K14" s="102"/>
      <c r="L14" s="102"/>
      <c r="M14" s="102"/>
    </row>
    <row r="15" spans="2:13" ht="27.75" customHeight="1">
      <c r="B15" s="103" t="s">
        <v>10</v>
      </c>
      <c r="C15" s="103"/>
      <c r="D15" s="1" t="s">
        <v>11</v>
      </c>
      <c r="E15" s="1" t="s">
        <v>12</v>
      </c>
      <c r="F15" s="1" t="s">
        <v>13</v>
      </c>
      <c r="G15" s="103" t="s">
        <v>14</v>
      </c>
      <c r="H15" s="103"/>
      <c r="I15" s="103" t="s">
        <v>15</v>
      </c>
      <c r="J15" s="103"/>
      <c r="K15" s="103" t="s">
        <v>16</v>
      </c>
      <c r="L15" s="103"/>
      <c r="M15" s="103"/>
    </row>
    <row r="16" spans="2:13" ht="27.75" customHeight="1">
      <c r="B16" s="99" t="str">
        <f>الإعدادات!$B$4</f>
        <v>سوريال</v>
      </c>
      <c r="C16" s="99"/>
      <c r="D16" s="2">
        <f>COUNTIFS('قاعدة البيانات'!$F$6:$F$305,الإعدادات!$B$4,'قاعدة البيانات'!$C$6:$C$305,"&lt;&gt;",'قاعدة البيانات'!$M$6:$M$305,"&lt;&gt;غير نشط")</f>
        <v>24</v>
      </c>
      <c r="E16" s="3">
        <f>COUNTIFS('قاعدة البيانات'!$F$6:$F$305,الإعدادات!$B$4,'قاعدة البيانات'!$D$6:$D$305,"ولد",'قاعدة البيانات'!$C$6:$C$305,"&lt;&gt;",'قاعدة البيانات'!$M$6:$M$305,"&lt;&gt;غير نشط")</f>
        <v>13</v>
      </c>
      <c r="F16" s="3">
        <f>COUNTIFS('قاعدة البيانات'!$F$6:$F$305,الإعدادات!$B$4,'قاعدة البيانات'!$D$6:$D$305,"بنت",'قاعدة البيانات'!$C$6:$C$305,"&lt;&gt;",'قاعدة البيانات'!$M$6:$M$305,"&lt;&gt;غير نشط")</f>
        <v>11</v>
      </c>
      <c r="G16" s="95" t="str">
        <f>IFERROR(SUM('حضور سوريال'!C7:C36)/(SUM('حضور سوريال'!C7:C36)+SUM('حضور سوريال'!D7:D36)),"—")</f>
        <v>—</v>
      </c>
      <c r="H16" s="95"/>
      <c r="I16" s="96">
        <f>COUNTIFS('قاعدة البيانات'!$F$6:$F$305,الإعدادات!$B$4,'قاعدة البيانات'!$V$6:$V$305,3)+COUNTIFS('قاعدة البيانات'!$F$6:$F$305,الإعدادات!$B$4,'قاعدة البيانات'!$V$6:$V$305,4)</f>
        <v>0</v>
      </c>
      <c r="J16" s="96"/>
      <c r="K16" s="97" t="str">
        <f>IF(COUNTIFS('قاعدة البيانات'!$F$6:$F$305,الإعدادات!$B$4,'قاعدة البيانات'!$C$6:$C$305,"&lt;&gt;")&gt;30,"⚠️ زيادة عن 30 — الزيادة مش هتظهر","✅ "&amp;(30-COUNTIFS('قاعدة البيانات'!$F$6:$F$305,الإعدادات!$B$4,'قاعدة البيانات'!$C$6:$C$305,"&lt;&gt;"))&amp;" مكان فاضي")</f>
        <v>✅ 6 مكان فاضي</v>
      </c>
      <c r="L16" s="97"/>
      <c r="M16" s="97"/>
    </row>
    <row r="17" spans="2:13" ht="27.75" customHeight="1">
      <c r="B17" s="100" t="str">
        <f>الإعدادات!$B$5</f>
        <v>غبريال</v>
      </c>
      <c r="C17" s="100"/>
      <c r="D17" s="2">
        <f>COUNTIFS('قاعدة البيانات'!$F$6:$F$305,الإعدادات!$B$5,'قاعدة البيانات'!$C$6:$C$305,"&lt;&gt;",'قاعدة البيانات'!$M$6:$M$305,"&lt;&gt;غير نشط")</f>
        <v>24</v>
      </c>
      <c r="E17" s="3">
        <f>COUNTIFS('قاعدة البيانات'!$F$6:$F$305,الإعدادات!$B$5,'قاعدة البيانات'!$D$6:$D$305,"ولد",'قاعدة البيانات'!$C$6:$C$305,"&lt;&gt;",'قاعدة البيانات'!$M$6:$M$305,"&lt;&gt;غير نشط")</f>
        <v>10</v>
      </c>
      <c r="F17" s="3">
        <f>COUNTIFS('قاعدة البيانات'!$F$6:$F$305,الإعدادات!$B$5,'قاعدة البيانات'!$D$6:$D$305,"بنت",'قاعدة البيانات'!$C$6:$C$305,"&lt;&gt;",'قاعدة البيانات'!$M$6:$M$305,"&lt;&gt;غير نشط")</f>
        <v>14</v>
      </c>
      <c r="G17" s="95" t="str">
        <f>IFERROR(SUM('حضور غبريال'!C7:C36)/(SUM('حضور غبريال'!C7:C36)+SUM('حضور غبريال'!D7:D36)),"—")</f>
        <v>—</v>
      </c>
      <c r="H17" s="95"/>
      <c r="I17" s="96">
        <f>COUNTIFS('قاعدة البيانات'!$F$6:$F$305,الإعدادات!$B$5,'قاعدة البيانات'!$V$6:$V$305,3)+COUNTIFS('قاعدة البيانات'!$F$6:$F$305,الإعدادات!$B$5,'قاعدة البيانات'!$V$6:$V$305,4)</f>
        <v>0</v>
      </c>
      <c r="J17" s="96"/>
      <c r="K17" s="97" t="str">
        <f>IF(COUNTIFS('قاعدة البيانات'!$F$6:$F$305,الإعدادات!$B$5,'قاعدة البيانات'!$C$6:$C$305,"&lt;&gt;")&gt;30,"⚠️ زيادة عن 30 — الزيادة مش هتظهر","✅ "&amp;(30-COUNTIFS('قاعدة البيانات'!$F$6:$F$305,الإعدادات!$B$5,'قاعدة البيانات'!$C$6:$C$305,"&lt;&gt;"))&amp;" مكان فاضي")</f>
        <v>✅ 6 مكان فاضي</v>
      </c>
      <c r="L17" s="97"/>
      <c r="M17" s="97"/>
    </row>
    <row r="18" spans="2:13" ht="27.75" customHeight="1">
      <c r="B18" s="94" t="str">
        <f>الإعدادات!$B$6</f>
        <v>رفائيل</v>
      </c>
      <c r="C18" s="94"/>
      <c r="D18" s="2">
        <f>COUNTIFS('قاعدة البيانات'!$F$6:$F$305,الإعدادات!$B$6,'قاعدة البيانات'!$C$6:$C$305,"&lt;&gt;",'قاعدة البيانات'!$M$6:$M$305,"&lt;&gt;غير نشط")</f>
        <v>17</v>
      </c>
      <c r="E18" s="3">
        <f>COUNTIFS('قاعدة البيانات'!$F$6:$F$305,الإعدادات!$B$6,'قاعدة البيانات'!$D$6:$D$305,"ولد",'قاعدة البيانات'!$C$6:$C$305,"&lt;&gt;",'قاعدة البيانات'!$M$6:$M$305,"&lt;&gt;غير نشط")</f>
        <v>0</v>
      </c>
      <c r="F18" s="3">
        <f>COUNTIFS('قاعدة البيانات'!$F$6:$F$305,الإعدادات!$B$6,'قاعدة البيانات'!$D$6:$D$305,"بنت",'قاعدة البيانات'!$C$6:$C$305,"&lt;&gt;",'قاعدة البيانات'!$M$6:$M$305,"&lt;&gt;غير نشط")</f>
        <v>0</v>
      </c>
      <c r="G18" s="95" t="str">
        <f>IFERROR(SUM('حضور رفائيل'!C7:C36)/(SUM('حضور رفائيل'!C7:C36)+SUM('حضور رفائيل'!D7:D36)),"—")</f>
        <v>—</v>
      </c>
      <c r="H18" s="95"/>
      <c r="I18" s="96">
        <f>COUNTIFS('قاعدة البيانات'!$F$6:$F$305,الإعدادات!$B$6,'قاعدة البيانات'!$V$6:$V$305,3)+COUNTIFS('قاعدة البيانات'!$F$6:$F$305,الإعدادات!$B$6,'قاعدة البيانات'!$V$6:$V$305,4)</f>
        <v>0</v>
      </c>
      <c r="J18" s="96"/>
      <c r="K18" s="97" t="str">
        <f>IF(COUNTIFS('قاعدة البيانات'!$F$6:$F$305,الإعدادات!$B$6,'قاعدة البيانات'!$C$6:$C$305,"&lt;&gt;")&gt;30,"⚠️ زيادة عن 30 — الزيادة مش هتظهر","✅ "&amp;(30-COUNTIFS('قاعدة البيانات'!$F$6:$F$305,الإعدادات!$B$6,'قاعدة البيانات'!$C$6:$C$305,"&lt;&gt;"))&amp;" مكان فاضي")</f>
        <v>✅ 13 مكان فاضي</v>
      </c>
      <c r="L18" s="97"/>
      <c r="M18" s="97"/>
    </row>
    <row r="19" spans="2:13" ht="27.75" customHeight="1">
      <c r="B19" s="98" t="str">
        <f>الإعدادات!$B$7</f>
        <v>ميخائيل</v>
      </c>
      <c r="C19" s="98"/>
      <c r="D19" s="2">
        <f>COUNTIFS('قاعدة البيانات'!$F$6:$F$305,الإعدادات!$B$7,'قاعدة البيانات'!$C$6:$C$305,"&lt;&gt;",'قاعدة البيانات'!$M$6:$M$305,"&lt;&gt;غير نشط")</f>
        <v>20</v>
      </c>
      <c r="E19" s="3">
        <f>COUNTIFS('قاعدة البيانات'!$F$6:$F$305,الإعدادات!$B$7,'قاعدة البيانات'!$D$6:$D$305,"ولد",'قاعدة البيانات'!$C$6:$C$305,"&lt;&gt;",'قاعدة البيانات'!$M$6:$M$305,"&lt;&gt;غير نشط")</f>
        <v>0</v>
      </c>
      <c r="F19" s="3">
        <f>COUNTIFS('قاعدة البيانات'!$F$6:$F$305,الإعدادات!$B$7,'قاعدة البيانات'!$D$6:$D$305,"بنت",'قاعدة البيانات'!$C$6:$C$305,"&lt;&gt;",'قاعدة البيانات'!$M$6:$M$305,"&lt;&gt;غير نشط")</f>
        <v>0</v>
      </c>
      <c r="G19" s="95" t="str">
        <f>IFERROR(SUM('حضور ميخائيل'!C7:C36)/(SUM('حضور ميخائيل'!C7:C36)+SUM('حضور ميخائيل'!D7:D36)),"—")</f>
        <v>—</v>
      </c>
      <c r="H19" s="95"/>
      <c r="I19" s="96">
        <f>COUNTIFS('قاعدة البيانات'!$F$6:$F$305,الإعدادات!$B$7,'قاعدة البيانات'!$V$6:$V$305,3)+COUNTIFS('قاعدة البيانات'!$F$6:$F$305,الإعدادات!$B$7,'قاعدة البيانات'!$V$6:$V$305,4)</f>
        <v>0</v>
      </c>
      <c r="J19" s="96"/>
      <c r="K19" s="97" t="str">
        <f>IF(COUNTIFS('قاعدة البيانات'!$F$6:$F$305,الإعدادات!$B$7,'قاعدة البيانات'!$C$6:$C$305,"&lt;&gt;")&gt;30,"⚠️ زيادة عن 30 — الزيادة مش هتظهر","✅ "&amp;(30-COUNTIFS('قاعدة البيانات'!$F$6:$F$305,الإعدادات!$B$7,'قاعدة البيانات'!$C$6:$C$305,"&lt;&gt;"))&amp;" مكان فاضي")</f>
        <v>✅ 10 مكان فاضي</v>
      </c>
      <c r="L19" s="97"/>
      <c r="M19" s="97"/>
    </row>
    <row r="20" spans="2:13" ht="27.75" customHeight="1">
      <c r="B20" s="90" t="s">
        <v>17</v>
      </c>
      <c r="C20" s="90"/>
      <c r="D20" s="4">
        <f>SUM(D16:D19)</f>
        <v>85</v>
      </c>
      <c r="E20" s="4">
        <f>SUM(E16:E19)</f>
        <v>23</v>
      </c>
      <c r="F20" s="4">
        <f>SUM(F16:F19)</f>
        <v>25</v>
      </c>
      <c r="G20" s="91" t="str">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v>
      </c>
      <c r="H20" s="91"/>
      <c r="I20" s="92">
        <f>SUM(I16:I19)</f>
        <v>0</v>
      </c>
      <c r="J20" s="92"/>
      <c r="K20" s="93"/>
      <c r="L20" s="93"/>
      <c r="M20" s="93"/>
    </row>
  </sheetData>
  <sheetProtection sheet="1"/>
  <mergeCells count="54">
    <mergeCell ref="B1:M1"/>
    <mergeCell ref="B2:M2"/>
    <mergeCell ref="B4:M4"/>
    <mergeCell ref="B5:D5"/>
    <mergeCell ref="E5:G5"/>
    <mergeCell ref="H5:I5"/>
    <mergeCell ref="J5:K5"/>
    <mergeCell ref="L5:M5"/>
    <mergeCell ref="B7:D7"/>
    <mergeCell ref="E7:G7"/>
    <mergeCell ref="H7:J7"/>
    <mergeCell ref="K7:M7"/>
    <mergeCell ref="B8:D8"/>
    <mergeCell ref="E8:G8"/>
    <mergeCell ref="H8:J8"/>
    <mergeCell ref="K8:M8"/>
    <mergeCell ref="B10:M10"/>
    <mergeCell ref="B11:C11"/>
    <mergeCell ref="D11:E11"/>
    <mergeCell ref="F11:G11"/>
    <mergeCell ref="H11:I11"/>
    <mergeCell ref="J11:K11"/>
    <mergeCell ref="L11:M11"/>
    <mergeCell ref="L12:M12"/>
    <mergeCell ref="B14:M14"/>
    <mergeCell ref="B15:C15"/>
    <mergeCell ref="G15:H15"/>
    <mergeCell ref="I15:J15"/>
    <mergeCell ref="K15:M15"/>
    <mergeCell ref="B12:C12"/>
    <mergeCell ref="D12:E12"/>
    <mergeCell ref="F12:G12"/>
    <mergeCell ref="H12:I12"/>
    <mergeCell ref="J12:K12"/>
    <mergeCell ref="B16:C16"/>
    <mergeCell ref="G16:H16"/>
    <mergeCell ref="I16:J16"/>
    <mergeCell ref="K16:M16"/>
    <mergeCell ref="B17:C17"/>
    <mergeCell ref="G17:H17"/>
    <mergeCell ref="I17:J17"/>
    <mergeCell ref="K17:M17"/>
    <mergeCell ref="B20:C20"/>
    <mergeCell ref="G20:H20"/>
    <mergeCell ref="I20:J20"/>
    <mergeCell ref="K20:M20"/>
    <mergeCell ref="B18:C18"/>
    <mergeCell ref="G18:H18"/>
    <mergeCell ref="I18:J18"/>
    <mergeCell ref="K18:M18"/>
    <mergeCell ref="B19:C19"/>
    <mergeCell ref="G19:H19"/>
    <mergeCell ref="I19:J19"/>
    <mergeCell ref="K19:M19"/>
  </mergeCells>
  <conditionalFormatting sqref="I16:J19">
    <cfRule type="expression" dxfId="151" priority="2">
      <formula>I16&gt;0</formula>
    </cfRule>
  </conditionalFormatting>
  <printOptions horizontalCentered="1"/>
  <pageMargins left="0.75" right="0.75" top="1" bottom="1" header="0.511811023622047" footer="0.511811023622047"/>
  <pageSetup fitToHeight="0"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expression" priority="3" id="{00000000-000E-0000-0000-000003000000}">
            <xm:f>AND(ISNUMBER(G16),G16&gt;=الإعدادات!$B$16)</xm:f>
            <x14:dxf>
              <font>
                <b/>
                <color rgb="FF006100"/>
              </font>
              <fill>
                <patternFill>
                  <bgColor rgb="FFC6EFCE"/>
                </patternFill>
              </fill>
            </x14:dxf>
          </x14:cfRule>
          <x14:cfRule type="expression" priority="4" id="{00000000-000E-0000-0000-000004000000}">
            <xm:f>AND(ISNUMBER(G16),G16&lt;الإعدادات!$B$17)</xm:f>
            <x14:dxf>
              <font>
                <b/>
                <color rgb="FF9C0006"/>
              </font>
              <fill>
                <patternFill>
                  <bgColor rgb="FFFFC7CE"/>
                </patternFill>
              </fill>
            </x14:dxf>
          </x14:cfRule>
          <xm:sqref>G16:H19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W305"/>
  <sheetViews>
    <sheetView showGridLines="0" rightToLeft="1" tabSelected="1" zoomScale="85" zoomScaleNormal="85" workbookViewId="0">
      <pane xSplit="3" ySplit="5" topLeftCell="J41" activePane="bottomRight" state="frozen"/>
      <selection pane="topRight" activeCell="D1" sqref="D1"/>
      <selection pane="bottomLeft" activeCell="A6" sqref="A6"/>
      <selection pane="bottomRight" activeCell="J46" sqref="J46"/>
    </sheetView>
  </sheetViews>
  <sheetFormatPr defaultColWidth="8.6640625" defaultRowHeight="14.4"/>
  <cols>
    <col min="1" max="1" width="5" customWidth="1"/>
    <col min="2" max="2" width="9" customWidth="1"/>
    <col min="3" max="3" width="26" customWidth="1"/>
    <col min="4" max="4" width="8" customWidth="1"/>
    <col min="5" max="5" width="14" customWidth="1"/>
    <col min="6" max="7" width="12" customWidth="1"/>
    <col min="8" max="9" width="16" customWidth="1"/>
    <col min="10" max="10" width="72.77734375" bestFit="1" customWidth="1"/>
    <col min="11" max="11" width="14" customWidth="1"/>
    <col min="12" max="12" width="24" customWidth="1"/>
    <col min="13" max="13" width="10" customWidth="1"/>
    <col min="14" max="14" width="10" hidden="1" customWidth="1"/>
    <col min="15" max="15" width="6" hidden="1" customWidth="1"/>
    <col min="16" max="17" width="8" customWidth="1"/>
    <col min="18" max="18" width="9" customWidth="1"/>
    <col min="19" max="19" width="10" customWidth="1"/>
    <col min="20" max="20" width="13" customWidth="1"/>
    <col min="21" max="21" width="18" customWidth="1"/>
    <col min="22" max="23" width="6" hidden="1" customWidth="1"/>
  </cols>
  <sheetData>
    <row r="1" spans="1:23" ht="42" customHeight="1">
      <c r="A1" s="131" t="s">
        <v>18</v>
      </c>
      <c r="B1" s="131"/>
      <c r="C1" s="131"/>
      <c r="D1" s="131"/>
      <c r="E1" s="131"/>
      <c r="F1" s="131"/>
      <c r="G1" s="131"/>
      <c r="H1" s="131"/>
      <c r="I1" s="131"/>
      <c r="J1" s="131"/>
      <c r="K1" s="131"/>
      <c r="L1" s="131"/>
      <c r="M1" s="131"/>
      <c r="N1" s="131"/>
      <c r="O1" s="131"/>
      <c r="P1" s="131"/>
      <c r="Q1" s="131"/>
      <c r="R1" s="131"/>
      <c r="S1" s="131"/>
      <c r="T1" s="131"/>
      <c r="U1" s="131"/>
    </row>
    <row r="2" spans="1:23" ht="30" customHeight="1">
      <c r="A2" s="83" t="str">
        <f>HYPERLINK("#'الرئيسية'!A1","🏠 الرئيسية")</f>
        <v>🏠 الرئيسية</v>
      </c>
      <c r="B2" s="83"/>
      <c r="C2" s="6" t="str">
        <f>HYPERLINK("#'قاعدة البيانات'!C"&amp;MIN(305,6+COUNTA('قاعدة البيانات'!$C$6:$C$305)),"➕ إضافة طفل جديد")</f>
        <v>➕ إضافة طفل جديد</v>
      </c>
      <c r="D2" s="83" t="str">
        <f>HYPERLINK("#'الافتقاد'!A1","📞 الافتقاد")</f>
        <v>📞 الافتقاد</v>
      </c>
      <c r="E2" s="83"/>
      <c r="F2" s="83"/>
      <c r="G2" s="7" t="str">
        <f>HYPERLINK("#'فصل سوريال'!A1","🪪 سوريال")</f>
        <v>🪪 سوريال</v>
      </c>
      <c r="H2" s="8" t="str">
        <f>HYPERLINK("#'فصل غبريال'!A1","🪪 غبريال")</f>
        <v>🪪 غبريال</v>
      </c>
      <c r="I2" s="9" t="str">
        <f>HYPERLINK("#'فصل رفائيل'!A1","🪪 رفائيل")</f>
        <v>🪪 رفائيل</v>
      </c>
      <c r="J2" s="10" t="str">
        <f>HYPERLINK("#'فصل ميخائيل'!A1","🪪 ميخائيل")</f>
        <v>🪪 ميخائيل</v>
      </c>
      <c r="K2" s="83" t="str">
        <f>HYPERLINK("#'الإعدادات'!A1","⚙️ الإعدادات")</f>
        <v>⚙️ الإعدادات</v>
      </c>
      <c r="L2" s="83"/>
      <c r="M2" s="83" t="str">
        <f>HYPERLINK("#'دليل الاستخدام'!A1","📖 دليل الاستخدام")</f>
        <v>📖 دليل الاستخدام</v>
      </c>
      <c r="N2" s="83"/>
      <c r="O2" s="83"/>
      <c r="P2" s="83"/>
      <c r="Q2" s="83"/>
      <c r="R2" s="83"/>
      <c r="S2" s="83"/>
      <c r="T2" s="83"/>
      <c r="U2" s="83"/>
    </row>
    <row r="3" spans="1:23" ht="24" customHeight="1">
      <c r="A3" s="129" t="str">
        <f>"👶 المسجلين: "&amp;COUNTA(C6:C305)&amp;"     ✅ نشط: "&amp;COUNTIFS(C6:C305,"&lt;&gt;",M6:M305,"&lt;&gt;غير نشط")&amp;"     🆓 صفوف فاضية: "&amp;(300-COUNTA(C6:C305))</f>
        <v>👶 المسجلين: 85     ✅ نشط: 85     🆓 صفوف فاضية: 215</v>
      </c>
      <c r="B3" s="129"/>
      <c r="C3" s="129"/>
      <c r="D3" s="129"/>
      <c r="E3" s="129"/>
      <c r="F3" s="129"/>
      <c r="G3" s="129"/>
      <c r="H3" s="129"/>
      <c r="I3" s="129"/>
      <c r="J3" s="129"/>
      <c r="K3" s="129"/>
      <c r="L3" s="129"/>
      <c r="M3" s="129"/>
      <c r="N3" s="129"/>
      <c r="O3" s="129"/>
      <c r="P3" s="129"/>
      <c r="Q3" s="129"/>
      <c r="R3" s="129"/>
      <c r="S3" s="129"/>
      <c r="T3" s="129"/>
      <c r="U3" s="129"/>
    </row>
    <row r="4" spans="1:23" ht="36" customHeight="1">
      <c r="A4" s="130" t="s">
        <v>19</v>
      </c>
      <c r="B4" s="130"/>
      <c r="C4" s="130"/>
      <c r="D4" s="130"/>
      <c r="E4" s="130"/>
      <c r="F4" s="130"/>
      <c r="G4" s="130"/>
      <c r="H4" s="130"/>
      <c r="I4" s="130"/>
      <c r="J4" s="130"/>
      <c r="K4" s="130"/>
      <c r="L4" s="130"/>
      <c r="M4" s="130"/>
      <c r="N4" s="130"/>
      <c r="O4" s="130"/>
      <c r="P4" s="130"/>
      <c r="Q4" s="130"/>
      <c r="R4" s="130"/>
      <c r="S4" s="130"/>
      <c r="T4" s="130"/>
      <c r="U4" s="130"/>
    </row>
    <row r="5" spans="1:23" ht="33.75" customHeight="1">
      <c r="A5" s="11" t="s">
        <v>20</v>
      </c>
      <c r="B5" s="11" t="s">
        <v>21</v>
      </c>
      <c r="C5" s="12" t="s">
        <v>22</v>
      </c>
      <c r="D5" s="12" t="s">
        <v>23</v>
      </c>
      <c r="E5" s="12" t="s">
        <v>24</v>
      </c>
      <c r="F5" s="12" t="s">
        <v>25</v>
      </c>
      <c r="G5" s="12" t="s">
        <v>26</v>
      </c>
      <c r="H5" s="12" t="s">
        <v>27</v>
      </c>
      <c r="I5" s="12" t="s">
        <v>28</v>
      </c>
      <c r="J5" s="12" t="s">
        <v>29</v>
      </c>
      <c r="K5" s="12" t="s">
        <v>30</v>
      </c>
      <c r="L5" s="12" t="s">
        <v>31</v>
      </c>
      <c r="M5" s="12" t="s">
        <v>32</v>
      </c>
      <c r="N5" s="11" t="s">
        <v>33</v>
      </c>
      <c r="O5" s="11" t="s">
        <v>34</v>
      </c>
      <c r="P5" s="11" t="s">
        <v>35</v>
      </c>
      <c r="Q5" s="11" t="s">
        <v>36</v>
      </c>
      <c r="R5" s="11" t="s">
        <v>37</v>
      </c>
      <c r="S5" s="11" t="s">
        <v>38</v>
      </c>
      <c r="T5" s="11" t="s">
        <v>39</v>
      </c>
      <c r="U5" s="11" t="s">
        <v>40</v>
      </c>
      <c r="V5" s="11" t="s">
        <v>41</v>
      </c>
      <c r="W5" s="11" t="s">
        <v>42</v>
      </c>
    </row>
    <row r="6" spans="1:23" ht="25.5" customHeight="1">
      <c r="A6" s="13">
        <f t="shared" ref="A6:A69" si="0">IF(C6="","",ROW()-5)</f>
        <v>1</v>
      </c>
      <c r="B6" s="14" t="str">
        <f t="shared" ref="B6:B69" si="1">IF(C6="","","B-"&amp;TEXT(ROW()-5,"000"))</f>
        <v>B-001</v>
      </c>
      <c r="C6" s="15" t="s">
        <v>122</v>
      </c>
      <c r="D6" s="16" t="s">
        <v>43</v>
      </c>
      <c r="E6" s="16" t="s">
        <v>49</v>
      </c>
      <c r="F6" s="16" t="s">
        <v>48</v>
      </c>
      <c r="G6" s="16"/>
      <c r="H6" s="17" t="s">
        <v>146</v>
      </c>
      <c r="I6" s="17"/>
      <c r="J6" s="18" t="s">
        <v>174</v>
      </c>
      <c r="K6" s="16" t="e" vm="1">
        <v>#VALUE!</v>
      </c>
      <c r="L6" s="18"/>
      <c r="M6" s="16" t="s">
        <v>46</v>
      </c>
      <c r="N6" s="19" t="str">
        <f t="shared" ref="N6:N69" si="2">IF(O6="","",F6&amp;"|"&amp;O6)</f>
        <v>غبريال|1</v>
      </c>
      <c r="O6" s="19">
        <f>IF(OR(C6="",F6=""),"",COUNTIFS(F$6:F6,F6,C$6:C6,"&lt;&gt;"))</f>
        <v>1</v>
      </c>
      <c r="P6" s="20">
        <f>IF($O6="","",IFERROR(CHOOSE(MATCH($F6,الإعدادات!$B$4:$B$7,0),INDEX('حضور سوريال'!$C$7:$C$36,$O6),INDEX('حضور غبريال'!$C$7:$C$36,$O6),INDEX('حضور رفائيل'!$C$7:$C$36,$O6),INDEX('حضور ميخائيل'!$C$7:$C$36,$O6)),""))</f>
        <v>0</v>
      </c>
      <c r="Q6" s="20">
        <f>IF($O6="","",IFERROR(CHOOSE(MATCH($F6,الإعدادات!$B$4:$B$7,0),INDEX('حضور سوريال'!$D$7:$D$36,$O6),INDEX('حضور غبريال'!$D$7:$D$36,$O6),INDEX('حضور رفائيل'!$D$7:$D$36,$O6),INDEX('حضور ميخائيل'!$D$7:$D$36,$O6)),""))</f>
        <v>0</v>
      </c>
      <c r="R6" s="21" t="str">
        <f>IF($O6="","",IFERROR(CHOOSE(MATCH($F6,الإعدادات!$B$4:$B$7,0),INDEX('حضور سوريال'!$F$7:$F$36,$O6),INDEX('حضور غبريال'!$F$7:$F$36,$O6),INDEX('حضور رفائيل'!$F$7:$F$36,$O6),INDEX('حضور ميخائيل'!$F$7:$F$36,$O6)),""))</f>
        <v/>
      </c>
      <c r="S6" s="20">
        <f>IF($O6="","",IFERROR(CHOOSE(MATCH($F6,الإعدادات!$B$4:$B$7,0),INDEX('حضور سوريال'!$G$7:$G$36,$O6),INDEX('حضور غبريال'!$G$7:$G$36,$O6),INDEX('حضور رفائيل'!$G$7:$G$36,$O6),INDEX('حضور ميخائيل'!$G$7:$G$36,$O6)),""))</f>
        <v>0</v>
      </c>
      <c r="T6" s="22" t="str">
        <f>IF($O6="","",IFERROR(CHOOSE(MATCH($F6,الإعدادات!$B$4:$B$7,0),INDEX('حضور سوريال'!$H$7:$H$36,$O6),INDEX('حضور غبريال'!$H$7:$H$36,$O6),INDEX('حضور رفائيل'!$H$7:$H$36,$O6),INDEX('حضور ميخائيل'!$H$7:$H$36,$O6)),""))</f>
        <v>—</v>
      </c>
      <c r="U6" s="23" t="str">
        <f>IF($O6="","",IFERROR(CHOOSE(MATCH($F6,الإعدادات!$B$4:$B$7,0),INDEX('حضور سوريال'!$I$7:$I$36,$O6),INDEX('حضور غبريال'!$I$7:$I$36,$O6),INDEX('حضور رفائيل'!$I$7:$I$36,$O6),INDEX('حضور ميخائيل'!$I$7:$I$36,$O6)),""))</f>
        <v>⏳ لسه مفيش حضور</v>
      </c>
      <c r="V6">
        <f>IF($O6="","",IFERROR(CHOOSE(MATCH($F6,الإعدادات!$B$4:$B$7,0),INDEX('حضور سوريال'!$BM$7:$BM$36,$O6),INDEX('حضور غبريال'!$BM$7:$BM$36,$O6),INDEX('حضور رفائيل'!$BM$7:$BM$36,$O6),INDEX('حضور ميخائيل'!$BM$7:$BM$36,$O6)),""))</f>
        <v>0</v>
      </c>
      <c r="W6" t="str">
        <f>IF(OR(V6=3,V6=4),COUNTIFS(V$6:V6,3)+COUNTIFS(V$6:V6,4),"")</f>
        <v/>
      </c>
    </row>
    <row r="7" spans="1:23" ht="25.5" customHeight="1">
      <c r="A7" s="13">
        <f t="shared" si="0"/>
        <v>2</v>
      </c>
      <c r="B7" s="14" t="str">
        <f t="shared" si="1"/>
        <v>B-002</v>
      </c>
      <c r="C7" s="15" t="s">
        <v>123</v>
      </c>
      <c r="D7" s="16" t="s">
        <v>47</v>
      </c>
      <c r="E7" s="16" t="s">
        <v>49</v>
      </c>
      <c r="F7" s="16" t="s">
        <v>48</v>
      </c>
      <c r="G7" s="16"/>
      <c r="H7" s="17" t="s">
        <v>147</v>
      </c>
      <c r="I7" s="17"/>
      <c r="J7" s="18" t="s">
        <v>175</v>
      </c>
      <c r="K7" s="16" t="e" vm="2">
        <v>#VALUE!</v>
      </c>
      <c r="L7" s="18"/>
      <c r="M7" s="16" t="s">
        <v>46</v>
      </c>
      <c r="N7" s="19" t="str">
        <f t="shared" si="2"/>
        <v>غبريال|2</v>
      </c>
      <c r="O7" s="19">
        <f>IF(OR(C7="",F7=""),"",COUNTIFS(F$6:F7,F7,C$6:C7,"&lt;&gt;"))</f>
        <v>2</v>
      </c>
      <c r="P7" s="20">
        <f>IF($O7="","",IFERROR(CHOOSE(MATCH($F7,الإعدادات!$B$4:$B$7,0),INDEX('حضور سوريال'!$C$7:$C$36,$O7),INDEX('حضور غبريال'!$C$7:$C$36,$O7),INDEX('حضور رفائيل'!$C$7:$C$36,$O7),INDEX('حضور ميخائيل'!$C$7:$C$36,$O7)),""))</f>
        <v>0</v>
      </c>
      <c r="Q7" s="20">
        <f>IF($O7="","",IFERROR(CHOOSE(MATCH($F7,الإعدادات!$B$4:$B$7,0),INDEX('حضور سوريال'!$D$7:$D$36,$O7),INDEX('حضور غبريال'!$D$7:$D$36,$O7),INDEX('حضور رفائيل'!$D$7:$D$36,$O7),INDEX('حضور ميخائيل'!$D$7:$D$36,$O7)),""))</f>
        <v>0</v>
      </c>
      <c r="R7" s="21" t="str">
        <f>IF($O7="","",IFERROR(CHOOSE(MATCH($F7,الإعدادات!$B$4:$B$7,0),INDEX('حضور سوريال'!$F$7:$F$36,$O7),INDEX('حضور غبريال'!$F$7:$F$36,$O7),INDEX('حضور رفائيل'!$F$7:$F$36,$O7),INDEX('حضور ميخائيل'!$F$7:$F$36,$O7)),""))</f>
        <v/>
      </c>
      <c r="S7" s="20">
        <f>IF($O7="","",IFERROR(CHOOSE(MATCH($F7,الإعدادات!$B$4:$B$7,0),INDEX('حضور سوريال'!$G$7:$G$36,$O7),INDEX('حضور غبريال'!$G$7:$G$36,$O7),INDEX('حضور رفائيل'!$G$7:$G$36,$O7),INDEX('حضور ميخائيل'!$G$7:$G$36,$O7)),""))</f>
        <v>0</v>
      </c>
      <c r="T7" s="22" t="str">
        <f>IF($O7="","",IFERROR(CHOOSE(MATCH($F7,الإعدادات!$B$4:$B$7,0),INDEX('حضور سوريال'!$H$7:$H$36,$O7),INDEX('حضور غبريال'!$H$7:$H$36,$O7),INDEX('حضور رفائيل'!$H$7:$H$36,$O7),INDEX('حضور ميخائيل'!$H$7:$H$36,$O7)),""))</f>
        <v>—</v>
      </c>
      <c r="U7" s="23" t="str">
        <f>IF($O7="","",IFERROR(CHOOSE(MATCH($F7,الإعدادات!$B$4:$B$7,0),INDEX('حضور سوريال'!$I$7:$I$36,$O7),INDEX('حضور غبريال'!$I$7:$I$36,$O7),INDEX('حضور رفائيل'!$I$7:$I$36,$O7),INDEX('حضور ميخائيل'!$I$7:$I$36,$O7)),""))</f>
        <v>⏳ لسه مفيش حضور</v>
      </c>
      <c r="V7">
        <f>IF($O7="","",IFERROR(CHOOSE(MATCH($F7,الإعدادات!$B$4:$B$7,0),INDEX('حضور سوريال'!$BM$7:$BM$36,$O7),INDEX('حضور غبريال'!$BM$7:$BM$36,$O7),INDEX('حضور رفائيل'!$BM$7:$BM$36,$O7),INDEX('حضور ميخائيل'!$BM$7:$BM$36,$O7)),""))</f>
        <v>0</v>
      </c>
      <c r="W7" t="str">
        <f>IF(OR(V7=3,V7=4),COUNTIFS(V$6:V7,3)+COUNTIFS(V$6:V7,4),"")</f>
        <v/>
      </c>
    </row>
    <row r="8" spans="1:23" ht="25.5" customHeight="1">
      <c r="A8" s="13">
        <f t="shared" si="0"/>
        <v>3</v>
      </c>
      <c r="B8" s="14" t="str">
        <f t="shared" si="1"/>
        <v>B-003</v>
      </c>
      <c r="C8" s="15" t="s">
        <v>124</v>
      </c>
      <c r="D8" s="16" t="s">
        <v>43</v>
      </c>
      <c r="E8" s="16" t="s">
        <v>49</v>
      </c>
      <c r="F8" s="16" t="s">
        <v>48</v>
      </c>
      <c r="G8" s="16"/>
      <c r="H8" s="17" t="s">
        <v>148</v>
      </c>
      <c r="I8" s="17" t="s">
        <v>170</v>
      </c>
      <c r="J8" s="18" t="s">
        <v>176</v>
      </c>
      <c r="K8" s="16" t="e" vm="3">
        <v>#VALUE!</v>
      </c>
      <c r="L8" s="18"/>
      <c r="M8" s="16" t="s">
        <v>46</v>
      </c>
      <c r="N8" s="19" t="str">
        <f t="shared" si="2"/>
        <v>غبريال|3</v>
      </c>
      <c r="O8" s="19">
        <f>IF(OR(C8="",F8=""),"",COUNTIFS(F$6:F8,F8,C$6:C8,"&lt;&gt;"))</f>
        <v>3</v>
      </c>
      <c r="P8" s="20">
        <f>IF($O8="","",IFERROR(CHOOSE(MATCH($F8,الإعدادات!$B$4:$B$7,0),INDEX('حضور سوريال'!$C$7:$C$36,$O8),INDEX('حضور غبريال'!$C$7:$C$36,$O8),INDEX('حضور رفائيل'!$C$7:$C$36,$O8),INDEX('حضور ميخائيل'!$C$7:$C$36,$O8)),""))</f>
        <v>0</v>
      </c>
      <c r="Q8" s="20">
        <f>IF($O8="","",IFERROR(CHOOSE(MATCH($F8,الإعدادات!$B$4:$B$7,0),INDEX('حضور سوريال'!$D$7:$D$36,$O8),INDEX('حضور غبريال'!$D$7:$D$36,$O8),INDEX('حضور رفائيل'!$D$7:$D$36,$O8),INDEX('حضور ميخائيل'!$D$7:$D$36,$O8)),""))</f>
        <v>0</v>
      </c>
      <c r="R8" s="21" t="str">
        <f>IF($O8="","",IFERROR(CHOOSE(MATCH($F8,الإعدادات!$B$4:$B$7,0),INDEX('حضور سوريال'!$F$7:$F$36,$O8),INDEX('حضور غبريال'!$F$7:$F$36,$O8),INDEX('حضور رفائيل'!$F$7:$F$36,$O8),INDEX('حضور ميخائيل'!$F$7:$F$36,$O8)),""))</f>
        <v/>
      </c>
      <c r="S8" s="20">
        <f>IF($O8="","",IFERROR(CHOOSE(MATCH($F8,الإعدادات!$B$4:$B$7,0),INDEX('حضور سوريال'!$G$7:$G$36,$O8),INDEX('حضور غبريال'!$G$7:$G$36,$O8),INDEX('حضور رفائيل'!$G$7:$G$36,$O8),INDEX('حضور ميخائيل'!$G$7:$G$36,$O8)),""))</f>
        <v>0</v>
      </c>
      <c r="T8" s="22" t="str">
        <f>IF($O8="","",IFERROR(CHOOSE(MATCH($F8,الإعدادات!$B$4:$B$7,0),INDEX('حضور سوريال'!$H$7:$H$36,$O8),INDEX('حضور غبريال'!$H$7:$H$36,$O8),INDEX('حضور رفائيل'!$H$7:$H$36,$O8),INDEX('حضور ميخائيل'!$H$7:$H$36,$O8)),""))</f>
        <v>—</v>
      </c>
      <c r="U8" s="23" t="str">
        <f>IF($O8="","",IFERROR(CHOOSE(MATCH($F8,الإعدادات!$B$4:$B$7,0),INDEX('حضور سوريال'!$I$7:$I$36,$O8),INDEX('حضور غبريال'!$I$7:$I$36,$O8),INDEX('حضور رفائيل'!$I$7:$I$36,$O8),INDEX('حضور ميخائيل'!$I$7:$I$36,$O8)),""))</f>
        <v>⏳ لسه مفيش حضور</v>
      </c>
      <c r="V8">
        <f>IF($O8="","",IFERROR(CHOOSE(MATCH($F8,الإعدادات!$B$4:$B$7,0),INDEX('حضور سوريال'!$BM$7:$BM$36,$O8),INDEX('حضور غبريال'!$BM$7:$BM$36,$O8),INDEX('حضور رفائيل'!$BM$7:$BM$36,$O8),INDEX('حضور ميخائيل'!$BM$7:$BM$36,$O8)),""))</f>
        <v>0</v>
      </c>
      <c r="W8" t="str">
        <f>IF(OR(V8=3,V8=4),COUNTIFS(V$6:V8,3)+COUNTIFS(V$6:V8,4),"")</f>
        <v/>
      </c>
    </row>
    <row r="9" spans="1:23" ht="25.5" customHeight="1">
      <c r="A9" s="13">
        <f t="shared" si="0"/>
        <v>4</v>
      </c>
      <c r="B9" s="14" t="str">
        <f t="shared" si="1"/>
        <v>B-004</v>
      </c>
      <c r="C9" s="15" t="s">
        <v>125</v>
      </c>
      <c r="D9" s="16" t="s">
        <v>47</v>
      </c>
      <c r="E9" s="16" t="s">
        <v>49</v>
      </c>
      <c r="F9" s="16" t="s">
        <v>48</v>
      </c>
      <c r="G9" s="16"/>
      <c r="H9" s="17" t="s">
        <v>149</v>
      </c>
      <c r="I9" s="17"/>
      <c r="J9" s="18" t="s">
        <v>177</v>
      </c>
      <c r="K9" s="16"/>
      <c r="L9" s="18"/>
      <c r="M9" s="16" t="s">
        <v>46</v>
      </c>
      <c r="N9" s="19" t="str">
        <f t="shared" si="2"/>
        <v>غبريال|4</v>
      </c>
      <c r="O9" s="19">
        <f>IF(OR(C9="",F9=""),"",COUNTIFS(F$6:F9,F9,C$6:C9,"&lt;&gt;"))</f>
        <v>4</v>
      </c>
      <c r="P9" s="20">
        <f>IF($O9="","",IFERROR(CHOOSE(MATCH($F9,الإعدادات!$B$4:$B$7,0),INDEX('حضور سوريال'!$C$7:$C$36,$O9),INDEX('حضور غبريال'!$C$7:$C$36,$O9),INDEX('حضور رفائيل'!$C$7:$C$36,$O9),INDEX('حضور ميخائيل'!$C$7:$C$36,$O9)),""))</f>
        <v>0</v>
      </c>
      <c r="Q9" s="20">
        <f>IF($O9="","",IFERROR(CHOOSE(MATCH($F9,الإعدادات!$B$4:$B$7,0),INDEX('حضور سوريال'!$D$7:$D$36,$O9),INDEX('حضور غبريال'!$D$7:$D$36,$O9),INDEX('حضور رفائيل'!$D$7:$D$36,$O9),INDEX('حضور ميخائيل'!$D$7:$D$36,$O9)),""))</f>
        <v>0</v>
      </c>
      <c r="R9" s="21" t="str">
        <f>IF($O9="","",IFERROR(CHOOSE(MATCH($F9,الإعدادات!$B$4:$B$7,0),INDEX('حضور سوريال'!$F$7:$F$36,$O9),INDEX('حضور غبريال'!$F$7:$F$36,$O9),INDEX('حضور رفائيل'!$F$7:$F$36,$O9),INDEX('حضور ميخائيل'!$F$7:$F$36,$O9)),""))</f>
        <v/>
      </c>
      <c r="S9" s="20">
        <f>IF($O9="","",IFERROR(CHOOSE(MATCH($F9,الإعدادات!$B$4:$B$7,0),INDEX('حضور سوريال'!$G$7:$G$36,$O9),INDEX('حضور غبريال'!$G$7:$G$36,$O9),INDEX('حضور رفائيل'!$G$7:$G$36,$O9),INDEX('حضور ميخائيل'!$G$7:$G$36,$O9)),""))</f>
        <v>0</v>
      </c>
      <c r="T9" s="22" t="str">
        <f>IF($O9="","",IFERROR(CHOOSE(MATCH($F9,الإعدادات!$B$4:$B$7,0),INDEX('حضور سوريال'!$H$7:$H$36,$O9),INDEX('حضور غبريال'!$H$7:$H$36,$O9),INDEX('حضور رفائيل'!$H$7:$H$36,$O9),INDEX('حضور ميخائيل'!$H$7:$H$36,$O9)),""))</f>
        <v>—</v>
      </c>
      <c r="U9" s="23" t="str">
        <f>IF($O9="","",IFERROR(CHOOSE(MATCH($F9,الإعدادات!$B$4:$B$7,0),INDEX('حضور سوريال'!$I$7:$I$36,$O9),INDEX('حضور غبريال'!$I$7:$I$36,$O9),INDEX('حضور رفائيل'!$I$7:$I$36,$O9),INDEX('حضور ميخائيل'!$I$7:$I$36,$O9)),""))</f>
        <v>⏳ لسه مفيش حضور</v>
      </c>
      <c r="V9">
        <f>IF($O9="","",IFERROR(CHOOSE(MATCH($F9,الإعدادات!$B$4:$B$7,0),INDEX('حضور سوريال'!$BM$7:$BM$36,$O9),INDEX('حضور غبريال'!$BM$7:$BM$36,$O9),INDEX('حضور رفائيل'!$BM$7:$BM$36,$O9),INDEX('حضور ميخائيل'!$BM$7:$BM$36,$O9)),""))</f>
        <v>0</v>
      </c>
      <c r="W9" t="str">
        <f>IF(OR(V9=3,V9=4),COUNTIFS(V$6:V9,3)+COUNTIFS(V$6:V9,4),"")</f>
        <v/>
      </c>
    </row>
    <row r="10" spans="1:23" ht="25.5" customHeight="1">
      <c r="A10" s="13">
        <f t="shared" si="0"/>
        <v>5</v>
      </c>
      <c r="B10" s="14" t="str">
        <f t="shared" si="1"/>
        <v>B-005</v>
      </c>
      <c r="C10" s="15" t="s">
        <v>126</v>
      </c>
      <c r="D10" s="16" t="s">
        <v>47</v>
      </c>
      <c r="E10" s="16" t="s">
        <v>49</v>
      </c>
      <c r="F10" s="16" t="s">
        <v>48</v>
      </c>
      <c r="G10" s="16"/>
      <c r="H10" s="17" t="s">
        <v>150</v>
      </c>
      <c r="I10" s="17"/>
      <c r="J10" s="18" t="s">
        <v>178</v>
      </c>
      <c r="K10" s="16" t="e" vm="4">
        <v>#VALUE!</v>
      </c>
      <c r="L10" s="18"/>
      <c r="M10" s="16" t="s">
        <v>46</v>
      </c>
      <c r="N10" s="19" t="str">
        <f t="shared" si="2"/>
        <v>غبريال|5</v>
      </c>
      <c r="O10" s="19">
        <f>IF(OR(C10="",F10=""),"",COUNTIFS(F$6:F10,F10,C$6:C10,"&lt;&gt;"))</f>
        <v>5</v>
      </c>
      <c r="P10" s="20">
        <f>IF($O10="","",IFERROR(CHOOSE(MATCH($F10,الإعدادات!$B$4:$B$7,0),INDEX('حضور سوريال'!$C$7:$C$36,$O10),INDEX('حضور غبريال'!$C$7:$C$36,$O10),INDEX('حضور رفائيل'!$C$7:$C$36,$O10),INDEX('حضور ميخائيل'!$C$7:$C$36,$O10)),""))</f>
        <v>0</v>
      </c>
      <c r="Q10" s="20">
        <f>IF($O10="","",IFERROR(CHOOSE(MATCH($F10,الإعدادات!$B$4:$B$7,0),INDEX('حضور سوريال'!$D$7:$D$36,$O10),INDEX('حضور غبريال'!$D$7:$D$36,$O10),INDEX('حضور رفائيل'!$D$7:$D$36,$O10),INDEX('حضور ميخائيل'!$D$7:$D$36,$O10)),""))</f>
        <v>0</v>
      </c>
      <c r="R10" s="21" t="str">
        <f>IF($O10="","",IFERROR(CHOOSE(MATCH($F10,الإعدادات!$B$4:$B$7,0),INDEX('حضور سوريال'!$F$7:$F$36,$O10),INDEX('حضور غبريال'!$F$7:$F$36,$O10),INDEX('حضور رفائيل'!$F$7:$F$36,$O10),INDEX('حضور ميخائيل'!$F$7:$F$36,$O10)),""))</f>
        <v/>
      </c>
      <c r="S10" s="20">
        <f>IF($O10="","",IFERROR(CHOOSE(MATCH($F10,الإعدادات!$B$4:$B$7,0),INDEX('حضور سوريال'!$G$7:$G$36,$O10),INDEX('حضور غبريال'!$G$7:$G$36,$O10),INDEX('حضور رفائيل'!$G$7:$G$36,$O10),INDEX('حضور ميخائيل'!$G$7:$G$36,$O10)),""))</f>
        <v>0</v>
      </c>
      <c r="T10" s="22" t="str">
        <f>IF($O10="","",IFERROR(CHOOSE(MATCH($F10,الإعدادات!$B$4:$B$7,0),INDEX('حضور سوريال'!$H$7:$H$36,$O10),INDEX('حضور غبريال'!$H$7:$H$36,$O10),INDEX('حضور رفائيل'!$H$7:$H$36,$O10),INDEX('حضور ميخائيل'!$H$7:$H$36,$O10)),""))</f>
        <v>—</v>
      </c>
      <c r="U10" s="23" t="str">
        <f>IF($O10="","",IFERROR(CHOOSE(MATCH($F10,الإعدادات!$B$4:$B$7,0),INDEX('حضور سوريال'!$I$7:$I$36,$O10),INDEX('حضور غبريال'!$I$7:$I$36,$O10),INDEX('حضور رفائيل'!$I$7:$I$36,$O10),INDEX('حضور ميخائيل'!$I$7:$I$36,$O10)),""))</f>
        <v>⏳ لسه مفيش حضور</v>
      </c>
      <c r="V10">
        <f>IF($O10="","",IFERROR(CHOOSE(MATCH($F10,الإعدادات!$B$4:$B$7,0),INDEX('حضور سوريال'!$BM$7:$BM$36,$O10),INDEX('حضور غبريال'!$BM$7:$BM$36,$O10),INDEX('حضور رفائيل'!$BM$7:$BM$36,$O10),INDEX('حضور ميخائيل'!$BM$7:$BM$36,$O10)),""))</f>
        <v>0</v>
      </c>
      <c r="W10" t="str">
        <f>IF(OR(V10=3,V10=4),COUNTIFS(V$6:V10,3)+COUNTIFS(V$6:V10,4),"")</f>
        <v/>
      </c>
    </row>
    <row r="11" spans="1:23" ht="25.5" customHeight="1">
      <c r="A11" s="13">
        <f t="shared" si="0"/>
        <v>6</v>
      </c>
      <c r="B11" s="14" t="str">
        <f t="shared" si="1"/>
        <v>B-006</v>
      </c>
      <c r="C11" s="15" t="s">
        <v>127</v>
      </c>
      <c r="D11" s="16" t="s">
        <v>43</v>
      </c>
      <c r="E11" s="16" t="s">
        <v>49</v>
      </c>
      <c r="F11" s="16" t="s">
        <v>48</v>
      </c>
      <c r="G11" s="16"/>
      <c r="H11" s="17" t="s">
        <v>151</v>
      </c>
      <c r="I11" s="17"/>
      <c r="J11" s="18" t="s">
        <v>179</v>
      </c>
      <c r="K11" s="16"/>
      <c r="L11" s="18"/>
      <c r="M11" s="16" t="s">
        <v>46</v>
      </c>
      <c r="N11" s="19" t="str">
        <f t="shared" si="2"/>
        <v>غبريال|6</v>
      </c>
      <c r="O11" s="19">
        <f>IF(OR(C11="",F11=""),"",COUNTIFS(F$6:F11,F11,C$6:C11,"&lt;&gt;"))</f>
        <v>6</v>
      </c>
      <c r="P11" s="20">
        <f>IF($O11="","",IFERROR(CHOOSE(MATCH($F11,الإعدادات!$B$4:$B$7,0),INDEX('حضور سوريال'!$C$7:$C$36,$O11),INDEX('حضور غبريال'!$C$7:$C$36,$O11),INDEX('حضور رفائيل'!$C$7:$C$36,$O11),INDEX('حضور ميخائيل'!$C$7:$C$36,$O11)),""))</f>
        <v>0</v>
      </c>
      <c r="Q11" s="20">
        <f>IF($O11="","",IFERROR(CHOOSE(MATCH($F11,الإعدادات!$B$4:$B$7,0),INDEX('حضور سوريال'!$D$7:$D$36,$O11),INDEX('حضور غبريال'!$D$7:$D$36,$O11),INDEX('حضور رفائيل'!$D$7:$D$36,$O11),INDEX('حضور ميخائيل'!$D$7:$D$36,$O11)),""))</f>
        <v>0</v>
      </c>
      <c r="R11" s="21" t="str">
        <f>IF($O11="","",IFERROR(CHOOSE(MATCH($F11,الإعدادات!$B$4:$B$7,0),INDEX('حضور سوريال'!$F$7:$F$36,$O11),INDEX('حضور غبريال'!$F$7:$F$36,$O11),INDEX('حضور رفائيل'!$F$7:$F$36,$O11),INDEX('حضور ميخائيل'!$F$7:$F$36,$O11)),""))</f>
        <v/>
      </c>
      <c r="S11" s="20">
        <f>IF($O11="","",IFERROR(CHOOSE(MATCH($F11,الإعدادات!$B$4:$B$7,0),INDEX('حضور سوريال'!$G$7:$G$36,$O11),INDEX('حضور غبريال'!$G$7:$G$36,$O11),INDEX('حضور رفائيل'!$G$7:$G$36,$O11),INDEX('حضور ميخائيل'!$G$7:$G$36,$O11)),""))</f>
        <v>0</v>
      </c>
      <c r="T11" s="22" t="str">
        <f>IF($O11="","",IFERROR(CHOOSE(MATCH($F11,الإعدادات!$B$4:$B$7,0),INDEX('حضور سوريال'!$H$7:$H$36,$O11),INDEX('حضور غبريال'!$H$7:$H$36,$O11),INDEX('حضور رفائيل'!$H$7:$H$36,$O11),INDEX('حضور ميخائيل'!$H$7:$H$36,$O11)),""))</f>
        <v>—</v>
      </c>
      <c r="U11" s="23" t="str">
        <f>IF($O11="","",IFERROR(CHOOSE(MATCH($F11,الإعدادات!$B$4:$B$7,0),INDEX('حضور سوريال'!$I$7:$I$36,$O11),INDEX('حضور غبريال'!$I$7:$I$36,$O11),INDEX('حضور رفائيل'!$I$7:$I$36,$O11),INDEX('حضور ميخائيل'!$I$7:$I$36,$O11)),""))</f>
        <v>⏳ لسه مفيش حضور</v>
      </c>
      <c r="V11">
        <f>IF($O11="","",IFERROR(CHOOSE(MATCH($F11,الإعدادات!$B$4:$B$7,0),INDEX('حضور سوريال'!$BM$7:$BM$36,$O11),INDEX('حضور غبريال'!$BM$7:$BM$36,$O11),INDEX('حضور رفائيل'!$BM$7:$BM$36,$O11),INDEX('حضور ميخائيل'!$BM$7:$BM$36,$O11)),""))</f>
        <v>0</v>
      </c>
      <c r="W11" t="str">
        <f>IF(OR(V11=3,V11=4),COUNTIFS(V$6:V11,3)+COUNTIFS(V$6:V11,4),"")</f>
        <v/>
      </c>
    </row>
    <row r="12" spans="1:23" ht="25.5" customHeight="1">
      <c r="A12" s="13">
        <f t="shared" si="0"/>
        <v>7</v>
      </c>
      <c r="B12" s="14" t="str">
        <f t="shared" si="1"/>
        <v>B-007</v>
      </c>
      <c r="C12" s="15" t="s">
        <v>128</v>
      </c>
      <c r="D12" s="16" t="s">
        <v>43</v>
      </c>
      <c r="E12" s="16" t="s">
        <v>49</v>
      </c>
      <c r="F12" s="16" t="s">
        <v>48</v>
      </c>
      <c r="G12" s="16"/>
      <c r="H12" s="17" t="s">
        <v>152</v>
      </c>
      <c r="I12" s="17" t="s">
        <v>171</v>
      </c>
      <c r="J12" s="18" t="s">
        <v>180</v>
      </c>
      <c r="K12" s="16"/>
      <c r="L12" s="18"/>
      <c r="M12" s="16" t="s">
        <v>46</v>
      </c>
      <c r="N12" s="19" t="str">
        <f t="shared" si="2"/>
        <v>غبريال|7</v>
      </c>
      <c r="O12" s="19">
        <f>IF(OR(C12="",F12=""),"",COUNTIFS(F$6:F12,F12,C$6:C12,"&lt;&gt;"))</f>
        <v>7</v>
      </c>
      <c r="P12" s="20">
        <f>IF($O12="","",IFERROR(CHOOSE(MATCH($F12,الإعدادات!$B$4:$B$7,0),INDEX('حضور سوريال'!$C$7:$C$36,$O12),INDEX('حضور غبريال'!$C$7:$C$36,$O12),INDEX('حضور رفائيل'!$C$7:$C$36,$O12),INDEX('حضور ميخائيل'!$C$7:$C$36,$O12)),""))</f>
        <v>0</v>
      </c>
      <c r="Q12" s="20">
        <f>IF($O12="","",IFERROR(CHOOSE(MATCH($F12,الإعدادات!$B$4:$B$7,0),INDEX('حضور سوريال'!$D$7:$D$36,$O12),INDEX('حضور غبريال'!$D$7:$D$36,$O12),INDEX('حضور رفائيل'!$D$7:$D$36,$O12),INDEX('حضور ميخائيل'!$D$7:$D$36,$O12)),""))</f>
        <v>0</v>
      </c>
      <c r="R12" s="21" t="str">
        <f>IF($O12="","",IFERROR(CHOOSE(MATCH($F12,الإعدادات!$B$4:$B$7,0),INDEX('حضور سوريال'!$F$7:$F$36,$O12),INDEX('حضور غبريال'!$F$7:$F$36,$O12),INDEX('حضور رفائيل'!$F$7:$F$36,$O12),INDEX('حضور ميخائيل'!$F$7:$F$36,$O12)),""))</f>
        <v/>
      </c>
      <c r="S12" s="20">
        <f>IF($O12="","",IFERROR(CHOOSE(MATCH($F12,الإعدادات!$B$4:$B$7,0),INDEX('حضور سوريال'!$G$7:$G$36,$O12),INDEX('حضور غبريال'!$G$7:$G$36,$O12),INDEX('حضور رفائيل'!$G$7:$G$36,$O12),INDEX('حضور ميخائيل'!$G$7:$G$36,$O12)),""))</f>
        <v>0</v>
      </c>
      <c r="T12" s="22" t="str">
        <f>IF($O12="","",IFERROR(CHOOSE(MATCH($F12,الإعدادات!$B$4:$B$7,0),INDEX('حضور سوريال'!$H$7:$H$36,$O12),INDEX('حضور غبريال'!$H$7:$H$36,$O12),INDEX('حضور رفائيل'!$H$7:$H$36,$O12),INDEX('حضور ميخائيل'!$H$7:$H$36,$O12)),""))</f>
        <v>—</v>
      </c>
      <c r="U12" s="23" t="str">
        <f>IF($O12="","",IFERROR(CHOOSE(MATCH($F12,الإعدادات!$B$4:$B$7,0),INDEX('حضور سوريال'!$I$7:$I$36,$O12),INDEX('حضور غبريال'!$I$7:$I$36,$O12),INDEX('حضور رفائيل'!$I$7:$I$36,$O12),INDEX('حضور ميخائيل'!$I$7:$I$36,$O12)),""))</f>
        <v>⏳ لسه مفيش حضور</v>
      </c>
      <c r="V12">
        <f>IF($O12="","",IFERROR(CHOOSE(MATCH($F12,الإعدادات!$B$4:$B$7,0),INDEX('حضور سوريال'!$BM$7:$BM$36,$O12),INDEX('حضور غبريال'!$BM$7:$BM$36,$O12),INDEX('حضور رفائيل'!$BM$7:$BM$36,$O12),INDEX('حضور ميخائيل'!$BM$7:$BM$36,$O12)),""))</f>
        <v>0</v>
      </c>
      <c r="W12" t="str">
        <f>IF(OR(V12=3,V12=4),COUNTIFS(V$6:V12,3)+COUNTIFS(V$6:V12,4),"")</f>
        <v/>
      </c>
    </row>
    <row r="13" spans="1:23" ht="25.5" customHeight="1">
      <c r="A13" s="13">
        <f t="shared" si="0"/>
        <v>8</v>
      </c>
      <c r="B13" s="14" t="str">
        <f t="shared" si="1"/>
        <v>B-008</v>
      </c>
      <c r="C13" s="15" t="s">
        <v>129</v>
      </c>
      <c r="D13" s="16" t="s">
        <v>47</v>
      </c>
      <c r="E13" s="16" t="s">
        <v>49</v>
      </c>
      <c r="F13" s="16" t="s">
        <v>48</v>
      </c>
      <c r="G13" s="16"/>
      <c r="H13" s="17" t="s">
        <v>153</v>
      </c>
      <c r="I13" s="17"/>
      <c r="J13" s="18" t="s">
        <v>181</v>
      </c>
      <c r="K13" s="16" t="e" vm="5">
        <v>#VALUE!</v>
      </c>
      <c r="L13" s="18"/>
      <c r="M13" s="16" t="s">
        <v>46</v>
      </c>
      <c r="N13" s="19" t="str">
        <f t="shared" si="2"/>
        <v>غبريال|8</v>
      </c>
      <c r="O13" s="19">
        <f>IF(OR(C13="",F13=""),"",COUNTIFS(F$6:F13,F13,C$6:C13,"&lt;&gt;"))</f>
        <v>8</v>
      </c>
      <c r="P13" s="20">
        <f>IF($O13="","",IFERROR(CHOOSE(MATCH($F13,الإعدادات!$B$4:$B$7,0),INDEX('حضور سوريال'!$C$7:$C$36,$O13),INDEX('حضور غبريال'!$C$7:$C$36,$O13),INDEX('حضور رفائيل'!$C$7:$C$36,$O13),INDEX('حضور ميخائيل'!$C$7:$C$36,$O13)),""))</f>
        <v>0</v>
      </c>
      <c r="Q13" s="20">
        <f>IF($O13="","",IFERROR(CHOOSE(MATCH($F13,الإعدادات!$B$4:$B$7,0),INDEX('حضور سوريال'!$D$7:$D$36,$O13),INDEX('حضور غبريال'!$D$7:$D$36,$O13),INDEX('حضور رفائيل'!$D$7:$D$36,$O13),INDEX('حضور ميخائيل'!$D$7:$D$36,$O13)),""))</f>
        <v>0</v>
      </c>
      <c r="R13" s="21" t="str">
        <f>IF($O13="","",IFERROR(CHOOSE(MATCH($F13,الإعدادات!$B$4:$B$7,0),INDEX('حضور سوريال'!$F$7:$F$36,$O13),INDEX('حضور غبريال'!$F$7:$F$36,$O13),INDEX('حضور رفائيل'!$F$7:$F$36,$O13),INDEX('حضور ميخائيل'!$F$7:$F$36,$O13)),""))</f>
        <v/>
      </c>
      <c r="S13" s="20">
        <f>IF($O13="","",IFERROR(CHOOSE(MATCH($F13,الإعدادات!$B$4:$B$7,0),INDEX('حضور سوريال'!$G$7:$G$36,$O13),INDEX('حضور غبريال'!$G$7:$G$36,$O13),INDEX('حضور رفائيل'!$G$7:$G$36,$O13),INDEX('حضور ميخائيل'!$G$7:$G$36,$O13)),""))</f>
        <v>0</v>
      </c>
      <c r="T13" s="22" t="str">
        <f>IF($O13="","",IFERROR(CHOOSE(MATCH($F13,الإعدادات!$B$4:$B$7,0),INDEX('حضور سوريال'!$H$7:$H$36,$O13),INDEX('حضور غبريال'!$H$7:$H$36,$O13),INDEX('حضور رفائيل'!$H$7:$H$36,$O13),INDEX('حضور ميخائيل'!$H$7:$H$36,$O13)),""))</f>
        <v>—</v>
      </c>
      <c r="U13" s="23" t="str">
        <f>IF($O13="","",IFERROR(CHOOSE(MATCH($F13,الإعدادات!$B$4:$B$7,0),INDEX('حضور سوريال'!$I$7:$I$36,$O13),INDEX('حضور غبريال'!$I$7:$I$36,$O13),INDEX('حضور رفائيل'!$I$7:$I$36,$O13),INDEX('حضور ميخائيل'!$I$7:$I$36,$O13)),""))</f>
        <v>⏳ لسه مفيش حضور</v>
      </c>
      <c r="V13">
        <f>IF($O13="","",IFERROR(CHOOSE(MATCH($F13,الإعدادات!$B$4:$B$7,0),INDEX('حضور سوريال'!$BM$7:$BM$36,$O13),INDEX('حضور غبريال'!$BM$7:$BM$36,$O13),INDEX('حضور رفائيل'!$BM$7:$BM$36,$O13),INDEX('حضور ميخائيل'!$BM$7:$BM$36,$O13)),""))</f>
        <v>0</v>
      </c>
      <c r="W13" t="str">
        <f>IF(OR(V13=3,V13=4),COUNTIFS(V$6:V13,3)+COUNTIFS(V$6:V13,4),"")</f>
        <v/>
      </c>
    </row>
    <row r="14" spans="1:23" ht="25.5" customHeight="1">
      <c r="A14" s="13">
        <f t="shared" si="0"/>
        <v>9</v>
      </c>
      <c r="B14" s="14" t="str">
        <f t="shared" si="1"/>
        <v>B-009</v>
      </c>
      <c r="C14" s="15" t="s">
        <v>130</v>
      </c>
      <c r="D14" s="16" t="s">
        <v>43</v>
      </c>
      <c r="E14" s="16" t="s">
        <v>49</v>
      </c>
      <c r="F14" s="16" t="s">
        <v>48</v>
      </c>
      <c r="G14" s="16"/>
      <c r="H14" s="17" t="s">
        <v>154</v>
      </c>
      <c r="I14" s="17"/>
      <c r="J14" s="18" t="s">
        <v>182</v>
      </c>
      <c r="K14" s="16" t="e" vm="6">
        <v>#VALUE!</v>
      </c>
      <c r="L14" s="18"/>
      <c r="M14" s="16" t="s">
        <v>46</v>
      </c>
      <c r="N14" s="19" t="str">
        <f t="shared" si="2"/>
        <v>غبريال|9</v>
      </c>
      <c r="O14" s="19">
        <f>IF(OR(C14="",F14=""),"",COUNTIFS(F$6:F14,F14,C$6:C14,"&lt;&gt;"))</f>
        <v>9</v>
      </c>
      <c r="P14" s="20">
        <f>IF($O14="","",IFERROR(CHOOSE(MATCH($F14,الإعدادات!$B$4:$B$7,0),INDEX('حضور سوريال'!$C$7:$C$36,$O14),INDEX('حضور غبريال'!$C$7:$C$36,$O14),INDEX('حضور رفائيل'!$C$7:$C$36,$O14),INDEX('حضور ميخائيل'!$C$7:$C$36,$O14)),""))</f>
        <v>0</v>
      </c>
      <c r="Q14" s="20">
        <f>IF($O14="","",IFERROR(CHOOSE(MATCH($F14,الإعدادات!$B$4:$B$7,0),INDEX('حضور سوريال'!$D$7:$D$36,$O14),INDEX('حضور غبريال'!$D$7:$D$36,$O14),INDEX('حضور رفائيل'!$D$7:$D$36,$O14),INDEX('حضور ميخائيل'!$D$7:$D$36,$O14)),""))</f>
        <v>0</v>
      </c>
      <c r="R14" s="21" t="str">
        <f>IF($O14="","",IFERROR(CHOOSE(MATCH($F14,الإعدادات!$B$4:$B$7,0),INDEX('حضور سوريال'!$F$7:$F$36,$O14),INDEX('حضور غبريال'!$F$7:$F$36,$O14),INDEX('حضور رفائيل'!$F$7:$F$36,$O14),INDEX('حضور ميخائيل'!$F$7:$F$36,$O14)),""))</f>
        <v/>
      </c>
      <c r="S14" s="20">
        <f>IF($O14="","",IFERROR(CHOOSE(MATCH($F14,الإعدادات!$B$4:$B$7,0),INDEX('حضور سوريال'!$G$7:$G$36,$O14),INDEX('حضور غبريال'!$G$7:$G$36,$O14),INDEX('حضور رفائيل'!$G$7:$G$36,$O14),INDEX('حضور ميخائيل'!$G$7:$G$36,$O14)),""))</f>
        <v>0</v>
      </c>
      <c r="T14" s="22" t="str">
        <f>IF($O14="","",IFERROR(CHOOSE(MATCH($F14,الإعدادات!$B$4:$B$7,0),INDEX('حضور سوريال'!$H$7:$H$36,$O14),INDEX('حضور غبريال'!$H$7:$H$36,$O14),INDEX('حضور رفائيل'!$H$7:$H$36,$O14),INDEX('حضور ميخائيل'!$H$7:$H$36,$O14)),""))</f>
        <v>—</v>
      </c>
      <c r="U14" s="23" t="str">
        <f>IF($O14="","",IFERROR(CHOOSE(MATCH($F14,الإعدادات!$B$4:$B$7,0),INDEX('حضور سوريال'!$I$7:$I$36,$O14),INDEX('حضور غبريال'!$I$7:$I$36,$O14),INDEX('حضور رفائيل'!$I$7:$I$36,$O14),INDEX('حضور ميخائيل'!$I$7:$I$36,$O14)),""))</f>
        <v>⏳ لسه مفيش حضور</v>
      </c>
      <c r="V14">
        <f>IF($O14="","",IFERROR(CHOOSE(MATCH($F14,الإعدادات!$B$4:$B$7,0),INDEX('حضور سوريال'!$BM$7:$BM$36,$O14),INDEX('حضور غبريال'!$BM$7:$BM$36,$O14),INDEX('حضور رفائيل'!$BM$7:$BM$36,$O14),INDEX('حضور ميخائيل'!$BM$7:$BM$36,$O14)),""))</f>
        <v>0</v>
      </c>
      <c r="W14" t="str">
        <f>IF(OR(V14=3,V14=4),COUNTIFS(V$6:V14,3)+COUNTIFS(V$6:V14,4),"")</f>
        <v/>
      </c>
    </row>
    <row r="15" spans="1:23" ht="25.5" customHeight="1">
      <c r="A15" s="13">
        <f t="shared" si="0"/>
        <v>10</v>
      </c>
      <c r="B15" s="14" t="str">
        <f t="shared" si="1"/>
        <v>B-010</v>
      </c>
      <c r="C15" s="15" t="s">
        <v>131</v>
      </c>
      <c r="D15" s="16" t="s">
        <v>43</v>
      </c>
      <c r="E15" s="16" t="s">
        <v>49</v>
      </c>
      <c r="F15" s="16" t="s">
        <v>48</v>
      </c>
      <c r="G15" s="16"/>
      <c r="H15" s="17" t="s">
        <v>155</v>
      </c>
      <c r="I15" s="17"/>
      <c r="J15" s="18" t="s">
        <v>183</v>
      </c>
      <c r="K15" s="16"/>
      <c r="L15" s="18"/>
      <c r="M15" s="16" t="s">
        <v>46</v>
      </c>
      <c r="N15" s="19" t="str">
        <f t="shared" si="2"/>
        <v>غبريال|10</v>
      </c>
      <c r="O15" s="19">
        <f>IF(OR(C15="",F15=""),"",COUNTIFS(F$6:F15,F15,C$6:C15,"&lt;&gt;"))</f>
        <v>10</v>
      </c>
      <c r="P15" s="20">
        <f>IF($O15="","",IFERROR(CHOOSE(MATCH($F15,الإعدادات!$B$4:$B$7,0),INDEX('حضور سوريال'!$C$7:$C$36,$O15),INDEX('حضور غبريال'!$C$7:$C$36,$O15),INDEX('حضور رفائيل'!$C$7:$C$36,$O15),INDEX('حضور ميخائيل'!$C$7:$C$36,$O15)),""))</f>
        <v>0</v>
      </c>
      <c r="Q15" s="20">
        <f>IF($O15="","",IFERROR(CHOOSE(MATCH($F15,الإعدادات!$B$4:$B$7,0),INDEX('حضور سوريال'!$D$7:$D$36,$O15),INDEX('حضور غبريال'!$D$7:$D$36,$O15),INDEX('حضور رفائيل'!$D$7:$D$36,$O15),INDEX('حضور ميخائيل'!$D$7:$D$36,$O15)),""))</f>
        <v>0</v>
      </c>
      <c r="R15" s="21" t="str">
        <f>IF($O15="","",IFERROR(CHOOSE(MATCH($F15,الإعدادات!$B$4:$B$7,0),INDEX('حضور سوريال'!$F$7:$F$36,$O15),INDEX('حضور غبريال'!$F$7:$F$36,$O15),INDEX('حضور رفائيل'!$F$7:$F$36,$O15),INDEX('حضور ميخائيل'!$F$7:$F$36,$O15)),""))</f>
        <v/>
      </c>
      <c r="S15" s="20">
        <f>IF($O15="","",IFERROR(CHOOSE(MATCH($F15,الإعدادات!$B$4:$B$7,0),INDEX('حضور سوريال'!$G$7:$G$36,$O15),INDEX('حضور غبريال'!$G$7:$G$36,$O15),INDEX('حضور رفائيل'!$G$7:$G$36,$O15),INDEX('حضور ميخائيل'!$G$7:$G$36,$O15)),""))</f>
        <v>0</v>
      </c>
      <c r="T15" s="22" t="str">
        <f>IF($O15="","",IFERROR(CHOOSE(MATCH($F15,الإعدادات!$B$4:$B$7,0),INDEX('حضور سوريال'!$H$7:$H$36,$O15),INDEX('حضور غبريال'!$H$7:$H$36,$O15),INDEX('حضور رفائيل'!$H$7:$H$36,$O15),INDEX('حضور ميخائيل'!$H$7:$H$36,$O15)),""))</f>
        <v>—</v>
      </c>
      <c r="U15" s="23" t="str">
        <f>IF($O15="","",IFERROR(CHOOSE(MATCH($F15,الإعدادات!$B$4:$B$7,0),INDEX('حضور سوريال'!$I$7:$I$36,$O15),INDEX('حضور غبريال'!$I$7:$I$36,$O15),INDEX('حضور رفائيل'!$I$7:$I$36,$O15),INDEX('حضور ميخائيل'!$I$7:$I$36,$O15)),""))</f>
        <v>⏳ لسه مفيش حضور</v>
      </c>
      <c r="V15">
        <f>IF($O15="","",IFERROR(CHOOSE(MATCH($F15,الإعدادات!$B$4:$B$7,0),INDEX('حضور سوريال'!$BM$7:$BM$36,$O15),INDEX('حضور غبريال'!$BM$7:$BM$36,$O15),INDEX('حضور رفائيل'!$BM$7:$BM$36,$O15),INDEX('حضور ميخائيل'!$BM$7:$BM$36,$O15)),""))</f>
        <v>0</v>
      </c>
      <c r="W15" t="str">
        <f>IF(OR(V15=3,V15=4),COUNTIFS(V$6:V15,3)+COUNTIFS(V$6:V15,4),"")</f>
        <v/>
      </c>
    </row>
    <row r="16" spans="1:23" ht="25.5" customHeight="1">
      <c r="A16" s="13">
        <f t="shared" si="0"/>
        <v>11</v>
      </c>
      <c r="B16" s="14" t="str">
        <f t="shared" si="1"/>
        <v>B-011</v>
      </c>
      <c r="C16" s="15" t="s">
        <v>132</v>
      </c>
      <c r="D16" s="16" t="s">
        <v>43</v>
      </c>
      <c r="E16" s="16" t="s">
        <v>49</v>
      </c>
      <c r="F16" s="16" t="s">
        <v>48</v>
      </c>
      <c r="G16" s="16"/>
      <c r="H16" s="17" t="s">
        <v>156</v>
      </c>
      <c r="I16" s="17"/>
      <c r="J16" s="18" t="s">
        <v>184</v>
      </c>
      <c r="K16" s="16" t="e" vm="7">
        <v>#VALUE!</v>
      </c>
      <c r="L16" s="18"/>
      <c r="M16" s="16" t="s">
        <v>46</v>
      </c>
      <c r="N16" s="19" t="str">
        <f t="shared" si="2"/>
        <v>غبريال|11</v>
      </c>
      <c r="O16" s="19">
        <f>IF(OR(C16="",F16=""),"",COUNTIFS(F$6:F16,F16,C$6:C16,"&lt;&gt;"))</f>
        <v>11</v>
      </c>
      <c r="P16" s="20">
        <f>IF($O16="","",IFERROR(CHOOSE(MATCH($F16,الإعدادات!$B$4:$B$7,0),INDEX('حضور سوريال'!$C$7:$C$36,$O16),INDEX('حضور غبريال'!$C$7:$C$36,$O16),INDEX('حضور رفائيل'!$C$7:$C$36,$O16),INDEX('حضور ميخائيل'!$C$7:$C$36,$O16)),""))</f>
        <v>0</v>
      </c>
      <c r="Q16" s="20">
        <f>IF($O16="","",IFERROR(CHOOSE(MATCH($F16,الإعدادات!$B$4:$B$7,0),INDEX('حضور سوريال'!$D$7:$D$36,$O16),INDEX('حضور غبريال'!$D$7:$D$36,$O16),INDEX('حضور رفائيل'!$D$7:$D$36,$O16),INDEX('حضور ميخائيل'!$D$7:$D$36,$O16)),""))</f>
        <v>0</v>
      </c>
      <c r="R16" s="21" t="str">
        <f>IF($O16="","",IFERROR(CHOOSE(MATCH($F16,الإعدادات!$B$4:$B$7,0),INDEX('حضور سوريال'!$F$7:$F$36,$O16),INDEX('حضور غبريال'!$F$7:$F$36,$O16),INDEX('حضور رفائيل'!$F$7:$F$36,$O16),INDEX('حضور ميخائيل'!$F$7:$F$36,$O16)),""))</f>
        <v/>
      </c>
      <c r="S16" s="20">
        <f>IF($O16="","",IFERROR(CHOOSE(MATCH($F16,الإعدادات!$B$4:$B$7,0),INDEX('حضور سوريال'!$G$7:$G$36,$O16),INDEX('حضور غبريال'!$G$7:$G$36,$O16),INDEX('حضور رفائيل'!$G$7:$G$36,$O16),INDEX('حضور ميخائيل'!$G$7:$G$36,$O16)),""))</f>
        <v>0</v>
      </c>
      <c r="T16" s="22" t="str">
        <f>IF($O16="","",IFERROR(CHOOSE(MATCH($F16,الإعدادات!$B$4:$B$7,0),INDEX('حضور سوريال'!$H$7:$H$36,$O16),INDEX('حضور غبريال'!$H$7:$H$36,$O16),INDEX('حضور رفائيل'!$H$7:$H$36,$O16),INDEX('حضور ميخائيل'!$H$7:$H$36,$O16)),""))</f>
        <v>—</v>
      </c>
      <c r="U16" s="23" t="str">
        <f>IF($O16="","",IFERROR(CHOOSE(MATCH($F16,الإعدادات!$B$4:$B$7,0),INDEX('حضور سوريال'!$I$7:$I$36,$O16),INDEX('حضور غبريال'!$I$7:$I$36,$O16),INDEX('حضور رفائيل'!$I$7:$I$36,$O16),INDEX('حضور ميخائيل'!$I$7:$I$36,$O16)),""))</f>
        <v>⏳ لسه مفيش حضور</v>
      </c>
      <c r="V16">
        <f>IF($O16="","",IFERROR(CHOOSE(MATCH($F16,الإعدادات!$B$4:$B$7,0),INDEX('حضور سوريال'!$BM$7:$BM$36,$O16),INDEX('حضور غبريال'!$BM$7:$BM$36,$O16),INDEX('حضور رفائيل'!$BM$7:$BM$36,$O16),INDEX('حضور ميخائيل'!$BM$7:$BM$36,$O16)),""))</f>
        <v>0</v>
      </c>
      <c r="W16" t="str">
        <f>IF(OR(V16=3,V16=4),COUNTIFS(V$6:V16,3)+COUNTIFS(V$6:V16,4),"")</f>
        <v/>
      </c>
    </row>
    <row r="17" spans="1:23" ht="25.5" customHeight="1">
      <c r="A17" s="13">
        <f t="shared" si="0"/>
        <v>12</v>
      </c>
      <c r="B17" s="14" t="str">
        <f t="shared" si="1"/>
        <v>B-012</v>
      </c>
      <c r="C17" s="15" t="s">
        <v>133</v>
      </c>
      <c r="D17" s="16" t="s">
        <v>47</v>
      </c>
      <c r="E17" s="16" t="s">
        <v>49</v>
      </c>
      <c r="F17" s="16" t="s">
        <v>48</v>
      </c>
      <c r="G17" s="16"/>
      <c r="H17" s="17" t="s">
        <v>157</v>
      </c>
      <c r="I17" s="17"/>
      <c r="J17" s="18" t="s">
        <v>185</v>
      </c>
      <c r="K17" s="16" t="e" vm="8">
        <v>#VALUE!</v>
      </c>
      <c r="L17" s="18"/>
      <c r="M17" s="16" t="s">
        <v>46</v>
      </c>
      <c r="N17" s="19" t="str">
        <f t="shared" si="2"/>
        <v>غبريال|12</v>
      </c>
      <c r="O17" s="19">
        <f>IF(OR(C17="",F17=""),"",COUNTIFS(F$6:F17,F17,C$6:C17,"&lt;&gt;"))</f>
        <v>12</v>
      </c>
      <c r="P17" s="20">
        <f>IF($O17="","",IFERROR(CHOOSE(MATCH($F17,الإعدادات!$B$4:$B$7,0),INDEX('حضور سوريال'!$C$7:$C$36,$O17),INDEX('حضور غبريال'!$C$7:$C$36,$O17),INDEX('حضور رفائيل'!$C$7:$C$36,$O17),INDEX('حضور ميخائيل'!$C$7:$C$36,$O17)),""))</f>
        <v>0</v>
      </c>
      <c r="Q17" s="20">
        <f>IF($O17="","",IFERROR(CHOOSE(MATCH($F17,الإعدادات!$B$4:$B$7,0),INDEX('حضور سوريال'!$D$7:$D$36,$O17),INDEX('حضور غبريال'!$D$7:$D$36,$O17),INDEX('حضور رفائيل'!$D$7:$D$36,$O17),INDEX('حضور ميخائيل'!$D$7:$D$36,$O17)),""))</f>
        <v>0</v>
      </c>
      <c r="R17" s="21" t="str">
        <f>IF($O17="","",IFERROR(CHOOSE(MATCH($F17,الإعدادات!$B$4:$B$7,0),INDEX('حضور سوريال'!$F$7:$F$36,$O17),INDEX('حضور غبريال'!$F$7:$F$36,$O17),INDEX('حضور رفائيل'!$F$7:$F$36,$O17),INDEX('حضور ميخائيل'!$F$7:$F$36,$O17)),""))</f>
        <v/>
      </c>
      <c r="S17" s="20">
        <f>IF($O17="","",IFERROR(CHOOSE(MATCH($F17,الإعدادات!$B$4:$B$7,0),INDEX('حضور سوريال'!$G$7:$G$36,$O17),INDEX('حضور غبريال'!$G$7:$G$36,$O17),INDEX('حضور رفائيل'!$G$7:$G$36,$O17),INDEX('حضور ميخائيل'!$G$7:$G$36,$O17)),""))</f>
        <v>0</v>
      </c>
      <c r="T17" s="22" t="str">
        <f>IF($O17="","",IFERROR(CHOOSE(MATCH($F17,الإعدادات!$B$4:$B$7,0),INDEX('حضور سوريال'!$H$7:$H$36,$O17),INDEX('حضور غبريال'!$H$7:$H$36,$O17),INDEX('حضور رفائيل'!$H$7:$H$36,$O17),INDEX('حضور ميخائيل'!$H$7:$H$36,$O17)),""))</f>
        <v>—</v>
      </c>
      <c r="U17" s="23" t="str">
        <f>IF($O17="","",IFERROR(CHOOSE(MATCH($F17,الإعدادات!$B$4:$B$7,0),INDEX('حضور سوريال'!$I$7:$I$36,$O17),INDEX('حضور غبريال'!$I$7:$I$36,$O17),INDEX('حضور رفائيل'!$I$7:$I$36,$O17),INDEX('حضور ميخائيل'!$I$7:$I$36,$O17)),""))</f>
        <v>⏳ لسه مفيش حضور</v>
      </c>
      <c r="V17">
        <f>IF($O17="","",IFERROR(CHOOSE(MATCH($F17,الإعدادات!$B$4:$B$7,0),INDEX('حضور سوريال'!$BM$7:$BM$36,$O17),INDEX('حضور غبريال'!$BM$7:$BM$36,$O17),INDEX('حضور رفائيل'!$BM$7:$BM$36,$O17),INDEX('حضور ميخائيل'!$BM$7:$BM$36,$O17)),""))</f>
        <v>0</v>
      </c>
      <c r="W17" t="str">
        <f>IF(OR(V17=3,V17=4),COUNTIFS(V$6:V17,3)+COUNTIFS(V$6:V17,4),"")</f>
        <v/>
      </c>
    </row>
    <row r="18" spans="1:23" ht="25.5" customHeight="1">
      <c r="A18" s="13">
        <f t="shared" si="0"/>
        <v>13</v>
      </c>
      <c r="B18" s="14" t="str">
        <f t="shared" si="1"/>
        <v>B-013</v>
      </c>
      <c r="C18" s="15" t="s">
        <v>134</v>
      </c>
      <c r="D18" s="16" t="s">
        <v>43</v>
      </c>
      <c r="E18" s="16" t="s">
        <v>49</v>
      </c>
      <c r="F18" s="16" t="s">
        <v>48</v>
      </c>
      <c r="G18" s="16"/>
      <c r="H18" s="17" t="s">
        <v>158</v>
      </c>
      <c r="I18" s="17" t="s">
        <v>172</v>
      </c>
      <c r="J18" s="18" t="s">
        <v>186</v>
      </c>
      <c r="K18" s="16" t="e" vm="9">
        <v>#VALUE!</v>
      </c>
      <c r="L18" s="18"/>
      <c r="M18" s="16" t="s">
        <v>46</v>
      </c>
      <c r="N18" s="19" t="str">
        <f t="shared" si="2"/>
        <v>غبريال|13</v>
      </c>
      <c r="O18" s="19">
        <f>IF(OR(C18="",F18=""),"",COUNTIFS(F$6:F18,F18,C$6:C18,"&lt;&gt;"))</f>
        <v>13</v>
      </c>
      <c r="P18" s="20">
        <f>IF($O18="","",IFERROR(CHOOSE(MATCH($F18,الإعدادات!$B$4:$B$7,0),INDEX('حضور سوريال'!$C$7:$C$36,$O18),INDEX('حضور غبريال'!$C$7:$C$36,$O18),INDEX('حضور رفائيل'!$C$7:$C$36,$O18),INDEX('حضور ميخائيل'!$C$7:$C$36,$O18)),""))</f>
        <v>0</v>
      </c>
      <c r="Q18" s="20">
        <f>IF($O18="","",IFERROR(CHOOSE(MATCH($F18,الإعدادات!$B$4:$B$7,0),INDEX('حضور سوريال'!$D$7:$D$36,$O18),INDEX('حضور غبريال'!$D$7:$D$36,$O18),INDEX('حضور رفائيل'!$D$7:$D$36,$O18),INDEX('حضور ميخائيل'!$D$7:$D$36,$O18)),""))</f>
        <v>0</v>
      </c>
      <c r="R18" s="21" t="str">
        <f>IF($O18="","",IFERROR(CHOOSE(MATCH($F18,الإعدادات!$B$4:$B$7,0),INDEX('حضور سوريال'!$F$7:$F$36,$O18),INDEX('حضور غبريال'!$F$7:$F$36,$O18),INDEX('حضور رفائيل'!$F$7:$F$36,$O18),INDEX('حضور ميخائيل'!$F$7:$F$36,$O18)),""))</f>
        <v/>
      </c>
      <c r="S18" s="20">
        <f>IF($O18="","",IFERROR(CHOOSE(MATCH($F18,الإعدادات!$B$4:$B$7,0),INDEX('حضور سوريال'!$G$7:$G$36,$O18),INDEX('حضور غبريال'!$G$7:$G$36,$O18),INDEX('حضور رفائيل'!$G$7:$G$36,$O18),INDEX('حضور ميخائيل'!$G$7:$G$36,$O18)),""))</f>
        <v>0</v>
      </c>
      <c r="T18" s="22" t="str">
        <f>IF($O18="","",IFERROR(CHOOSE(MATCH($F18,الإعدادات!$B$4:$B$7,0),INDEX('حضور سوريال'!$H$7:$H$36,$O18),INDEX('حضور غبريال'!$H$7:$H$36,$O18),INDEX('حضور رفائيل'!$H$7:$H$36,$O18),INDEX('حضور ميخائيل'!$H$7:$H$36,$O18)),""))</f>
        <v>—</v>
      </c>
      <c r="U18" s="23" t="str">
        <f>IF($O18="","",IFERROR(CHOOSE(MATCH($F18,الإعدادات!$B$4:$B$7,0),INDEX('حضور سوريال'!$I$7:$I$36,$O18),INDEX('حضور غبريال'!$I$7:$I$36,$O18),INDEX('حضور رفائيل'!$I$7:$I$36,$O18),INDEX('حضور ميخائيل'!$I$7:$I$36,$O18)),""))</f>
        <v>⏳ لسه مفيش حضور</v>
      </c>
      <c r="V18">
        <f>IF($O18="","",IFERROR(CHOOSE(MATCH($F18,الإعدادات!$B$4:$B$7,0),INDEX('حضور سوريال'!$BM$7:$BM$36,$O18),INDEX('حضور غبريال'!$BM$7:$BM$36,$O18),INDEX('حضور رفائيل'!$BM$7:$BM$36,$O18),INDEX('حضور ميخائيل'!$BM$7:$BM$36,$O18)),""))</f>
        <v>0</v>
      </c>
      <c r="W18" t="str">
        <f>IF(OR(V18=3,V18=4),COUNTIFS(V$6:V18,3)+COUNTIFS(V$6:V18,4),"")</f>
        <v/>
      </c>
    </row>
    <row r="19" spans="1:23" ht="25.5" customHeight="1">
      <c r="A19" s="13">
        <f t="shared" si="0"/>
        <v>14</v>
      </c>
      <c r="B19" s="14" t="str">
        <f t="shared" si="1"/>
        <v>B-014</v>
      </c>
      <c r="C19" s="15" t="s">
        <v>135</v>
      </c>
      <c r="D19" s="16" t="s">
        <v>47</v>
      </c>
      <c r="E19" s="16" t="s">
        <v>49</v>
      </c>
      <c r="F19" s="16" t="s">
        <v>48</v>
      </c>
      <c r="G19" s="16"/>
      <c r="H19" s="17" t="s">
        <v>159</v>
      </c>
      <c r="I19" s="17"/>
      <c r="J19" s="18" t="s">
        <v>187</v>
      </c>
      <c r="K19" s="74" t="e" vm="10">
        <v>#VALUE!</v>
      </c>
      <c r="L19" s="18"/>
      <c r="M19" s="16" t="s">
        <v>46</v>
      </c>
      <c r="N19" s="19" t="str">
        <f t="shared" si="2"/>
        <v>غبريال|14</v>
      </c>
      <c r="O19" s="19">
        <f>IF(OR(C19="",F19=""),"",COUNTIFS(F$6:F19,F19,C$6:C19,"&lt;&gt;"))</f>
        <v>14</v>
      </c>
      <c r="P19" s="20">
        <f>IF($O19="","",IFERROR(CHOOSE(MATCH($F19,الإعدادات!$B$4:$B$7,0),INDEX('حضور سوريال'!$C$7:$C$36,$O19),INDEX('حضور غبريال'!$C$7:$C$36,$O19),INDEX('حضور رفائيل'!$C$7:$C$36,$O19),INDEX('حضور ميخائيل'!$C$7:$C$36,$O19)),""))</f>
        <v>0</v>
      </c>
      <c r="Q19" s="20">
        <f>IF($O19="","",IFERROR(CHOOSE(MATCH($F19,الإعدادات!$B$4:$B$7,0),INDEX('حضور سوريال'!$D$7:$D$36,$O19),INDEX('حضور غبريال'!$D$7:$D$36,$O19),INDEX('حضور رفائيل'!$D$7:$D$36,$O19),INDEX('حضور ميخائيل'!$D$7:$D$36,$O19)),""))</f>
        <v>0</v>
      </c>
      <c r="R19" s="21" t="str">
        <f>IF($O19="","",IFERROR(CHOOSE(MATCH($F19,الإعدادات!$B$4:$B$7,0),INDEX('حضور سوريال'!$F$7:$F$36,$O19),INDEX('حضور غبريال'!$F$7:$F$36,$O19),INDEX('حضور رفائيل'!$F$7:$F$36,$O19),INDEX('حضور ميخائيل'!$F$7:$F$36,$O19)),""))</f>
        <v/>
      </c>
      <c r="S19" s="20">
        <f>IF($O19="","",IFERROR(CHOOSE(MATCH($F19,الإعدادات!$B$4:$B$7,0),INDEX('حضور سوريال'!$G$7:$G$36,$O19),INDEX('حضور غبريال'!$G$7:$G$36,$O19),INDEX('حضور رفائيل'!$G$7:$G$36,$O19),INDEX('حضور ميخائيل'!$G$7:$G$36,$O19)),""))</f>
        <v>0</v>
      </c>
      <c r="T19" s="22" t="str">
        <f>IF($O19="","",IFERROR(CHOOSE(MATCH($F19,الإعدادات!$B$4:$B$7,0),INDEX('حضور سوريال'!$H$7:$H$36,$O19),INDEX('حضور غبريال'!$H$7:$H$36,$O19),INDEX('حضور رفائيل'!$H$7:$H$36,$O19),INDEX('حضور ميخائيل'!$H$7:$H$36,$O19)),""))</f>
        <v>—</v>
      </c>
      <c r="U19" s="23" t="str">
        <f>IF($O19="","",IFERROR(CHOOSE(MATCH($F19,الإعدادات!$B$4:$B$7,0),INDEX('حضور سوريال'!$I$7:$I$36,$O19),INDEX('حضور غبريال'!$I$7:$I$36,$O19),INDEX('حضور رفائيل'!$I$7:$I$36,$O19),INDEX('حضور ميخائيل'!$I$7:$I$36,$O19)),""))</f>
        <v>⏳ لسه مفيش حضور</v>
      </c>
      <c r="V19">
        <f>IF($O19="","",IFERROR(CHOOSE(MATCH($F19,الإعدادات!$B$4:$B$7,0),INDEX('حضور سوريال'!$BM$7:$BM$36,$O19),INDEX('حضور غبريال'!$BM$7:$BM$36,$O19),INDEX('حضور رفائيل'!$BM$7:$BM$36,$O19),INDEX('حضور ميخائيل'!$BM$7:$BM$36,$O19)),""))</f>
        <v>0</v>
      </c>
      <c r="W19" t="str">
        <f>IF(OR(V19=3,V19=4),COUNTIFS(V$6:V19,3)+COUNTIFS(V$6:V19,4),"")</f>
        <v/>
      </c>
    </row>
    <row r="20" spans="1:23" ht="25.5" customHeight="1">
      <c r="A20" s="13">
        <f t="shared" si="0"/>
        <v>15</v>
      </c>
      <c r="B20" s="14" t="str">
        <f t="shared" si="1"/>
        <v>B-015</v>
      </c>
      <c r="C20" s="15" t="s">
        <v>136</v>
      </c>
      <c r="D20" s="16" t="s">
        <v>43</v>
      </c>
      <c r="E20" s="16" t="s">
        <v>49</v>
      </c>
      <c r="F20" s="16" t="s">
        <v>48</v>
      </c>
      <c r="G20" s="16"/>
      <c r="H20" s="17" t="s">
        <v>160</v>
      </c>
      <c r="I20" s="17" t="s">
        <v>173</v>
      </c>
      <c r="J20" s="18" t="s">
        <v>188</v>
      </c>
      <c r="K20" s="16"/>
      <c r="L20" s="18"/>
      <c r="M20" s="16" t="s">
        <v>46</v>
      </c>
      <c r="N20" s="19" t="str">
        <f t="shared" si="2"/>
        <v>غبريال|15</v>
      </c>
      <c r="O20" s="19">
        <f>IF(OR(C20="",F20=""),"",COUNTIFS(F$6:F20,F20,C$6:C20,"&lt;&gt;"))</f>
        <v>15</v>
      </c>
      <c r="P20" s="20">
        <f>IF($O20="","",IFERROR(CHOOSE(MATCH($F20,الإعدادات!$B$4:$B$7,0),INDEX('حضور سوريال'!$C$7:$C$36,$O20),INDEX('حضور غبريال'!$C$7:$C$36,$O20),INDEX('حضور رفائيل'!$C$7:$C$36,$O20),INDEX('حضور ميخائيل'!$C$7:$C$36,$O20)),""))</f>
        <v>0</v>
      </c>
      <c r="Q20" s="20">
        <f>IF($O20="","",IFERROR(CHOOSE(MATCH($F20,الإعدادات!$B$4:$B$7,0),INDEX('حضور سوريال'!$D$7:$D$36,$O20),INDEX('حضور غبريال'!$D$7:$D$36,$O20),INDEX('حضور رفائيل'!$D$7:$D$36,$O20),INDEX('حضور ميخائيل'!$D$7:$D$36,$O20)),""))</f>
        <v>0</v>
      </c>
      <c r="R20" s="21" t="str">
        <f>IF($O20="","",IFERROR(CHOOSE(MATCH($F20,الإعدادات!$B$4:$B$7,0),INDEX('حضور سوريال'!$F$7:$F$36,$O20),INDEX('حضور غبريال'!$F$7:$F$36,$O20),INDEX('حضور رفائيل'!$F$7:$F$36,$O20),INDEX('حضور ميخائيل'!$F$7:$F$36,$O20)),""))</f>
        <v/>
      </c>
      <c r="S20" s="20">
        <f>IF($O20="","",IFERROR(CHOOSE(MATCH($F20,الإعدادات!$B$4:$B$7,0),INDEX('حضور سوريال'!$G$7:$G$36,$O20),INDEX('حضور غبريال'!$G$7:$G$36,$O20),INDEX('حضور رفائيل'!$G$7:$G$36,$O20),INDEX('حضور ميخائيل'!$G$7:$G$36,$O20)),""))</f>
        <v>0</v>
      </c>
      <c r="T20" s="22" t="str">
        <f>IF($O20="","",IFERROR(CHOOSE(MATCH($F20,الإعدادات!$B$4:$B$7,0),INDEX('حضور سوريال'!$H$7:$H$36,$O20),INDEX('حضور غبريال'!$H$7:$H$36,$O20),INDEX('حضور رفائيل'!$H$7:$H$36,$O20),INDEX('حضور ميخائيل'!$H$7:$H$36,$O20)),""))</f>
        <v>—</v>
      </c>
      <c r="U20" s="23" t="str">
        <f>IF($O20="","",IFERROR(CHOOSE(MATCH($F20,الإعدادات!$B$4:$B$7,0),INDEX('حضور سوريال'!$I$7:$I$36,$O20),INDEX('حضور غبريال'!$I$7:$I$36,$O20),INDEX('حضور رفائيل'!$I$7:$I$36,$O20),INDEX('حضور ميخائيل'!$I$7:$I$36,$O20)),""))</f>
        <v>⏳ لسه مفيش حضور</v>
      </c>
      <c r="V20">
        <f>IF($O20="","",IFERROR(CHOOSE(MATCH($F20,الإعدادات!$B$4:$B$7,0),INDEX('حضور سوريال'!$BM$7:$BM$36,$O20),INDEX('حضور غبريال'!$BM$7:$BM$36,$O20),INDEX('حضور رفائيل'!$BM$7:$BM$36,$O20),INDEX('حضور ميخائيل'!$BM$7:$BM$36,$O20)),""))</f>
        <v>0</v>
      </c>
      <c r="W20" t="str">
        <f>IF(OR(V20=3,V20=4),COUNTIFS(V$6:V20,3)+COUNTIFS(V$6:V20,4),"")</f>
        <v/>
      </c>
    </row>
    <row r="21" spans="1:23" ht="25.5" customHeight="1">
      <c r="A21" s="13">
        <f t="shared" si="0"/>
        <v>16</v>
      </c>
      <c r="B21" s="14" t="str">
        <f t="shared" si="1"/>
        <v>B-016</v>
      </c>
      <c r="C21" s="15" t="s">
        <v>137</v>
      </c>
      <c r="D21" s="16" t="s">
        <v>47</v>
      </c>
      <c r="E21" s="16" t="s">
        <v>49</v>
      </c>
      <c r="F21" s="16" t="s">
        <v>48</v>
      </c>
      <c r="G21" s="16"/>
      <c r="H21" s="17" t="s">
        <v>161</v>
      </c>
      <c r="I21" s="17"/>
      <c r="J21" s="18" t="s">
        <v>189</v>
      </c>
      <c r="K21" s="16"/>
      <c r="L21" s="18"/>
      <c r="M21" s="16" t="s">
        <v>46</v>
      </c>
      <c r="N21" s="19" t="str">
        <f t="shared" si="2"/>
        <v>غبريال|16</v>
      </c>
      <c r="O21" s="19">
        <f>IF(OR(C21="",F21=""),"",COUNTIFS(F$6:F21,F21,C$6:C21,"&lt;&gt;"))</f>
        <v>16</v>
      </c>
      <c r="P21" s="20">
        <f>IF($O21="","",IFERROR(CHOOSE(MATCH($F21,الإعدادات!$B$4:$B$7,0),INDEX('حضور سوريال'!$C$7:$C$36,$O21),INDEX('حضور غبريال'!$C$7:$C$36,$O21),INDEX('حضور رفائيل'!$C$7:$C$36,$O21),INDEX('حضور ميخائيل'!$C$7:$C$36,$O21)),""))</f>
        <v>0</v>
      </c>
      <c r="Q21" s="20">
        <f>IF($O21="","",IFERROR(CHOOSE(MATCH($F21,الإعدادات!$B$4:$B$7,0),INDEX('حضور سوريال'!$D$7:$D$36,$O21),INDEX('حضور غبريال'!$D$7:$D$36,$O21),INDEX('حضور رفائيل'!$D$7:$D$36,$O21),INDEX('حضور ميخائيل'!$D$7:$D$36,$O21)),""))</f>
        <v>0</v>
      </c>
      <c r="R21" s="21" t="str">
        <f>IF($O21="","",IFERROR(CHOOSE(MATCH($F21,الإعدادات!$B$4:$B$7,0),INDEX('حضور سوريال'!$F$7:$F$36,$O21),INDEX('حضور غبريال'!$F$7:$F$36,$O21),INDEX('حضور رفائيل'!$F$7:$F$36,$O21),INDEX('حضور ميخائيل'!$F$7:$F$36,$O21)),""))</f>
        <v/>
      </c>
      <c r="S21" s="20">
        <f>IF($O21="","",IFERROR(CHOOSE(MATCH($F21,الإعدادات!$B$4:$B$7,0),INDEX('حضور سوريال'!$G$7:$G$36,$O21),INDEX('حضور غبريال'!$G$7:$G$36,$O21),INDEX('حضور رفائيل'!$G$7:$G$36,$O21),INDEX('حضور ميخائيل'!$G$7:$G$36,$O21)),""))</f>
        <v>0</v>
      </c>
      <c r="T21" s="22" t="str">
        <f>IF($O21="","",IFERROR(CHOOSE(MATCH($F21,الإعدادات!$B$4:$B$7,0),INDEX('حضور سوريال'!$H$7:$H$36,$O21),INDEX('حضور غبريال'!$H$7:$H$36,$O21),INDEX('حضور رفائيل'!$H$7:$H$36,$O21),INDEX('حضور ميخائيل'!$H$7:$H$36,$O21)),""))</f>
        <v>—</v>
      </c>
      <c r="U21" s="23" t="str">
        <f>IF($O21="","",IFERROR(CHOOSE(MATCH($F21,الإعدادات!$B$4:$B$7,0),INDEX('حضور سوريال'!$I$7:$I$36,$O21),INDEX('حضور غبريال'!$I$7:$I$36,$O21),INDEX('حضور رفائيل'!$I$7:$I$36,$O21),INDEX('حضور ميخائيل'!$I$7:$I$36,$O21)),""))</f>
        <v>⏳ لسه مفيش حضور</v>
      </c>
      <c r="V21">
        <f>IF($O21="","",IFERROR(CHOOSE(MATCH($F21,الإعدادات!$B$4:$B$7,0),INDEX('حضور سوريال'!$BM$7:$BM$36,$O21),INDEX('حضور غبريال'!$BM$7:$BM$36,$O21),INDEX('حضور رفائيل'!$BM$7:$BM$36,$O21),INDEX('حضور ميخائيل'!$BM$7:$BM$36,$O21)),""))</f>
        <v>0</v>
      </c>
      <c r="W21" t="str">
        <f>IF(OR(V21=3,V21=4),COUNTIFS(V$6:V21,3)+COUNTIFS(V$6:V21,4),"")</f>
        <v/>
      </c>
    </row>
    <row r="22" spans="1:23" ht="25.5" customHeight="1">
      <c r="A22" s="13">
        <f t="shared" si="0"/>
        <v>17</v>
      </c>
      <c r="B22" s="14" t="str">
        <f t="shared" si="1"/>
        <v>B-017</v>
      </c>
      <c r="C22" s="15" t="s">
        <v>138</v>
      </c>
      <c r="D22" s="16" t="s">
        <v>47</v>
      </c>
      <c r="E22" s="16" t="s">
        <v>49</v>
      </c>
      <c r="F22" s="16" t="s">
        <v>48</v>
      </c>
      <c r="G22" s="16"/>
      <c r="H22" s="17" t="s">
        <v>162</v>
      </c>
      <c r="I22" s="17"/>
      <c r="J22" s="18" t="s">
        <v>190</v>
      </c>
      <c r="K22" s="16"/>
      <c r="L22" s="18"/>
      <c r="M22" s="16" t="s">
        <v>46</v>
      </c>
      <c r="N22" s="19" t="str">
        <f t="shared" si="2"/>
        <v>غبريال|17</v>
      </c>
      <c r="O22" s="19">
        <f>IF(OR(C22="",F22=""),"",COUNTIFS(F$6:F22,F22,C$6:C22,"&lt;&gt;"))</f>
        <v>17</v>
      </c>
      <c r="P22" s="20">
        <f>IF($O22="","",IFERROR(CHOOSE(MATCH($F22,الإعدادات!$B$4:$B$7,0),INDEX('حضور سوريال'!$C$7:$C$36,$O22),INDEX('حضور غبريال'!$C$7:$C$36,$O22),INDEX('حضور رفائيل'!$C$7:$C$36,$O22),INDEX('حضور ميخائيل'!$C$7:$C$36,$O22)),""))</f>
        <v>0</v>
      </c>
      <c r="Q22" s="20">
        <f>IF($O22="","",IFERROR(CHOOSE(MATCH($F22,الإعدادات!$B$4:$B$7,0),INDEX('حضور سوريال'!$D$7:$D$36,$O22),INDEX('حضور غبريال'!$D$7:$D$36,$O22),INDEX('حضور رفائيل'!$D$7:$D$36,$O22),INDEX('حضور ميخائيل'!$D$7:$D$36,$O22)),""))</f>
        <v>0</v>
      </c>
      <c r="R22" s="21" t="str">
        <f>IF($O22="","",IFERROR(CHOOSE(MATCH($F22,الإعدادات!$B$4:$B$7,0),INDEX('حضور سوريال'!$F$7:$F$36,$O22),INDEX('حضور غبريال'!$F$7:$F$36,$O22),INDEX('حضور رفائيل'!$F$7:$F$36,$O22),INDEX('حضور ميخائيل'!$F$7:$F$36,$O22)),""))</f>
        <v/>
      </c>
      <c r="S22" s="20">
        <f>IF($O22="","",IFERROR(CHOOSE(MATCH($F22,الإعدادات!$B$4:$B$7,0),INDEX('حضور سوريال'!$G$7:$G$36,$O22),INDEX('حضور غبريال'!$G$7:$G$36,$O22),INDEX('حضور رفائيل'!$G$7:$G$36,$O22),INDEX('حضور ميخائيل'!$G$7:$G$36,$O22)),""))</f>
        <v>0</v>
      </c>
      <c r="T22" s="22" t="str">
        <f>IF($O22="","",IFERROR(CHOOSE(MATCH($F22,الإعدادات!$B$4:$B$7,0),INDEX('حضور سوريال'!$H$7:$H$36,$O22),INDEX('حضور غبريال'!$H$7:$H$36,$O22),INDEX('حضور رفائيل'!$H$7:$H$36,$O22),INDEX('حضور ميخائيل'!$H$7:$H$36,$O22)),""))</f>
        <v>—</v>
      </c>
      <c r="U22" s="23" t="str">
        <f>IF($O22="","",IFERROR(CHOOSE(MATCH($F22,الإعدادات!$B$4:$B$7,0),INDEX('حضور سوريال'!$I$7:$I$36,$O22),INDEX('حضور غبريال'!$I$7:$I$36,$O22),INDEX('حضور رفائيل'!$I$7:$I$36,$O22),INDEX('حضور ميخائيل'!$I$7:$I$36,$O22)),""))</f>
        <v>⏳ لسه مفيش حضور</v>
      </c>
      <c r="V22">
        <f>IF($O22="","",IFERROR(CHOOSE(MATCH($F22,الإعدادات!$B$4:$B$7,0),INDEX('حضور سوريال'!$BM$7:$BM$36,$O22),INDEX('حضور غبريال'!$BM$7:$BM$36,$O22),INDEX('حضور رفائيل'!$BM$7:$BM$36,$O22),INDEX('حضور ميخائيل'!$BM$7:$BM$36,$O22)),""))</f>
        <v>0</v>
      </c>
      <c r="W22" t="str">
        <f>IF(OR(V22=3,V22=4),COUNTIFS(V$6:V22,3)+COUNTIFS(V$6:V22,4),"")</f>
        <v/>
      </c>
    </row>
    <row r="23" spans="1:23" ht="25.5" customHeight="1">
      <c r="A23" s="13">
        <f t="shared" si="0"/>
        <v>18</v>
      </c>
      <c r="B23" s="14" t="str">
        <f t="shared" si="1"/>
        <v>B-018</v>
      </c>
      <c r="C23" s="15" t="s">
        <v>139</v>
      </c>
      <c r="D23" s="16" t="s">
        <v>43</v>
      </c>
      <c r="E23" s="16" t="s">
        <v>49</v>
      </c>
      <c r="F23" s="16" t="s">
        <v>48</v>
      </c>
      <c r="G23" s="16"/>
      <c r="H23" s="17" t="s">
        <v>163</v>
      </c>
      <c r="I23" s="17"/>
      <c r="J23" s="18" t="s">
        <v>191</v>
      </c>
      <c r="K23" s="16"/>
      <c r="L23" s="18"/>
      <c r="M23" s="16" t="s">
        <v>46</v>
      </c>
      <c r="N23" s="19" t="str">
        <f t="shared" si="2"/>
        <v>غبريال|18</v>
      </c>
      <c r="O23" s="19">
        <f>IF(OR(C23="",F23=""),"",COUNTIFS(F$6:F23,F23,C$6:C23,"&lt;&gt;"))</f>
        <v>18</v>
      </c>
      <c r="P23" s="20">
        <f>IF($O23="","",IFERROR(CHOOSE(MATCH($F23,الإعدادات!$B$4:$B$7,0),INDEX('حضور سوريال'!$C$7:$C$36,$O23),INDEX('حضور غبريال'!$C$7:$C$36,$O23),INDEX('حضور رفائيل'!$C$7:$C$36,$O23),INDEX('حضور ميخائيل'!$C$7:$C$36,$O23)),""))</f>
        <v>0</v>
      </c>
      <c r="Q23" s="20">
        <f>IF($O23="","",IFERROR(CHOOSE(MATCH($F23,الإعدادات!$B$4:$B$7,0),INDEX('حضور سوريال'!$D$7:$D$36,$O23),INDEX('حضور غبريال'!$D$7:$D$36,$O23),INDEX('حضور رفائيل'!$D$7:$D$36,$O23),INDEX('حضور ميخائيل'!$D$7:$D$36,$O23)),""))</f>
        <v>0</v>
      </c>
      <c r="R23" s="21" t="str">
        <f>IF($O23="","",IFERROR(CHOOSE(MATCH($F23,الإعدادات!$B$4:$B$7,0),INDEX('حضور سوريال'!$F$7:$F$36,$O23),INDEX('حضور غبريال'!$F$7:$F$36,$O23),INDEX('حضور رفائيل'!$F$7:$F$36,$O23),INDEX('حضور ميخائيل'!$F$7:$F$36,$O23)),""))</f>
        <v/>
      </c>
      <c r="S23" s="20">
        <f>IF($O23="","",IFERROR(CHOOSE(MATCH($F23,الإعدادات!$B$4:$B$7,0),INDEX('حضور سوريال'!$G$7:$G$36,$O23),INDEX('حضور غبريال'!$G$7:$G$36,$O23),INDEX('حضور رفائيل'!$G$7:$G$36,$O23),INDEX('حضور ميخائيل'!$G$7:$G$36,$O23)),""))</f>
        <v>0</v>
      </c>
      <c r="T23" s="22" t="str">
        <f>IF($O23="","",IFERROR(CHOOSE(MATCH($F23,الإعدادات!$B$4:$B$7,0),INDEX('حضور سوريال'!$H$7:$H$36,$O23),INDEX('حضور غبريال'!$H$7:$H$36,$O23),INDEX('حضور رفائيل'!$H$7:$H$36,$O23),INDEX('حضور ميخائيل'!$H$7:$H$36,$O23)),""))</f>
        <v>—</v>
      </c>
      <c r="U23" s="23" t="str">
        <f>IF($O23="","",IFERROR(CHOOSE(MATCH($F23,الإعدادات!$B$4:$B$7,0),INDEX('حضور سوريال'!$I$7:$I$36,$O23),INDEX('حضور غبريال'!$I$7:$I$36,$O23),INDEX('حضور رفائيل'!$I$7:$I$36,$O23),INDEX('حضور ميخائيل'!$I$7:$I$36,$O23)),""))</f>
        <v>⏳ لسه مفيش حضور</v>
      </c>
      <c r="V23">
        <f>IF($O23="","",IFERROR(CHOOSE(MATCH($F23,الإعدادات!$B$4:$B$7,0),INDEX('حضور سوريال'!$BM$7:$BM$36,$O23),INDEX('حضور غبريال'!$BM$7:$BM$36,$O23),INDEX('حضور رفائيل'!$BM$7:$BM$36,$O23),INDEX('حضور ميخائيل'!$BM$7:$BM$36,$O23)),""))</f>
        <v>0</v>
      </c>
      <c r="W23" t="str">
        <f>IF(OR(V23=3,V23=4),COUNTIFS(V$6:V23,3)+COUNTIFS(V$6:V23,4),"")</f>
        <v/>
      </c>
    </row>
    <row r="24" spans="1:23" ht="25.5" customHeight="1">
      <c r="A24" s="13">
        <f t="shared" si="0"/>
        <v>19</v>
      </c>
      <c r="B24" s="14" t="str">
        <f t="shared" si="1"/>
        <v>B-019</v>
      </c>
      <c r="C24" s="15" t="s">
        <v>140</v>
      </c>
      <c r="D24" s="16" t="s">
        <v>47</v>
      </c>
      <c r="E24" s="16" t="s">
        <v>49</v>
      </c>
      <c r="F24" s="16" t="s">
        <v>48</v>
      </c>
      <c r="G24" s="16"/>
      <c r="H24" s="17" t="s">
        <v>164</v>
      </c>
      <c r="I24" s="17"/>
      <c r="J24" s="18" t="s">
        <v>192</v>
      </c>
      <c r="K24" s="16" t="e" vm="11">
        <v>#VALUE!</v>
      </c>
      <c r="L24" s="18"/>
      <c r="M24" s="16" t="s">
        <v>46</v>
      </c>
      <c r="N24" s="19" t="str">
        <f t="shared" si="2"/>
        <v>غبريال|19</v>
      </c>
      <c r="O24" s="19">
        <f>IF(OR(C24="",F24=""),"",COUNTIFS(F$6:F24,F24,C$6:C24,"&lt;&gt;"))</f>
        <v>19</v>
      </c>
      <c r="P24" s="20">
        <f>IF($O24="","",IFERROR(CHOOSE(MATCH($F24,الإعدادات!$B$4:$B$7,0),INDEX('حضور سوريال'!$C$7:$C$36,$O24),INDEX('حضور غبريال'!$C$7:$C$36,$O24),INDEX('حضور رفائيل'!$C$7:$C$36,$O24),INDEX('حضور ميخائيل'!$C$7:$C$36,$O24)),""))</f>
        <v>0</v>
      </c>
      <c r="Q24" s="20">
        <f>IF($O24="","",IFERROR(CHOOSE(MATCH($F24,الإعدادات!$B$4:$B$7,0),INDEX('حضور سوريال'!$D$7:$D$36,$O24),INDEX('حضور غبريال'!$D$7:$D$36,$O24),INDEX('حضور رفائيل'!$D$7:$D$36,$O24),INDEX('حضور ميخائيل'!$D$7:$D$36,$O24)),""))</f>
        <v>0</v>
      </c>
      <c r="R24" s="21" t="str">
        <f>IF($O24="","",IFERROR(CHOOSE(MATCH($F24,الإعدادات!$B$4:$B$7,0),INDEX('حضور سوريال'!$F$7:$F$36,$O24),INDEX('حضور غبريال'!$F$7:$F$36,$O24),INDEX('حضور رفائيل'!$F$7:$F$36,$O24),INDEX('حضور ميخائيل'!$F$7:$F$36,$O24)),""))</f>
        <v/>
      </c>
      <c r="S24" s="20">
        <f>IF($O24="","",IFERROR(CHOOSE(MATCH($F24,الإعدادات!$B$4:$B$7,0),INDEX('حضور سوريال'!$G$7:$G$36,$O24),INDEX('حضور غبريال'!$G$7:$G$36,$O24),INDEX('حضور رفائيل'!$G$7:$G$36,$O24),INDEX('حضور ميخائيل'!$G$7:$G$36,$O24)),""))</f>
        <v>0</v>
      </c>
      <c r="T24" s="22" t="str">
        <f>IF($O24="","",IFERROR(CHOOSE(MATCH($F24,الإعدادات!$B$4:$B$7,0),INDEX('حضور سوريال'!$H$7:$H$36,$O24),INDEX('حضور غبريال'!$H$7:$H$36,$O24),INDEX('حضور رفائيل'!$H$7:$H$36,$O24),INDEX('حضور ميخائيل'!$H$7:$H$36,$O24)),""))</f>
        <v>—</v>
      </c>
      <c r="U24" s="23" t="str">
        <f>IF($O24="","",IFERROR(CHOOSE(MATCH($F24,الإعدادات!$B$4:$B$7,0),INDEX('حضور سوريال'!$I$7:$I$36,$O24),INDEX('حضور غبريال'!$I$7:$I$36,$O24),INDEX('حضور رفائيل'!$I$7:$I$36,$O24),INDEX('حضور ميخائيل'!$I$7:$I$36,$O24)),""))</f>
        <v>⏳ لسه مفيش حضور</v>
      </c>
      <c r="V24">
        <f>IF($O24="","",IFERROR(CHOOSE(MATCH($F24,الإعدادات!$B$4:$B$7,0),INDEX('حضور سوريال'!$BM$7:$BM$36,$O24),INDEX('حضور غبريال'!$BM$7:$BM$36,$O24),INDEX('حضور رفائيل'!$BM$7:$BM$36,$O24),INDEX('حضور ميخائيل'!$BM$7:$BM$36,$O24)),""))</f>
        <v>0</v>
      </c>
      <c r="W24" t="str">
        <f>IF(OR(V24=3,V24=4),COUNTIFS(V$6:V24,3)+COUNTIFS(V$6:V24,4),"")</f>
        <v/>
      </c>
    </row>
    <row r="25" spans="1:23" ht="25.5" customHeight="1">
      <c r="A25" s="13">
        <f t="shared" si="0"/>
        <v>20</v>
      </c>
      <c r="B25" s="14" t="str">
        <f t="shared" si="1"/>
        <v>B-020</v>
      </c>
      <c r="C25" s="15" t="s">
        <v>141</v>
      </c>
      <c r="D25" s="16" t="s">
        <v>47</v>
      </c>
      <c r="E25" s="16" t="s">
        <v>49</v>
      </c>
      <c r="F25" s="16" t="s">
        <v>48</v>
      </c>
      <c r="G25" s="16"/>
      <c r="H25" s="17" t="s">
        <v>165</v>
      </c>
      <c r="I25" s="17"/>
      <c r="J25" s="18" t="s">
        <v>193</v>
      </c>
      <c r="K25" s="16" t="e" vm="12">
        <v>#VALUE!</v>
      </c>
      <c r="L25" s="18"/>
      <c r="M25" s="16" t="s">
        <v>46</v>
      </c>
      <c r="N25" s="19" t="str">
        <f t="shared" si="2"/>
        <v>غبريال|20</v>
      </c>
      <c r="O25" s="19">
        <f>IF(OR(C25="",F25=""),"",COUNTIFS(F$6:F25,F25,C$6:C25,"&lt;&gt;"))</f>
        <v>20</v>
      </c>
      <c r="P25" s="20">
        <f>IF($O25="","",IFERROR(CHOOSE(MATCH($F25,الإعدادات!$B$4:$B$7,0),INDEX('حضور سوريال'!$C$7:$C$36,$O25),INDEX('حضور غبريال'!$C$7:$C$36,$O25),INDEX('حضور رفائيل'!$C$7:$C$36,$O25),INDEX('حضور ميخائيل'!$C$7:$C$36,$O25)),""))</f>
        <v>0</v>
      </c>
      <c r="Q25" s="20">
        <f>IF($O25="","",IFERROR(CHOOSE(MATCH($F25,الإعدادات!$B$4:$B$7,0),INDEX('حضور سوريال'!$D$7:$D$36,$O25),INDEX('حضور غبريال'!$D$7:$D$36,$O25),INDEX('حضور رفائيل'!$D$7:$D$36,$O25),INDEX('حضور ميخائيل'!$D$7:$D$36,$O25)),""))</f>
        <v>0</v>
      </c>
      <c r="R25" s="21" t="str">
        <f>IF($O25="","",IFERROR(CHOOSE(MATCH($F25,الإعدادات!$B$4:$B$7,0),INDEX('حضور سوريال'!$F$7:$F$36,$O25),INDEX('حضور غبريال'!$F$7:$F$36,$O25),INDEX('حضور رفائيل'!$F$7:$F$36,$O25),INDEX('حضور ميخائيل'!$F$7:$F$36,$O25)),""))</f>
        <v/>
      </c>
      <c r="S25" s="20">
        <f>IF($O25="","",IFERROR(CHOOSE(MATCH($F25,الإعدادات!$B$4:$B$7,0),INDEX('حضور سوريال'!$G$7:$G$36,$O25),INDEX('حضور غبريال'!$G$7:$G$36,$O25),INDEX('حضور رفائيل'!$G$7:$G$36,$O25),INDEX('حضور ميخائيل'!$G$7:$G$36,$O25)),""))</f>
        <v>0</v>
      </c>
      <c r="T25" s="22" t="str">
        <f>IF($O25="","",IFERROR(CHOOSE(MATCH($F25,الإعدادات!$B$4:$B$7,0),INDEX('حضور سوريال'!$H$7:$H$36,$O25),INDEX('حضور غبريال'!$H$7:$H$36,$O25),INDEX('حضور رفائيل'!$H$7:$H$36,$O25),INDEX('حضور ميخائيل'!$H$7:$H$36,$O25)),""))</f>
        <v>—</v>
      </c>
      <c r="U25" s="23" t="str">
        <f>IF($O25="","",IFERROR(CHOOSE(MATCH($F25,الإعدادات!$B$4:$B$7,0),INDEX('حضور سوريال'!$I$7:$I$36,$O25),INDEX('حضور غبريال'!$I$7:$I$36,$O25),INDEX('حضور رفائيل'!$I$7:$I$36,$O25),INDEX('حضور ميخائيل'!$I$7:$I$36,$O25)),""))</f>
        <v>⏳ لسه مفيش حضور</v>
      </c>
      <c r="V25">
        <f>IF($O25="","",IFERROR(CHOOSE(MATCH($F25,الإعدادات!$B$4:$B$7,0),INDEX('حضور سوريال'!$BM$7:$BM$36,$O25),INDEX('حضور غبريال'!$BM$7:$BM$36,$O25),INDEX('حضور رفائيل'!$BM$7:$BM$36,$O25),INDEX('حضور ميخائيل'!$BM$7:$BM$36,$O25)),""))</f>
        <v>0</v>
      </c>
      <c r="W25" t="str">
        <f>IF(OR(V25=3,V25=4),COUNTIFS(V$6:V25,3)+COUNTIFS(V$6:V25,4),"")</f>
        <v/>
      </c>
    </row>
    <row r="26" spans="1:23" ht="25.5" customHeight="1">
      <c r="A26" s="13">
        <f t="shared" si="0"/>
        <v>21</v>
      </c>
      <c r="B26" s="14" t="str">
        <f t="shared" si="1"/>
        <v>B-021</v>
      </c>
      <c r="C26" s="15" t="s">
        <v>142</v>
      </c>
      <c r="D26" s="16" t="s">
        <v>47</v>
      </c>
      <c r="E26" s="16" t="s">
        <v>49</v>
      </c>
      <c r="F26" s="16" t="s">
        <v>48</v>
      </c>
      <c r="G26" s="16"/>
      <c r="H26" s="17" t="s">
        <v>166</v>
      </c>
      <c r="I26" s="17"/>
      <c r="J26" s="18" t="s">
        <v>194</v>
      </c>
      <c r="K26" s="16" t="e" vm="13">
        <v>#VALUE!</v>
      </c>
      <c r="L26" s="18"/>
      <c r="M26" s="16" t="s">
        <v>46</v>
      </c>
      <c r="N26" s="19" t="str">
        <f t="shared" si="2"/>
        <v>غبريال|21</v>
      </c>
      <c r="O26" s="19">
        <f>IF(OR(C26="",F26=""),"",COUNTIFS(F$6:F26,F26,C$6:C26,"&lt;&gt;"))</f>
        <v>21</v>
      </c>
      <c r="P26" s="20">
        <f>IF($O26="","",IFERROR(CHOOSE(MATCH($F26,الإعدادات!$B$4:$B$7,0),INDEX('حضور سوريال'!$C$7:$C$36,$O26),INDEX('حضور غبريال'!$C$7:$C$36,$O26),INDEX('حضور رفائيل'!$C$7:$C$36,$O26),INDEX('حضور ميخائيل'!$C$7:$C$36,$O26)),""))</f>
        <v>0</v>
      </c>
      <c r="Q26" s="20">
        <f>IF($O26="","",IFERROR(CHOOSE(MATCH($F26,الإعدادات!$B$4:$B$7,0),INDEX('حضور سوريال'!$D$7:$D$36,$O26),INDEX('حضور غبريال'!$D$7:$D$36,$O26),INDEX('حضور رفائيل'!$D$7:$D$36,$O26),INDEX('حضور ميخائيل'!$D$7:$D$36,$O26)),""))</f>
        <v>0</v>
      </c>
      <c r="R26" s="21" t="str">
        <f>IF($O26="","",IFERROR(CHOOSE(MATCH($F26,الإعدادات!$B$4:$B$7,0),INDEX('حضور سوريال'!$F$7:$F$36,$O26),INDEX('حضور غبريال'!$F$7:$F$36,$O26),INDEX('حضور رفائيل'!$F$7:$F$36,$O26),INDEX('حضور ميخائيل'!$F$7:$F$36,$O26)),""))</f>
        <v/>
      </c>
      <c r="S26" s="20">
        <f>IF($O26="","",IFERROR(CHOOSE(MATCH($F26,الإعدادات!$B$4:$B$7,0),INDEX('حضور سوريال'!$G$7:$G$36,$O26),INDEX('حضور غبريال'!$G$7:$G$36,$O26),INDEX('حضور رفائيل'!$G$7:$G$36,$O26),INDEX('حضور ميخائيل'!$G$7:$G$36,$O26)),""))</f>
        <v>0</v>
      </c>
      <c r="T26" s="22" t="str">
        <f>IF($O26="","",IFERROR(CHOOSE(MATCH($F26,الإعدادات!$B$4:$B$7,0),INDEX('حضور سوريال'!$H$7:$H$36,$O26),INDEX('حضور غبريال'!$H$7:$H$36,$O26),INDEX('حضور رفائيل'!$H$7:$H$36,$O26),INDEX('حضور ميخائيل'!$H$7:$H$36,$O26)),""))</f>
        <v>—</v>
      </c>
      <c r="U26" s="23" t="str">
        <f>IF($O26="","",IFERROR(CHOOSE(MATCH($F26,الإعدادات!$B$4:$B$7,0),INDEX('حضور سوريال'!$I$7:$I$36,$O26),INDEX('حضور غبريال'!$I$7:$I$36,$O26),INDEX('حضور رفائيل'!$I$7:$I$36,$O26),INDEX('حضور ميخائيل'!$I$7:$I$36,$O26)),""))</f>
        <v>⏳ لسه مفيش حضور</v>
      </c>
      <c r="V26">
        <f>IF($O26="","",IFERROR(CHOOSE(MATCH($F26,الإعدادات!$B$4:$B$7,0),INDEX('حضور سوريال'!$BM$7:$BM$36,$O26),INDEX('حضور غبريال'!$BM$7:$BM$36,$O26),INDEX('حضور رفائيل'!$BM$7:$BM$36,$O26),INDEX('حضور ميخائيل'!$BM$7:$BM$36,$O26)),""))</f>
        <v>0</v>
      </c>
      <c r="W26" t="str">
        <f>IF(OR(V26=3,V26=4),COUNTIFS(V$6:V26,3)+COUNTIFS(V$6:V26,4),"")</f>
        <v/>
      </c>
    </row>
    <row r="27" spans="1:23" ht="25.5" customHeight="1">
      <c r="A27" s="13">
        <f t="shared" si="0"/>
        <v>22</v>
      </c>
      <c r="B27" s="14" t="str">
        <f t="shared" si="1"/>
        <v>B-022</v>
      </c>
      <c r="C27" s="15" t="s">
        <v>143</v>
      </c>
      <c r="D27" s="16" t="s">
        <v>47</v>
      </c>
      <c r="E27" s="16" t="s">
        <v>49</v>
      </c>
      <c r="F27" s="16" t="s">
        <v>48</v>
      </c>
      <c r="G27" s="16"/>
      <c r="H27" s="17" t="s">
        <v>167</v>
      </c>
      <c r="I27" s="17"/>
      <c r="J27" s="18" t="s">
        <v>195</v>
      </c>
      <c r="K27" s="16" t="e" vm="14">
        <v>#VALUE!</v>
      </c>
      <c r="L27" s="18"/>
      <c r="M27" s="16" t="s">
        <v>46</v>
      </c>
      <c r="N27" s="19" t="str">
        <f t="shared" si="2"/>
        <v>غبريال|22</v>
      </c>
      <c r="O27" s="19">
        <f>IF(OR(C27="",F27=""),"",COUNTIFS(F$6:F27,F27,C$6:C27,"&lt;&gt;"))</f>
        <v>22</v>
      </c>
      <c r="P27" s="20">
        <f>IF($O27="","",IFERROR(CHOOSE(MATCH($F27,الإعدادات!$B$4:$B$7,0),INDEX('حضور سوريال'!$C$7:$C$36,$O27),INDEX('حضور غبريال'!$C$7:$C$36,$O27),INDEX('حضور رفائيل'!$C$7:$C$36,$O27),INDEX('حضور ميخائيل'!$C$7:$C$36,$O27)),""))</f>
        <v>0</v>
      </c>
      <c r="Q27" s="20">
        <f>IF($O27="","",IFERROR(CHOOSE(MATCH($F27,الإعدادات!$B$4:$B$7,0),INDEX('حضور سوريال'!$D$7:$D$36,$O27),INDEX('حضور غبريال'!$D$7:$D$36,$O27),INDEX('حضور رفائيل'!$D$7:$D$36,$O27),INDEX('حضور ميخائيل'!$D$7:$D$36,$O27)),""))</f>
        <v>0</v>
      </c>
      <c r="R27" s="21" t="str">
        <f>IF($O27="","",IFERROR(CHOOSE(MATCH($F27,الإعدادات!$B$4:$B$7,0),INDEX('حضور سوريال'!$F$7:$F$36,$O27),INDEX('حضور غبريال'!$F$7:$F$36,$O27),INDEX('حضور رفائيل'!$F$7:$F$36,$O27),INDEX('حضور ميخائيل'!$F$7:$F$36,$O27)),""))</f>
        <v/>
      </c>
      <c r="S27" s="20">
        <f>IF($O27="","",IFERROR(CHOOSE(MATCH($F27,الإعدادات!$B$4:$B$7,0),INDEX('حضور سوريال'!$G$7:$G$36,$O27),INDEX('حضور غبريال'!$G$7:$G$36,$O27),INDEX('حضور رفائيل'!$G$7:$G$36,$O27),INDEX('حضور ميخائيل'!$G$7:$G$36,$O27)),""))</f>
        <v>0</v>
      </c>
      <c r="T27" s="22" t="str">
        <f>IF($O27="","",IFERROR(CHOOSE(MATCH($F27,الإعدادات!$B$4:$B$7,0),INDEX('حضور سوريال'!$H$7:$H$36,$O27),INDEX('حضور غبريال'!$H$7:$H$36,$O27),INDEX('حضور رفائيل'!$H$7:$H$36,$O27),INDEX('حضور ميخائيل'!$H$7:$H$36,$O27)),""))</f>
        <v>—</v>
      </c>
      <c r="U27" s="23" t="str">
        <f>IF($O27="","",IFERROR(CHOOSE(MATCH($F27,الإعدادات!$B$4:$B$7,0),INDEX('حضور سوريال'!$I$7:$I$36,$O27),INDEX('حضور غبريال'!$I$7:$I$36,$O27),INDEX('حضور رفائيل'!$I$7:$I$36,$O27),INDEX('حضور ميخائيل'!$I$7:$I$36,$O27)),""))</f>
        <v>⏳ لسه مفيش حضور</v>
      </c>
      <c r="V27">
        <f>IF($O27="","",IFERROR(CHOOSE(MATCH($F27,الإعدادات!$B$4:$B$7,0),INDEX('حضور سوريال'!$BM$7:$BM$36,$O27),INDEX('حضور غبريال'!$BM$7:$BM$36,$O27),INDEX('حضور رفائيل'!$BM$7:$BM$36,$O27),INDEX('حضور ميخائيل'!$BM$7:$BM$36,$O27)),""))</f>
        <v>0</v>
      </c>
      <c r="W27" t="str">
        <f>IF(OR(V27=3,V27=4),COUNTIFS(V$6:V27,3)+COUNTIFS(V$6:V27,4),"")</f>
        <v/>
      </c>
    </row>
    <row r="28" spans="1:23" ht="25.5" customHeight="1">
      <c r="A28" s="13">
        <f t="shared" si="0"/>
        <v>23</v>
      </c>
      <c r="B28" s="14" t="str">
        <f t="shared" si="1"/>
        <v>B-023</v>
      </c>
      <c r="C28" s="15" t="s">
        <v>144</v>
      </c>
      <c r="D28" s="16" t="s">
        <v>47</v>
      </c>
      <c r="E28" s="16" t="s">
        <v>49</v>
      </c>
      <c r="F28" s="16" t="s">
        <v>48</v>
      </c>
      <c r="G28" s="16"/>
      <c r="H28" s="17" t="s">
        <v>168</v>
      </c>
      <c r="I28" s="17"/>
      <c r="J28" s="18" t="s">
        <v>196</v>
      </c>
      <c r="K28" s="16"/>
      <c r="L28" s="18"/>
      <c r="M28" s="16" t="s">
        <v>46</v>
      </c>
      <c r="N28" s="19" t="str">
        <f t="shared" si="2"/>
        <v>غبريال|23</v>
      </c>
      <c r="O28" s="19">
        <f>IF(OR(C28="",F28=""),"",COUNTIFS(F$6:F28,F28,C$6:C28,"&lt;&gt;"))</f>
        <v>23</v>
      </c>
      <c r="P28" s="20">
        <f>IF($O28="","",IFERROR(CHOOSE(MATCH($F28,الإعدادات!$B$4:$B$7,0),INDEX('حضور سوريال'!$C$7:$C$36,$O28),INDEX('حضور غبريال'!$C$7:$C$36,$O28),INDEX('حضور رفائيل'!$C$7:$C$36,$O28),INDEX('حضور ميخائيل'!$C$7:$C$36,$O28)),""))</f>
        <v>0</v>
      </c>
      <c r="Q28" s="20">
        <f>IF($O28="","",IFERROR(CHOOSE(MATCH($F28,الإعدادات!$B$4:$B$7,0),INDEX('حضور سوريال'!$D$7:$D$36,$O28),INDEX('حضور غبريال'!$D$7:$D$36,$O28),INDEX('حضور رفائيل'!$D$7:$D$36,$O28),INDEX('حضور ميخائيل'!$D$7:$D$36,$O28)),""))</f>
        <v>0</v>
      </c>
      <c r="R28" s="21" t="str">
        <f>IF($O28="","",IFERROR(CHOOSE(MATCH($F28,الإعدادات!$B$4:$B$7,0),INDEX('حضور سوريال'!$F$7:$F$36,$O28),INDEX('حضور غبريال'!$F$7:$F$36,$O28),INDEX('حضور رفائيل'!$F$7:$F$36,$O28),INDEX('حضور ميخائيل'!$F$7:$F$36,$O28)),""))</f>
        <v/>
      </c>
      <c r="S28" s="20">
        <f>IF($O28="","",IFERROR(CHOOSE(MATCH($F28,الإعدادات!$B$4:$B$7,0),INDEX('حضور سوريال'!$G$7:$G$36,$O28),INDEX('حضور غبريال'!$G$7:$G$36,$O28),INDEX('حضور رفائيل'!$G$7:$G$36,$O28),INDEX('حضور ميخائيل'!$G$7:$G$36,$O28)),""))</f>
        <v>0</v>
      </c>
      <c r="T28" s="22" t="str">
        <f>IF($O28="","",IFERROR(CHOOSE(MATCH($F28,الإعدادات!$B$4:$B$7,0),INDEX('حضور سوريال'!$H$7:$H$36,$O28),INDEX('حضور غبريال'!$H$7:$H$36,$O28),INDEX('حضور رفائيل'!$H$7:$H$36,$O28),INDEX('حضور ميخائيل'!$H$7:$H$36,$O28)),""))</f>
        <v>—</v>
      </c>
      <c r="U28" s="23" t="str">
        <f>IF($O28="","",IFERROR(CHOOSE(MATCH($F28,الإعدادات!$B$4:$B$7,0),INDEX('حضور سوريال'!$I$7:$I$36,$O28),INDEX('حضور غبريال'!$I$7:$I$36,$O28),INDEX('حضور رفائيل'!$I$7:$I$36,$O28),INDEX('حضور ميخائيل'!$I$7:$I$36,$O28)),""))</f>
        <v>⏳ لسه مفيش حضور</v>
      </c>
      <c r="V28">
        <f>IF($O28="","",IFERROR(CHOOSE(MATCH($F28,الإعدادات!$B$4:$B$7,0),INDEX('حضور سوريال'!$BM$7:$BM$36,$O28),INDEX('حضور غبريال'!$BM$7:$BM$36,$O28),INDEX('حضور رفائيل'!$BM$7:$BM$36,$O28),INDEX('حضور ميخائيل'!$BM$7:$BM$36,$O28)),""))</f>
        <v>0</v>
      </c>
      <c r="W28" t="str">
        <f>IF(OR(V28=3,V28=4),COUNTIFS(V$6:V28,3)+COUNTIFS(V$6:V28,4),"")</f>
        <v/>
      </c>
    </row>
    <row r="29" spans="1:23" ht="25.5" customHeight="1">
      <c r="A29" s="13">
        <f t="shared" si="0"/>
        <v>24</v>
      </c>
      <c r="B29" s="14" t="str">
        <f t="shared" si="1"/>
        <v>B-024</v>
      </c>
      <c r="C29" s="15" t="s">
        <v>145</v>
      </c>
      <c r="D29" s="16" t="s">
        <v>47</v>
      </c>
      <c r="E29" s="16" t="s">
        <v>49</v>
      </c>
      <c r="F29" s="16" t="s">
        <v>48</v>
      </c>
      <c r="G29" s="16"/>
      <c r="H29" s="17" t="s">
        <v>169</v>
      </c>
      <c r="I29" s="17"/>
      <c r="J29" s="18" t="s">
        <v>197</v>
      </c>
      <c r="K29" s="16"/>
      <c r="L29" s="18"/>
      <c r="M29" s="16" t="s">
        <v>46</v>
      </c>
      <c r="N29" s="19" t="str">
        <f t="shared" si="2"/>
        <v>غبريال|24</v>
      </c>
      <c r="O29" s="19">
        <f>IF(OR(C29="",F29=""),"",COUNTIFS(F$6:F29,F29,C$6:C29,"&lt;&gt;"))</f>
        <v>24</v>
      </c>
      <c r="P29" s="20">
        <f>IF($O29="","",IFERROR(CHOOSE(MATCH($F29,الإعدادات!$B$4:$B$7,0),INDEX('حضور سوريال'!$C$7:$C$36,$O29),INDEX('حضور غبريال'!$C$7:$C$36,$O29),INDEX('حضور رفائيل'!$C$7:$C$36,$O29),INDEX('حضور ميخائيل'!$C$7:$C$36,$O29)),""))</f>
        <v>0</v>
      </c>
      <c r="Q29" s="20">
        <f>IF($O29="","",IFERROR(CHOOSE(MATCH($F29,الإعدادات!$B$4:$B$7,0),INDEX('حضور سوريال'!$D$7:$D$36,$O29),INDEX('حضور غبريال'!$D$7:$D$36,$O29),INDEX('حضور رفائيل'!$D$7:$D$36,$O29),INDEX('حضور ميخائيل'!$D$7:$D$36,$O29)),""))</f>
        <v>0</v>
      </c>
      <c r="R29" s="21" t="str">
        <f>IF($O29="","",IFERROR(CHOOSE(MATCH($F29,الإعدادات!$B$4:$B$7,0),INDEX('حضور سوريال'!$F$7:$F$36,$O29),INDEX('حضور غبريال'!$F$7:$F$36,$O29),INDEX('حضور رفائيل'!$F$7:$F$36,$O29),INDEX('حضور ميخائيل'!$F$7:$F$36,$O29)),""))</f>
        <v/>
      </c>
      <c r="S29" s="20">
        <f>IF($O29="","",IFERROR(CHOOSE(MATCH($F29,الإعدادات!$B$4:$B$7,0),INDEX('حضور سوريال'!$G$7:$G$36,$O29),INDEX('حضور غبريال'!$G$7:$G$36,$O29),INDEX('حضور رفائيل'!$G$7:$G$36,$O29),INDEX('حضور ميخائيل'!$G$7:$G$36,$O29)),""))</f>
        <v>0</v>
      </c>
      <c r="T29" s="22" t="str">
        <f>IF($O29="","",IFERROR(CHOOSE(MATCH($F29,الإعدادات!$B$4:$B$7,0),INDEX('حضور سوريال'!$H$7:$H$36,$O29),INDEX('حضور غبريال'!$H$7:$H$36,$O29),INDEX('حضور رفائيل'!$H$7:$H$36,$O29),INDEX('حضور ميخائيل'!$H$7:$H$36,$O29)),""))</f>
        <v>—</v>
      </c>
      <c r="U29" s="23" t="str">
        <f>IF($O29="","",IFERROR(CHOOSE(MATCH($F29,الإعدادات!$B$4:$B$7,0),INDEX('حضور سوريال'!$I$7:$I$36,$O29),INDEX('حضور غبريال'!$I$7:$I$36,$O29),INDEX('حضور رفائيل'!$I$7:$I$36,$O29),INDEX('حضور ميخائيل'!$I$7:$I$36,$O29)),""))</f>
        <v>⏳ لسه مفيش حضور</v>
      </c>
      <c r="V29">
        <f>IF($O29="","",IFERROR(CHOOSE(MATCH($F29,الإعدادات!$B$4:$B$7,0),INDEX('حضور سوريال'!$BM$7:$BM$36,$O29),INDEX('حضور غبريال'!$BM$7:$BM$36,$O29),INDEX('حضور رفائيل'!$BM$7:$BM$36,$O29),INDEX('حضور ميخائيل'!$BM$7:$BM$36,$O29)),""))</f>
        <v>0</v>
      </c>
      <c r="W29" t="str">
        <f>IF(OR(V29=3,V29=4),COUNTIFS(V$6:V29,3)+COUNTIFS(V$6:V29,4),"")</f>
        <v/>
      </c>
    </row>
    <row r="30" spans="1:23" ht="25.5" customHeight="1">
      <c r="A30" s="13">
        <f t="shared" si="0"/>
        <v>25</v>
      </c>
      <c r="B30" s="14" t="str">
        <f t="shared" si="1"/>
        <v>B-025</v>
      </c>
      <c r="C30" s="15" t="s">
        <v>198</v>
      </c>
      <c r="D30" s="16" t="s">
        <v>47</v>
      </c>
      <c r="E30" s="16" t="s">
        <v>49</v>
      </c>
      <c r="F30" s="16" t="s">
        <v>45</v>
      </c>
      <c r="G30" s="16"/>
      <c r="H30" s="17" t="s">
        <v>236</v>
      </c>
      <c r="I30" s="17" t="s">
        <v>236</v>
      </c>
      <c r="J30" s="18" t="s">
        <v>259</v>
      </c>
      <c r="K30" s="16" t="e" vm="15">
        <v>#VALUE!</v>
      </c>
      <c r="L30" s="18"/>
      <c r="M30" s="16" t="s">
        <v>46</v>
      </c>
      <c r="N30" s="19" t="str">
        <f t="shared" si="2"/>
        <v>سوريال|1</v>
      </c>
      <c r="O30" s="19">
        <f>IF(OR(C30="",F30=""),"",COUNTIFS(F$6:F30,F30,C$6:C30,"&lt;&gt;"))</f>
        <v>1</v>
      </c>
      <c r="P30" s="20">
        <f>IF($O30="","",IFERROR(CHOOSE(MATCH($F30,الإعدادات!$B$4:$B$7,0),INDEX('حضور سوريال'!$C$7:$C$36,$O30),INDEX('حضور غبريال'!$C$7:$C$36,$O30),INDEX('حضور رفائيل'!$C$7:$C$36,$O30),INDEX('حضور ميخائيل'!$C$7:$C$36,$O30)),""))</f>
        <v>0</v>
      </c>
      <c r="Q30" s="20">
        <f>IF($O30="","",IFERROR(CHOOSE(MATCH($F30,الإعدادات!$B$4:$B$7,0),INDEX('حضور سوريال'!$D$7:$D$36,$O30),INDEX('حضور غبريال'!$D$7:$D$36,$O30),INDEX('حضور رفائيل'!$D$7:$D$36,$O30),INDEX('حضور ميخائيل'!$D$7:$D$36,$O30)),""))</f>
        <v>0</v>
      </c>
      <c r="R30" s="21" t="str">
        <f>IF($O30="","",IFERROR(CHOOSE(MATCH($F30,الإعدادات!$B$4:$B$7,0),INDEX('حضور سوريال'!$F$7:$F$36,$O30),INDEX('حضور غبريال'!$F$7:$F$36,$O30),INDEX('حضور رفائيل'!$F$7:$F$36,$O30),INDEX('حضور ميخائيل'!$F$7:$F$36,$O30)),""))</f>
        <v/>
      </c>
      <c r="S30" s="20">
        <f>IF($O30="","",IFERROR(CHOOSE(MATCH($F30,الإعدادات!$B$4:$B$7,0),INDEX('حضور سوريال'!$G$7:$G$36,$O30),INDEX('حضور غبريال'!$G$7:$G$36,$O30),INDEX('حضور رفائيل'!$G$7:$G$36,$O30),INDEX('حضور ميخائيل'!$G$7:$G$36,$O30)),""))</f>
        <v>0</v>
      </c>
      <c r="T30" s="22" t="str">
        <f>IF($O30="","",IFERROR(CHOOSE(MATCH($F30,الإعدادات!$B$4:$B$7,0),INDEX('حضور سوريال'!$H$7:$H$36,$O30),INDEX('حضور غبريال'!$H$7:$H$36,$O30),INDEX('حضور رفائيل'!$H$7:$H$36,$O30),INDEX('حضور ميخائيل'!$H$7:$H$36,$O30)),""))</f>
        <v>—</v>
      </c>
      <c r="U30" s="23" t="str">
        <f>IF($O30="","",IFERROR(CHOOSE(MATCH($F30,الإعدادات!$B$4:$B$7,0),INDEX('حضور سوريال'!$I$7:$I$36,$O30),INDEX('حضور غبريال'!$I$7:$I$36,$O30),INDEX('حضور رفائيل'!$I$7:$I$36,$O30),INDEX('حضور ميخائيل'!$I$7:$I$36,$O30)),""))</f>
        <v>⏳ لسه مفيش حضور</v>
      </c>
      <c r="V30">
        <f>IF($O30="","",IFERROR(CHOOSE(MATCH($F30,الإعدادات!$B$4:$B$7,0),INDEX('حضور سوريال'!$BM$7:$BM$36,$O30),INDEX('حضور غبريال'!$BM$7:$BM$36,$O30),INDEX('حضور رفائيل'!$BM$7:$BM$36,$O30),INDEX('حضور ميخائيل'!$BM$7:$BM$36,$O30)),""))</f>
        <v>0</v>
      </c>
      <c r="W30" t="str">
        <f>IF(OR(V30=3,V30=4),COUNTIFS(V$6:V30,3)+COUNTIFS(V$6:V30,4),"")</f>
        <v/>
      </c>
    </row>
    <row r="31" spans="1:23" ht="25.5" customHeight="1">
      <c r="A31" s="13">
        <f t="shared" si="0"/>
        <v>26</v>
      </c>
      <c r="B31" s="14" t="str">
        <f t="shared" si="1"/>
        <v>B-026</v>
      </c>
      <c r="C31" s="15" t="s">
        <v>199</v>
      </c>
      <c r="D31" s="16" t="s">
        <v>43</v>
      </c>
      <c r="E31" s="16" t="s">
        <v>49</v>
      </c>
      <c r="F31" s="16" t="s">
        <v>45</v>
      </c>
      <c r="G31" s="16"/>
      <c r="H31" s="17" t="s">
        <v>221</v>
      </c>
      <c r="I31" s="17" t="s">
        <v>221</v>
      </c>
      <c r="J31" s="18" t="s">
        <v>260</v>
      </c>
      <c r="K31" s="16"/>
      <c r="L31" s="18"/>
      <c r="M31" s="16" t="s">
        <v>46</v>
      </c>
      <c r="N31" s="19" t="str">
        <f t="shared" si="2"/>
        <v>سوريال|2</v>
      </c>
      <c r="O31" s="19">
        <f>IF(OR(C31="",F31=""),"",COUNTIFS(F$6:F31,F31,C$6:C31,"&lt;&gt;"))</f>
        <v>2</v>
      </c>
      <c r="P31" s="20">
        <f>IF($O31="","",IFERROR(CHOOSE(MATCH($F31,الإعدادات!$B$4:$B$7,0),INDEX('حضور سوريال'!$C$7:$C$36,$O31),INDEX('حضور غبريال'!$C$7:$C$36,$O31),INDEX('حضور رفائيل'!$C$7:$C$36,$O31),INDEX('حضور ميخائيل'!$C$7:$C$36,$O31)),""))</f>
        <v>0</v>
      </c>
      <c r="Q31" s="20">
        <f>IF($O31="","",IFERROR(CHOOSE(MATCH($F31,الإعدادات!$B$4:$B$7,0),INDEX('حضور سوريال'!$D$7:$D$36,$O31),INDEX('حضور غبريال'!$D$7:$D$36,$O31),INDEX('حضور رفائيل'!$D$7:$D$36,$O31),INDEX('حضور ميخائيل'!$D$7:$D$36,$O31)),""))</f>
        <v>0</v>
      </c>
      <c r="R31" s="21" t="str">
        <f>IF($O31="","",IFERROR(CHOOSE(MATCH($F31,الإعدادات!$B$4:$B$7,0),INDEX('حضور سوريال'!$F$7:$F$36,$O31),INDEX('حضور غبريال'!$F$7:$F$36,$O31),INDEX('حضور رفائيل'!$F$7:$F$36,$O31),INDEX('حضور ميخائيل'!$F$7:$F$36,$O31)),""))</f>
        <v/>
      </c>
      <c r="S31" s="20">
        <f>IF($O31="","",IFERROR(CHOOSE(MATCH($F31,الإعدادات!$B$4:$B$7,0),INDEX('حضور سوريال'!$G$7:$G$36,$O31),INDEX('حضور غبريال'!$G$7:$G$36,$O31),INDEX('حضور رفائيل'!$G$7:$G$36,$O31),INDEX('حضور ميخائيل'!$G$7:$G$36,$O31)),""))</f>
        <v>0</v>
      </c>
      <c r="T31" s="22" t="str">
        <f>IF($O31="","",IFERROR(CHOOSE(MATCH($F31,الإعدادات!$B$4:$B$7,0),INDEX('حضور سوريال'!$H$7:$H$36,$O31),INDEX('حضور غبريال'!$H$7:$H$36,$O31),INDEX('حضور رفائيل'!$H$7:$H$36,$O31),INDEX('حضور ميخائيل'!$H$7:$H$36,$O31)),""))</f>
        <v>—</v>
      </c>
      <c r="U31" s="23" t="str">
        <f>IF($O31="","",IFERROR(CHOOSE(MATCH($F31,الإعدادات!$B$4:$B$7,0),INDEX('حضور سوريال'!$I$7:$I$36,$O31),INDEX('حضور غبريال'!$I$7:$I$36,$O31),INDEX('حضور رفائيل'!$I$7:$I$36,$O31),INDEX('حضور ميخائيل'!$I$7:$I$36,$O31)),""))</f>
        <v>⏳ لسه مفيش حضور</v>
      </c>
      <c r="V31">
        <f>IF($O31="","",IFERROR(CHOOSE(MATCH($F31,الإعدادات!$B$4:$B$7,0),INDEX('حضور سوريال'!$BM$7:$BM$36,$O31),INDEX('حضور غبريال'!$BM$7:$BM$36,$O31),INDEX('حضور رفائيل'!$BM$7:$BM$36,$O31),INDEX('حضور ميخائيل'!$BM$7:$BM$36,$O31)),""))</f>
        <v>0</v>
      </c>
      <c r="W31" t="str">
        <f>IF(OR(V31=3,V31=4),COUNTIFS(V$6:V31,3)+COUNTIFS(V$6:V31,4),"")</f>
        <v/>
      </c>
    </row>
    <row r="32" spans="1:23" ht="25.5" customHeight="1">
      <c r="A32" s="13">
        <f t="shared" si="0"/>
        <v>27</v>
      </c>
      <c r="B32" s="14" t="str">
        <f t="shared" si="1"/>
        <v>B-027</v>
      </c>
      <c r="C32" s="15" t="s">
        <v>200</v>
      </c>
      <c r="D32" s="16" t="s">
        <v>47</v>
      </c>
      <c r="E32" s="16" t="s">
        <v>49</v>
      </c>
      <c r="F32" s="16" t="s">
        <v>45</v>
      </c>
      <c r="G32" s="16"/>
      <c r="H32" s="17" t="s">
        <v>222</v>
      </c>
      <c r="I32" s="17" t="s">
        <v>222</v>
      </c>
      <c r="J32" s="18" t="s">
        <v>261</v>
      </c>
      <c r="K32" s="16" t="e" vm="16">
        <v>#VALUE!</v>
      </c>
      <c r="L32" s="18"/>
      <c r="M32" s="16" t="s">
        <v>46</v>
      </c>
      <c r="N32" s="19" t="str">
        <f t="shared" si="2"/>
        <v>سوريال|3</v>
      </c>
      <c r="O32" s="19">
        <f>IF(OR(C32="",F32=""),"",COUNTIFS(F$6:F32,F32,C$6:C32,"&lt;&gt;"))</f>
        <v>3</v>
      </c>
      <c r="P32" s="20">
        <f>IF($O32="","",IFERROR(CHOOSE(MATCH($F32,الإعدادات!$B$4:$B$7,0),INDEX('حضور سوريال'!$C$7:$C$36,$O32),INDEX('حضور غبريال'!$C$7:$C$36,$O32),INDEX('حضور رفائيل'!$C$7:$C$36,$O32),INDEX('حضور ميخائيل'!$C$7:$C$36,$O32)),""))</f>
        <v>0</v>
      </c>
      <c r="Q32" s="20">
        <f>IF($O32="","",IFERROR(CHOOSE(MATCH($F32,الإعدادات!$B$4:$B$7,0),INDEX('حضور سوريال'!$D$7:$D$36,$O32),INDEX('حضور غبريال'!$D$7:$D$36,$O32),INDEX('حضور رفائيل'!$D$7:$D$36,$O32),INDEX('حضور ميخائيل'!$D$7:$D$36,$O32)),""))</f>
        <v>0</v>
      </c>
      <c r="R32" s="21" t="str">
        <f>IF($O32="","",IFERROR(CHOOSE(MATCH($F32,الإعدادات!$B$4:$B$7,0),INDEX('حضور سوريال'!$F$7:$F$36,$O32),INDEX('حضور غبريال'!$F$7:$F$36,$O32),INDEX('حضور رفائيل'!$F$7:$F$36,$O32),INDEX('حضور ميخائيل'!$F$7:$F$36,$O32)),""))</f>
        <v/>
      </c>
      <c r="S32" s="20">
        <f>IF($O32="","",IFERROR(CHOOSE(MATCH($F32,الإعدادات!$B$4:$B$7,0),INDEX('حضور سوريال'!$G$7:$G$36,$O32),INDEX('حضور غبريال'!$G$7:$G$36,$O32),INDEX('حضور رفائيل'!$G$7:$G$36,$O32),INDEX('حضور ميخائيل'!$G$7:$G$36,$O32)),""))</f>
        <v>0</v>
      </c>
      <c r="T32" s="22" t="str">
        <f>IF($O32="","",IFERROR(CHOOSE(MATCH($F32,الإعدادات!$B$4:$B$7,0),INDEX('حضور سوريال'!$H$7:$H$36,$O32),INDEX('حضور غبريال'!$H$7:$H$36,$O32),INDEX('حضور رفائيل'!$H$7:$H$36,$O32),INDEX('حضور ميخائيل'!$H$7:$H$36,$O32)),""))</f>
        <v>—</v>
      </c>
      <c r="U32" s="23" t="str">
        <f>IF($O32="","",IFERROR(CHOOSE(MATCH($F32,الإعدادات!$B$4:$B$7,0),INDEX('حضور سوريال'!$I$7:$I$36,$O32),INDEX('حضور غبريال'!$I$7:$I$36,$O32),INDEX('حضور رفائيل'!$I$7:$I$36,$O32),INDEX('حضور ميخائيل'!$I$7:$I$36,$O32)),""))</f>
        <v>⏳ لسه مفيش حضور</v>
      </c>
      <c r="V32">
        <f>IF($O32="","",IFERROR(CHOOSE(MATCH($F32,الإعدادات!$B$4:$B$7,0),INDEX('حضور سوريال'!$BM$7:$BM$36,$O32),INDEX('حضور غبريال'!$BM$7:$BM$36,$O32),INDEX('حضور رفائيل'!$BM$7:$BM$36,$O32),INDEX('حضور ميخائيل'!$BM$7:$BM$36,$O32)),""))</f>
        <v>0</v>
      </c>
      <c r="W32" t="str">
        <f>IF(OR(V32=3,V32=4),COUNTIFS(V$6:V32,3)+COUNTIFS(V$6:V32,4),"")</f>
        <v/>
      </c>
    </row>
    <row r="33" spans="1:23" ht="25.5" customHeight="1">
      <c r="A33" s="13">
        <f t="shared" si="0"/>
        <v>28</v>
      </c>
      <c r="B33" s="14" t="str">
        <f t="shared" si="1"/>
        <v>B-028</v>
      </c>
      <c r="C33" s="15" t="s">
        <v>201</v>
      </c>
      <c r="D33" s="16" t="s">
        <v>47</v>
      </c>
      <c r="E33" s="16" t="s">
        <v>49</v>
      </c>
      <c r="F33" s="16" t="s">
        <v>45</v>
      </c>
      <c r="G33" s="16"/>
      <c r="H33" s="17" t="s">
        <v>223</v>
      </c>
      <c r="I33" s="17" t="s">
        <v>245</v>
      </c>
      <c r="J33" s="18" t="s">
        <v>262</v>
      </c>
      <c r="K33" s="16" t="e" vm="17">
        <v>#VALUE!</v>
      </c>
      <c r="L33" s="18"/>
      <c r="M33" s="16" t="s">
        <v>46</v>
      </c>
      <c r="N33" s="19" t="str">
        <f t="shared" si="2"/>
        <v>سوريال|4</v>
      </c>
      <c r="O33" s="19">
        <f>IF(OR(C33="",F33=""),"",COUNTIFS(F$6:F33,F33,C$6:C33,"&lt;&gt;"))</f>
        <v>4</v>
      </c>
      <c r="P33" s="20">
        <f>IF($O33="","",IFERROR(CHOOSE(MATCH($F33,الإعدادات!$B$4:$B$7,0),INDEX('حضور سوريال'!$C$7:$C$36,$O33),INDEX('حضور غبريال'!$C$7:$C$36,$O33),INDEX('حضور رفائيل'!$C$7:$C$36,$O33),INDEX('حضور ميخائيل'!$C$7:$C$36,$O33)),""))</f>
        <v>0</v>
      </c>
      <c r="Q33" s="20">
        <f>IF($O33="","",IFERROR(CHOOSE(MATCH($F33,الإعدادات!$B$4:$B$7,0),INDEX('حضور سوريال'!$D$7:$D$36,$O33),INDEX('حضور غبريال'!$D$7:$D$36,$O33),INDEX('حضور رفائيل'!$D$7:$D$36,$O33),INDEX('حضور ميخائيل'!$D$7:$D$36,$O33)),""))</f>
        <v>0</v>
      </c>
      <c r="R33" s="21" t="str">
        <f>IF($O33="","",IFERROR(CHOOSE(MATCH($F33,الإعدادات!$B$4:$B$7,0),INDEX('حضور سوريال'!$F$7:$F$36,$O33),INDEX('حضور غبريال'!$F$7:$F$36,$O33),INDEX('حضور رفائيل'!$F$7:$F$36,$O33),INDEX('حضور ميخائيل'!$F$7:$F$36,$O33)),""))</f>
        <v/>
      </c>
      <c r="S33" s="20">
        <f>IF($O33="","",IFERROR(CHOOSE(MATCH($F33,الإعدادات!$B$4:$B$7,0),INDEX('حضور سوريال'!$G$7:$G$36,$O33),INDEX('حضور غبريال'!$G$7:$G$36,$O33),INDEX('حضور رفائيل'!$G$7:$G$36,$O33),INDEX('حضور ميخائيل'!$G$7:$G$36,$O33)),""))</f>
        <v>0</v>
      </c>
      <c r="T33" s="22" t="str">
        <f>IF($O33="","",IFERROR(CHOOSE(MATCH($F33,الإعدادات!$B$4:$B$7,0),INDEX('حضور سوريال'!$H$7:$H$36,$O33),INDEX('حضور غبريال'!$H$7:$H$36,$O33),INDEX('حضور رفائيل'!$H$7:$H$36,$O33),INDEX('حضور ميخائيل'!$H$7:$H$36,$O33)),""))</f>
        <v>—</v>
      </c>
      <c r="U33" s="23" t="str">
        <f>IF($O33="","",IFERROR(CHOOSE(MATCH($F33,الإعدادات!$B$4:$B$7,0),INDEX('حضور سوريال'!$I$7:$I$36,$O33),INDEX('حضور غبريال'!$I$7:$I$36,$O33),INDEX('حضور رفائيل'!$I$7:$I$36,$O33),INDEX('حضور ميخائيل'!$I$7:$I$36,$O33)),""))</f>
        <v>⏳ لسه مفيش حضور</v>
      </c>
      <c r="V33">
        <f>IF($O33="","",IFERROR(CHOOSE(MATCH($F33,الإعدادات!$B$4:$B$7,0),INDEX('حضور سوريال'!$BM$7:$BM$36,$O33),INDEX('حضور غبريال'!$BM$7:$BM$36,$O33),INDEX('حضور رفائيل'!$BM$7:$BM$36,$O33),INDEX('حضور ميخائيل'!$BM$7:$BM$36,$O33)),""))</f>
        <v>0</v>
      </c>
      <c r="W33" t="str">
        <f>IF(OR(V33=3,V33=4),COUNTIFS(V$6:V33,3)+COUNTIFS(V$6:V33,4),"")</f>
        <v/>
      </c>
    </row>
    <row r="34" spans="1:23" ht="25.5" customHeight="1">
      <c r="A34" s="13">
        <f t="shared" si="0"/>
        <v>29</v>
      </c>
      <c r="B34" s="14" t="str">
        <f t="shared" si="1"/>
        <v>B-029</v>
      </c>
      <c r="C34" s="15" t="s">
        <v>202</v>
      </c>
      <c r="D34" s="16" t="s">
        <v>43</v>
      </c>
      <c r="E34" s="16" t="s">
        <v>49</v>
      </c>
      <c r="F34" s="16" t="s">
        <v>45</v>
      </c>
      <c r="G34" s="16"/>
      <c r="H34" s="17" t="s">
        <v>224</v>
      </c>
      <c r="I34" s="17"/>
      <c r="J34" s="18" t="s">
        <v>263</v>
      </c>
      <c r="K34" s="16"/>
      <c r="L34" s="18"/>
      <c r="M34" s="16" t="s">
        <v>46</v>
      </c>
      <c r="N34" s="19" t="str">
        <f t="shared" si="2"/>
        <v>سوريال|5</v>
      </c>
      <c r="O34" s="19">
        <f>IF(OR(C34="",F34=""),"",COUNTIFS(F$6:F34,F34,C$6:C34,"&lt;&gt;"))</f>
        <v>5</v>
      </c>
      <c r="P34" s="20">
        <f>IF($O34="","",IFERROR(CHOOSE(MATCH($F34,الإعدادات!$B$4:$B$7,0),INDEX('حضور سوريال'!$C$7:$C$36,$O34),INDEX('حضور غبريال'!$C$7:$C$36,$O34),INDEX('حضور رفائيل'!$C$7:$C$36,$O34),INDEX('حضور ميخائيل'!$C$7:$C$36,$O34)),""))</f>
        <v>0</v>
      </c>
      <c r="Q34" s="20">
        <f>IF($O34="","",IFERROR(CHOOSE(MATCH($F34,الإعدادات!$B$4:$B$7,0),INDEX('حضور سوريال'!$D$7:$D$36,$O34),INDEX('حضور غبريال'!$D$7:$D$36,$O34),INDEX('حضور رفائيل'!$D$7:$D$36,$O34),INDEX('حضور ميخائيل'!$D$7:$D$36,$O34)),""))</f>
        <v>0</v>
      </c>
      <c r="R34" s="21" t="str">
        <f>IF($O34="","",IFERROR(CHOOSE(MATCH($F34,الإعدادات!$B$4:$B$7,0),INDEX('حضور سوريال'!$F$7:$F$36,$O34),INDEX('حضور غبريال'!$F$7:$F$36,$O34),INDEX('حضور رفائيل'!$F$7:$F$36,$O34),INDEX('حضور ميخائيل'!$F$7:$F$36,$O34)),""))</f>
        <v/>
      </c>
      <c r="S34" s="20">
        <f>IF($O34="","",IFERROR(CHOOSE(MATCH($F34,الإعدادات!$B$4:$B$7,0),INDEX('حضور سوريال'!$G$7:$G$36,$O34),INDEX('حضور غبريال'!$G$7:$G$36,$O34),INDEX('حضور رفائيل'!$G$7:$G$36,$O34),INDEX('حضور ميخائيل'!$G$7:$G$36,$O34)),""))</f>
        <v>0</v>
      </c>
      <c r="T34" s="22" t="str">
        <f>IF($O34="","",IFERROR(CHOOSE(MATCH($F34,الإعدادات!$B$4:$B$7,0),INDEX('حضور سوريال'!$H$7:$H$36,$O34),INDEX('حضور غبريال'!$H$7:$H$36,$O34),INDEX('حضور رفائيل'!$H$7:$H$36,$O34),INDEX('حضور ميخائيل'!$H$7:$H$36,$O34)),""))</f>
        <v>—</v>
      </c>
      <c r="U34" s="23" t="str">
        <f>IF($O34="","",IFERROR(CHOOSE(MATCH($F34,الإعدادات!$B$4:$B$7,0),INDEX('حضور سوريال'!$I$7:$I$36,$O34),INDEX('حضور غبريال'!$I$7:$I$36,$O34),INDEX('حضور رفائيل'!$I$7:$I$36,$O34),INDEX('حضور ميخائيل'!$I$7:$I$36,$O34)),""))</f>
        <v>⏳ لسه مفيش حضور</v>
      </c>
      <c r="V34">
        <f>IF($O34="","",IFERROR(CHOOSE(MATCH($F34,الإعدادات!$B$4:$B$7,0),INDEX('حضور سوريال'!$BM$7:$BM$36,$O34),INDEX('حضور غبريال'!$BM$7:$BM$36,$O34),INDEX('حضور رفائيل'!$BM$7:$BM$36,$O34),INDEX('حضور ميخائيل'!$BM$7:$BM$36,$O34)),""))</f>
        <v>0</v>
      </c>
      <c r="W34" t="str">
        <f>IF(OR(V34=3,V34=4),COUNTIFS(V$6:V34,3)+COUNTIFS(V$6:V34,4),"")</f>
        <v/>
      </c>
    </row>
    <row r="35" spans="1:23" ht="25.5" customHeight="1">
      <c r="A35" s="13">
        <f t="shared" si="0"/>
        <v>30</v>
      </c>
      <c r="B35" s="14" t="str">
        <f t="shared" si="1"/>
        <v>B-030</v>
      </c>
      <c r="C35" s="15" t="s">
        <v>203</v>
      </c>
      <c r="D35" s="16" t="s">
        <v>43</v>
      </c>
      <c r="E35" s="16" t="s">
        <v>49</v>
      </c>
      <c r="F35" s="16" t="s">
        <v>45</v>
      </c>
      <c r="G35" s="16"/>
      <c r="H35" s="17" t="s">
        <v>237</v>
      </c>
      <c r="I35" s="17" t="s">
        <v>246</v>
      </c>
      <c r="J35" s="18" t="s">
        <v>264</v>
      </c>
      <c r="K35" s="16" t="e" vm="18">
        <v>#VALUE!</v>
      </c>
      <c r="L35" s="18"/>
      <c r="M35" s="16" t="s">
        <v>46</v>
      </c>
      <c r="N35" s="19" t="str">
        <f t="shared" si="2"/>
        <v>سوريال|6</v>
      </c>
      <c r="O35" s="19">
        <f>IF(OR(C35="",F35=""),"",COUNTIFS(F$6:F35,F35,C$6:C35,"&lt;&gt;"))</f>
        <v>6</v>
      </c>
      <c r="P35" s="20">
        <f>IF($O35="","",IFERROR(CHOOSE(MATCH($F35,الإعدادات!$B$4:$B$7,0),INDEX('حضور سوريال'!$C$7:$C$36,$O35),INDEX('حضور غبريال'!$C$7:$C$36,$O35),INDEX('حضور رفائيل'!$C$7:$C$36,$O35),INDEX('حضور ميخائيل'!$C$7:$C$36,$O35)),""))</f>
        <v>0</v>
      </c>
      <c r="Q35" s="20">
        <f>IF($O35="","",IFERROR(CHOOSE(MATCH($F35,الإعدادات!$B$4:$B$7,0),INDEX('حضور سوريال'!$D$7:$D$36,$O35),INDEX('حضور غبريال'!$D$7:$D$36,$O35),INDEX('حضور رفائيل'!$D$7:$D$36,$O35),INDEX('حضور ميخائيل'!$D$7:$D$36,$O35)),""))</f>
        <v>0</v>
      </c>
      <c r="R35" s="21" t="str">
        <f>IF($O35="","",IFERROR(CHOOSE(MATCH($F35,الإعدادات!$B$4:$B$7,0),INDEX('حضور سوريال'!$F$7:$F$36,$O35),INDEX('حضور غبريال'!$F$7:$F$36,$O35),INDEX('حضور رفائيل'!$F$7:$F$36,$O35),INDEX('حضور ميخائيل'!$F$7:$F$36,$O35)),""))</f>
        <v/>
      </c>
      <c r="S35" s="20">
        <f>IF($O35="","",IFERROR(CHOOSE(MATCH($F35,الإعدادات!$B$4:$B$7,0),INDEX('حضور سوريال'!$G$7:$G$36,$O35),INDEX('حضور غبريال'!$G$7:$G$36,$O35),INDEX('حضور رفائيل'!$G$7:$G$36,$O35),INDEX('حضور ميخائيل'!$G$7:$G$36,$O35)),""))</f>
        <v>0</v>
      </c>
      <c r="T35" s="22" t="str">
        <f>IF($O35="","",IFERROR(CHOOSE(MATCH($F35,الإعدادات!$B$4:$B$7,0),INDEX('حضور سوريال'!$H$7:$H$36,$O35),INDEX('حضور غبريال'!$H$7:$H$36,$O35),INDEX('حضور رفائيل'!$H$7:$H$36,$O35),INDEX('حضور ميخائيل'!$H$7:$H$36,$O35)),""))</f>
        <v>—</v>
      </c>
      <c r="U35" s="23" t="str">
        <f>IF($O35="","",IFERROR(CHOOSE(MATCH($F35,الإعدادات!$B$4:$B$7,0),INDEX('حضور سوريال'!$I$7:$I$36,$O35),INDEX('حضور غبريال'!$I$7:$I$36,$O35),INDEX('حضور رفائيل'!$I$7:$I$36,$O35),INDEX('حضور ميخائيل'!$I$7:$I$36,$O35)),""))</f>
        <v>⏳ لسه مفيش حضور</v>
      </c>
      <c r="V35">
        <f>IF($O35="","",IFERROR(CHOOSE(MATCH($F35,الإعدادات!$B$4:$B$7,0),INDEX('حضور سوريال'!$BM$7:$BM$36,$O35),INDEX('حضور غبريال'!$BM$7:$BM$36,$O35),INDEX('حضور رفائيل'!$BM$7:$BM$36,$O35),INDEX('حضور ميخائيل'!$BM$7:$BM$36,$O35)),""))</f>
        <v>0</v>
      </c>
      <c r="W35" t="str">
        <f>IF(OR(V35=3,V35=4),COUNTIFS(V$6:V35,3)+COUNTIFS(V$6:V35,4),"")</f>
        <v/>
      </c>
    </row>
    <row r="36" spans="1:23" ht="25.5" customHeight="1">
      <c r="A36" s="13">
        <f t="shared" si="0"/>
        <v>31</v>
      </c>
      <c r="B36" s="14" t="str">
        <f t="shared" si="1"/>
        <v>B-031</v>
      </c>
      <c r="C36" s="71" t="s">
        <v>281</v>
      </c>
      <c r="D36" s="16" t="s">
        <v>47</v>
      </c>
      <c r="E36" s="16" t="s">
        <v>49</v>
      </c>
      <c r="F36" s="16" t="s">
        <v>45</v>
      </c>
      <c r="G36" s="16"/>
      <c r="H36" s="17" t="s">
        <v>225</v>
      </c>
      <c r="I36" s="17" t="s">
        <v>247</v>
      </c>
      <c r="J36" s="18" t="s">
        <v>265</v>
      </c>
      <c r="K36" s="16"/>
      <c r="L36" s="18"/>
      <c r="M36" s="16" t="s">
        <v>46</v>
      </c>
      <c r="N36" s="19" t="str">
        <f t="shared" si="2"/>
        <v>سوريال|7</v>
      </c>
      <c r="O36" s="19">
        <f>IF(OR(C36="",F36=""),"",COUNTIFS(F$6:F36,F36,C$6:C36,"&lt;&gt;"))</f>
        <v>7</v>
      </c>
      <c r="P36" s="20">
        <f>IF($O36="","",IFERROR(CHOOSE(MATCH($F36,الإعدادات!$B$4:$B$7,0),INDEX('حضور سوريال'!$C$7:$C$36,$O36),INDEX('حضور غبريال'!$C$7:$C$36,$O36),INDEX('حضور رفائيل'!$C$7:$C$36,$O36),INDEX('حضور ميخائيل'!$C$7:$C$36,$O36)),""))</f>
        <v>0</v>
      </c>
      <c r="Q36" s="20">
        <f>IF($O36="","",IFERROR(CHOOSE(MATCH($F36,الإعدادات!$B$4:$B$7,0),INDEX('حضور سوريال'!$D$7:$D$36,$O36),INDEX('حضور غبريال'!$D$7:$D$36,$O36),INDEX('حضور رفائيل'!$D$7:$D$36,$O36),INDEX('حضور ميخائيل'!$D$7:$D$36,$O36)),""))</f>
        <v>0</v>
      </c>
      <c r="R36" s="21" t="str">
        <f>IF($O36="","",IFERROR(CHOOSE(MATCH($F36,الإعدادات!$B$4:$B$7,0),INDEX('حضور سوريال'!$F$7:$F$36,$O36),INDEX('حضور غبريال'!$F$7:$F$36,$O36),INDEX('حضور رفائيل'!$F$7:$F$36,$O36),INDEX('حضور ميخائيل'!$F$7:$F$36,$O36)),""))</f>
        <v/>
      </c>
      <c r="S36" s="20">
        <f>IF($O36="","",IFERROR(CHOOSE(MATCH($F36,الإعدادات!$B$4:$B$7,0),INDEX('حضور سوريال'!$G$7:$G$36,$O36),INDEX('حضور غبريال'!$G$7:$G$36,$O36),INDEX('حضور رفائيل'!$G$7:$G$36,$O36),INDEX('حضور ميخائيل'!$G$7:$G$36,$O36)),""))</f>
        <v>0</v>
      </c>
      <c r="T36" s="22" t="str">
        <f>IF($O36="","",IFERROR(CHOOSE(MATCH($F36,الإعدادات!$B$4:$B$7,0),INDEX('حضور سوريال'!$H$7:$H$36,$O36),INDEX('حضور غبريال'!$H$7:$H$36,$O36),INDEX('حضور رفائيل'!$H$7:$H$36,$O36),INDEX('حضور ميخائيل'!$H$7:$H$36,$O36)),""))</f>
        <v>—</v>
      </c>
      <c r="U36" s="23" t="str">
        <f>IF($O36="","",IFERROR(CHOOSE(MATCH($F36,الإعدادات!$B$4:$B$7,0),INDEX('حضور سوريال'!$I$7:$I$36,$O36),INDEX('حضور غبريال'!$I$7:$I$36,$O36),INDEX('حضور رفائيل'!$I$7:$I$36,$O36),INDEX('حضور ميخائيل'!$I$7:$I$36,$O36)),""))</f>
        <v>⏳ لسه مفيش حضور</v>
      </c>
      <c r="V36">
        <f>IF($O36="","",IFERROR(CHOOSE(MATCH($F36,الإعدادات!$B$4:$B$7,0),INDEX('حضور سوريال'!$BM$7:$BM$36,$O36),INDEX('حضور غبريال'!$BM$7:$BM$36,$O36),INDEX('حضور رفائيل'!$BM$7:$BM$36,$O36),INDEX('حضور ميخائيل'!$BM$7:$BM$36,$O36)),""))</f>
        <v>0</v>
      </c>
      <c r="W36" t="str">
        <f>IF(OR(V36=3,V36=4),COUNTIFS(V$6:V36,3)+COUNTIFS(V$6:V36,4),"")</f>
        <v/>
      </c>
    </row>
    <row r="37" spans="1:23" ht="25.5" customHeight="1">
      <c r="A37" s="13">
        <f t="shared" si="0"/>
        <v>32</v>
      </c>
      <c r="B37" s="14" t="str">
        <f t="shared" si="1"/>
        <v>B-032</v>
      </c>
      <c r="C37" s="15" t="s">
        <v>204</v>
      </c>
      <c r="D37" s="16" t="s">
        <v>43</v>
      </c>
      <c r="E37" s="16" t="s">
        <v>49</v>
      </c>
      <c r="F37" s="16" t="s">
        <v>45</v>
      </c>
      <c r="G37" s="16"/>
      <c r="H37" s="17" t="s">
        <v>238</v>
      </c>
      <c r="I37" s="17" t="s">
        <v>248</v>
      </c>
      <c r="J37" s="18" t="s">
        <v>266</v>
      </c>
      <c r="K37" s="16" t="e" vm="19">
        <v>#VALUE!</v>
      </c>
      <c r="L37" s="18"/>
      <c r="M37" s="16" t="s">
        <v>46</v>
      </c>
      <c r="N37" s="19" t="str">
        <f t="shared" si="2"/>
        <v>سوريال|8</v>
      </c>
      <c r="O37" s="19">
        <f>IF(OR(C37="",F37=""),"",COUNTIFS(F$6:F37,F37,C$6:C37,"&lt;&gt;"))</f>
        <v>8</v>
      </c>
      <c r="P37" s="20">
        <f>IF($O37="","",IFERROR(CHOOSE(MATCH($F37,الإعدادات!$B$4:$B$7,0),INDEX('حضور سوريال'!$C$7:$C$36,$O37),INDEX('حضور غبريال'!$C$7:$C$36,$O37),INDEX('حضور رفائيل'!$C$7:$C$36,$O37),INDEX('حضور ميخائيل'!$C$7:$C$36,$O37)),""))</f>
        <v>0</v>
      </c>
      <c r="Q37" s="20">
        <f>IF($O37="","",IFERROR(CHOOSE(MATCH($F37,الإعدادات!$B$4:$B$7,0),INDEX('حضور سوريال'!$D$7:$D$36,$O37),INDEX('حضور غبريال'!$D$7:$D$36,$O37),INDEX('حضور رفائيل'!$D$7:$D$36,$O37),INDEX('حضور ميخائيل'!$D$7:$D$36,$O37)),""))</f>
        <v>0</v>
      </c>
      <c r="R37" s="21" t="str">
        <f>IF($O37="","",IFERROR(CHOOSE(MATCH($F37,الإعدادات!$B$4:$B$7,0),INDEX('حضور سوريال'!$F$7:$F$36,$O37),INDEX('حضور غبريال'!$F$7:$F$36,$O37),INDEX('حضور رفائيل'!$F$7:$F$36,$O37),INDEX('حضور ميخائيل'!$F$7:$F$36,$O37)),""))</f>
        <v/>
      </c>
      <c r="S37" s="20">
        <f>IF($O37="","",IFERROR(CHOOSE(MATCH($F37,الإعدادات!$B$4:$B$7,0),INDEX('حضور سوريال'!$G$7:$G$36,$O37),INDEX('حضور غبريال'!$G$7:$G$36,$O37),INDEX('حضور رفائيل'!$G$7:$G$36,$O37),INDEX('حضور ميخائيل'!$G$7:$G$36,$O37)),""))</f>
        <v>0</v>
      </c>
      <c r="T37" s="22" t="str">
        <f>IF($O37="","",IFERROR(CHOOSE(MATCH($F37,الإعدادات!$B$4:$B$7,0),INDEX('حضور سوريال'!$H$7:$H$36,$O37),INDEX('حضور غبريال'!$H$7:$H$36,$O37),INDEX('حضور رفائيل'!$H$7:$H$36,$O37),INDEX('حضور ميخائيل'!$H$7:$H$36,$O37)),""))</f>
        <v>—</v>
      </c>
      <c r="U37" s="23" t="str">
        <f>IF($O37="","",IFERROR(CHOOSE(MATCH($F37,الإعدادات!$B$4:$B$7,0),INDEX('حضور سوريال'!$I$7:$I$36,$O37),INDEX('حضور غبريال'!$I$7:$I$36,$O37),INDEX('حضور رفائيل'!$I$7:$I$36,$O37),INDEX('حضور ميخائيل'!$I$7:$I$36,$O37)),""))</f>
        <v>⏳ لسه مفيش حضور</v>
      </c>
      <c r="V37">
        <f>IF($O37="","",IFERROR(CHOOSE(MATCH($F37,الإعدادات!$B$4:$B$7,0),INDEX('حضور سوريال'!$BM$7:$BM$36,$O37),INDEX('حضور غبريال'!$BM$7:$BM$36,$O37),INDEX('حضور رفائيل'!$BM$7:$BM$36,$O37),INDEX('حضور ميخائيل'!$BM$7:$BM$36,$O37)),""))</f>
        <v>0</v>
      </c>
      <c r="W37" t="str">
        <f>IF(OR(V37=3,V37=4),COUNTIFS(V$6:V37,3)+COUNTIFS(V$6:V37,4),"")</f>
        <v/>
      </c>
    </row>
    <row r="38" spans="1:23" ht="25.5" customHeight="1">
      <c r="A38" s="13">
        <f t="shared" si="0"/>
        <v>33</v>
      </c>
      <c r="B38" s="14" t="str">
        <f t="shared" si="1"/>
        <v>B-033</v>
      </c>
      <c r="C38" s="15" t="s">
        <v>205</v>
      </c>
      <c r="D38" s="16" t="s">
        <v>47</v>
      </c>
      <c r="E38" s="16" t="s">
        <v>49</v>
      </c>
      <c r="F38" s="16" t="s">
        <v>45</v>
      </c>
      <c r="G38" s="16"/>
      <c r="H38" s="17" t="s">
        <v>226</v>
      </c>
      <c r="I38" s="17"/>
      <c r="J38" s="18" t="s">
        <v>263</v>
      </c>
      <c r="K38" s="16" t="e" vm="20">
        <v>#VALUE!</v>
      </c>
      <c r="L38" s="18"/>
      <c r="M38" s="16" t="s">
        <v>46</v>
      </c>
      <c r="N38" s="19" t="str">
        <f t="shared" si="2"/>
        <v>سوريال|9</v>
      </c>
      <c r="O38" s="19">
        <f>IF(OR(C38="",F38=""),"",COUNTIFS(F$6:F38,F38,C$6:C38,"&lt;&gt;"))</f>
        <v>9</v>
      </c>
      <c r="P38" s="20">
        <f>IF($O38="","",IFERROR(CHOOSE(MATCH($F38,الإعدادات!$B$4:$B$7,0),INDEX('حضور سوريال'!$C$7:$C$36,$O38),INDEX('حضور غبريال'!$C$7:$C$36,$O38),INDEX('حضور رفائيل'!$C$7:$C$36,$O38),INDEX('حضور ميخائيل'!$C$7:$C$36,$O38)),""))</f>
        <v>0</v>
      </c>
      <c r="Q38" s="20">
        <f>IF($O38="","",IFERROR(CHOOSE(MATCH($F38,الإعدادات!$B$4:$B$7,0),INDEX('حضور سوريال'!$D$7:$D$36,$O38),INDEX('حضور غبريال'!$D$7:$D$36,$O38),INDEX('حضور رفائيل'!$D$7:$D$36,$O38),INDEX('حضور ميخائيل'!$D$7:$D$36,$O38)),""))</f>
        <v>0</v>
      </c>
      <c r="R38" s="21" t="str">
        <f>IF($O38="","",IFERROR(CHOOSE(MATCH($F38,الإعدادات!$B$4:$B$7,0),INDEX('حضور سوريال'!$F$7:$F$36,$O38),INDEX('حضور غبريال'!$F$7:$F$36,$O38),INDEX('حضور رفائيل'!$F$7:$F$36,$O38),INDEX('حضور ميخائيل'!$F$7:$F$36,$O38)),""))</f>
        <v/>
      </c>
      <c r="S38" s="20">
        <f>IF($O38="","",IFERROR(CHOOSE(MATCH($F38,الإعدادات!$B$4:$B$7,0),INDEX('حضور سوريال'!$G$7:$G$36,$O38),INDEX('حضور غبريال'!$G$7:$G$36,$O38),INDEX('حضور رفائيل'!$G$7:$G$36,$O38),INDEX('حضور ميخائيل'!$G$7:$G$36,$O38)),""))</f>
        <v>0</v>
      </c>
      <c r="T38" s="22" t="str">
        <f>IF($O38="","",IFERROR(CHOOSE(MATCH($F38,الإعدادات!$B$4:$B$7,0),INDEX('حضور سوريال'!$H$7:$H$36,$O38),INDEX('حضور غبريال'!$H$7:$H$36,$O38),INDEX('حضور رفائيل'!$H$7:$H$36,$O38),INDEX('حضور ميخائيل'!$H$7:$H$36,$O38)),""))</f>
        <v>—</v>
      </c>
      <c r="U38" s="23" t="str">
        <f>IF($O38="","",IFERROR(CHOOSE(MATCH($F38,الإعدادات!$B$4:$B$7,0),INDEX('حضور سوريال'!$I$7:$I$36,$O38),INDEX('حضور غبريال'!$I$7:$I$36,$O38),INDEX('حضور رفائيل'!$I$7:$I$36,$O38),INDEX('حضور ميخائيل'!$I$7:$I$36,$O38)),""))</f>
        <v>⏳ لسه مفيش حضور</v>
      </c>
      <c r="V38">
        <f>IF($O38="","",IFERROR(CHOOSE(MATCH($F38,الإعدادات!$B$4:$B$7,0),INDEX('حضور سوريال'!$BM$7:$BM$36,$O38),INDEX('حضور غبريال'!$BM$7:$BM$36,$O38),INDEX('حضور رفائيل'!$BM$7:$BM$36,$O38),INDEX('حضور ميخائيل'!$BM$7:$BM$36,$O38)),""))</f>
        <v>0</v>
      </c>
      <c r="W38" t="str">
        <f>IF(OR(V38=3,V38=4),COUNTIFS(V$6:V38,3)+COUNTIFS(V$6:V38,4),"")</f>
        <v/>
      </c>
    </row>
    <row r="39" spans="1:23" ht="25.5" customHeight="1">
      <c r="A39" s="13">
        <f t="shared" si="0"/>
        <v>34</v>
      </c>
      <c r="B39" s="14" t="str">
        <f t="shared" si="1"/>
        <v>B-034</v>
      </c>
      <c r="C39" s="15" t="s">
        <v>206</v>
      </c>
      <c r="D39" s="16" t="s">
        <v>43</v>
      </c>
      <c r="E39" s="16" t="s">
        <v>49</v>
      </c>
      <c r="F39" s="16" t="s">
        <v>45</v>
      </c>
      <c r="G39" s="16"/>
      <c r="H39" s="17" t="s">
        <v>227</v>
      </c>
      <c r="I39" s="17"/>
      <c r="J39" s="18" t="s">
        <v>267</v>
      </c>
      <c r="K39" s="16" t="e" vm="21">
        <v>#VALUE!</v>
      </c>
      <c r="L39" s="18"/>
      <c r="M39" s="16" t="s">
        <v>46</v>
      </c>
      <c r="N39" s="19" t="str">
        <f t="shared" si="2"/>
        <v>سوريال|10</v>
      </c>
      <c r="O39" s="19">
        <f>IF(OR(C39="",F39=""),"",COUNTIFS(F$6:F39,F39,C$6:C39,"&lt;&gt;"))</f>
        <v>10</v>
      </c>
      <c r="P39" s="20">
        <f>IF($O39="","",IFERROR(CHOOSE(MATCH($F39,الإعدادات!$B$4:$B$7,0),INDEX('حضور سوريال'!$C$7:$C$36,$O39),INDEX('حضور غبريال'!$C$7:$C$36,$O39),INDEX('حضور رفائيل'!$C$7:$C$36,$O39),INDEX('حضور ميخائيل'!$C$7:$C$36,$O39)),""))</f>
        <v>0</v>
      </c>
      <c r="Q39" s="20">
        <f>IF($O39="","",IFERROR(CHOOSE(MATCH($F39,الإعدادات!$B$4:$B$7,0),INDEX('حضور سوريال'!$D$7:$D$36,$O39),INDEX('حضور غبريال'!$D$7:$D$36,$O39),INDEX('حضور رفائيل'!$D$7:$D$36,$O39),INDEX('حضور ميخائيل'!$D$7:$D$36,$O39)),""))</f>
        <v>0</v>
      </c>
      <c r="R39" s="21" t="str">
        <f>IF($O39="","",IFERROR(CHOOSE(MATCH($F39,الإعدادات!$B$4:$B$7,0),INDEX('حضور سوريال'!$F$7:$F$36,$O39),INDEX('حضور غبريال'!$F$7:$F$36,$O39),INDEX('حضور رفائيل'!$F$7:$F$36,$O39),INDEX('حضور ميخائيل'!$F$7:$F$36,$O39)),""))</f>
        <v/>
      </c>
      <c r="S39" s="20">
        <f>IF($O39="","",IFERROR(CHOOSE(MATCH($F39,الإعدادات!$B$4:$B$7,0),INDEX('حضور سوريال'!$G$7:$G$36,$O39),INDEX('حضور غبريال'!$G$7:$G$36,$O39),INDEX('حضور رفائيل'!$G$7:$G$36,$O39),INDEX('حضور ميخائيل'!$G$7:$G$36,$O39)),""))</f>
        <v>0</v>
      </c>
      <c r="T39" s="22" t="str">
        <f>IF($O39="","",IFERROR(CHOOSE(MATCH($F39,الإعدادات!$B$4:$B$7,0),INDEX('حضور سوريال'!$H$7:$H$36,$O39),INDEX('حضور غبريال'!$H$7:$H$36,$O39),INDEX('حضور رفائيل'!$H$7:$H$36,$O39),INDEX('حضور ميخائيل'!$H$7:$H$36,$O39)),""))</f>
        <v>—</v>
      </c>
      <c r="U39" s="23" t="str">
        <f>IF($O39="","",IFERROR(CHOOSE(MATCH($F39,الإعدادات!$B$4:$B$7,0),INDEX('حضور سوريال'!$I$7:$I$36,$O39),INDEX('حضور غبريال'!$I$7:$I$36,$O39),INDEX('حضور رفائيل'!$I$7:$I$36,$O39),INDEX('حضور ميخائيل'!$I$7:$I$36,$O39)),""))</f>
        <v>⏳ لسه مفيش حضور</v>
      </c>
      <c r="V39">
        <f>IF($O39="","",IFERROR(CHOOSE(MATCH($F39,الإعدادات!$B$4:$B$7,0),INDEX('حضور سوريال'!$BM$7:$BM$36,$O39),INDEX('حضور غبريال'!$BM$7:$BM$36,$O39),INDEX('حضور رفائيل'!$BM$7:$BM$36,$O39),INDEX('حضور ميخائيل'!$BM$7:$BM$36,$O39)),""))</f>
        <v>0</v>
      </c>
      <c r="W39" t="str">
        <f>IF(OR(V39=3,V39=4),COUNTIFS(V$6:V39,3)+COUNTIFS(V$6:V39,4),"")</f>
        <v/>
      </c>
    </row>
    <row r="40" spans="1:23" ht="25.5" customHeight="1">
      <c r="A40" s="13">
        <f t="shared" si="0"/>
        <v>35</v>
      </c>
      <c r="B40" s="14" t="str">
        <f t="shared" si="1"/>
        <v>B-035</v>
      </c>
      <c r="C40" s="15" t="s">
        <v>207</v>
      </c>
      <c r="D40" s="16" t="s">
        <v>47</v>
      </c>
      <c r="E40" s="16" t="s">
        <v>49</v>
      </c>
      <c r="F40" s="16" t="s">
        <v>45</v>
      </c>
      <c r="G40" s="16"/>
      <c r="H40" s="17" t="s">
        <v>239</v>
      </c>
      <c r="I40" s="17" t="s">
        <v>249</v>
      </c>
      <c r="J40" s="18" t="s">
        <v>268</v>
      </c>
      <c r="K40" s="16"/>
      <c r="L40" s="18"/>
      <c r="M40" s="16" t="s">
        <v>46</v>
      </c>
      <c r="N40" s="19" t="str">
        <f t="shared" si="2"/>
        <v>سوريال|11</v>
      </c>
      <c r="O40" s="19">
        <f>IF(OR(C40="",F40=""),"",COUNTIFS(F$6:F40,F40,C$6:C40,"&lt;&gt;"))</f>
        <v>11</v>
      </c>
      <c r="P40" s="20">
        <f>IF($O40="","",IFERROR(CHOOSE(MATCH($F40,الإعدادات!$B$4:$B$7,0),INDEX('حضور سوريال'!$C$7:$C$36,$O40),INDEX('حضور غبريال'!$C$7:$C$36,$O40),INDEX('حضور رفائيل'!$C$7:$C$36,$O40),INDEX('حضور ميخائيل'!$C$7:$C$36,$O40)),""))</f>
        <v>0</v>
      </c>
      <c r="Q40" s="20">
        <f>IF($O40="","",IFERROR(CHOOSE(MATCH($F40,الإعدادات!$B$4:$B$7,0),INDEX('حضور سوريال'!$D$7:$D$36,$O40),INDEX('حضور غبريال'!$D$7:$D$36,$O40),INDEX('حضور رفائيل'!$D$7:$D$36,$O40),INDEX('حضور ميخائيل'!$D$7:$D$36,$O40)),""))</f>
        <v>0</v>
      </c>
      <c r="R40" s="21" t="str">
        <f>IF($O40="","",IFERROR(CHOOSE(MATCH($F40,الإعدادات!$B$4:$B$7,0),INDEX('حضور سوريال'!$F$7:$F$36,$O40),INDEX('حضور غبريال'!$F$7:$F$36,$O40),INDEX('حضور رفائيل'!$F$7:$F$36,$O40),INDEX('حضور ميخائيل'!$F$7:$F$36,$O40)),""))</f>
        <v/>
      </c>
      <c r="S40" s="20">
        <f>IF($O40="","",IFERROR(CHOOSE(MATCH($F40,الإعدادات!$B$4:$B$7,0),INDEX('حضور سوريال'!$G$7:$G$36,$O40),INDEX('حضور غبريال'!$G$7:$G$36,$O40),INDEX('حضور رفائيل'!$G$7:$G$36,$O40),INDEX('حضور ميخائيل'!$G$7:$G$36,$O40)),""))</f>
        <v>0</v>
      </c>
      <c r="T40" s="22" t="str">
        <f>IF($O40="","",IFERROR(CHOOSE(MATCH($F40,الإعدادات!$B$4:$B$7,0),INDEX('حضور سوريال'!$H$7:$H$36,$O40),INDEX('حضور غبريال'!$H$7:$H$36,$O40),INDEX('حضور رفائيل'!$H$7:$H$36,$O40),INDEX('حضور ميخائيل'!$H$7:$H$36,$O40)),""))</f>
        <v>—</v>
      </c>
      <c r="U40" s="23" t="str">
        <f>IF($O40="","",IFERROR(CHOOSE(MATCH($F40,الإعدادات!$B$4:$B$7,0),INDEX('حضور سوريال'!$I$7:$I$36,$O40),INDEX('حضور غبريال'!$I$7:$I$36,$O40),INDEX('حضور رفائيل'!$I$7:$I$36,$O40),INDEX('حضور ميخائيل'!$I$7:$I$36,$O40)),""))</f>
        <v>⏳ لسه مفيش حضور</v>
      </c>
      <c r="V40">
        <f>IF($O40="","",IFERROR(CHOOSE(MATCH($F40,الإعدادات!$B$4:$B$7,0),INDEX('حضور سوريال'!$BM$7:$BM$36,$O40),INDEX('حضور غبريال'!$BM$7:$BM$36,$O40),INDEX('حضور رفائيل'!$BM$7:$BM$36,$O40),INDEX('حضور ميخائيل'!$BM$7:$BM$36,$O40)),""))</f>
        <v>0</v>
      </c>
      <c r="W40" t="str">
        <f>IF(OR(V40=3,V40=4),COUNTIFS(V$6:V40,3)+COUNTIFS(V$6:V40,4),"")</f>
        <v/>
      </c>
    </row>
    <row r="41" spans="1:23" ht="25.5" customHeight="1">
      <c r="A41" s="13">
        <f t="shared" si="0"/>
        <v>36</v>
      </c>
      <c r="B41" s="14" t="str">
        <f t="shared" si="1"/>
        <v>B-036</v>
      </c>
      <c r="C41" s="15" t="s">
        <v>208</v>
      </c>
      <c r="D41" s="16" t="s">
        <v>43</v>
      </c>
      <c r="E41" s="16" t="s">
        <v>49</v>
      </c>
      <c r="F41" s="16" t="s">
        <v>45</v>
      </c>
      <c r="G41" s="16"/>
      <c r="H41" s="17" t="s">
        <v>228</v>
      </c>
      <c r="I41" s="17" t="s">
        <v>250</v>
      </c>
      <c r="J41" s="18" t="s">
        <v>269</v>
      </c>
      <c r="K41" s="16"/>
      <c r="L41" s="18"/>
      <c r="M41" s="16" t="s">
        <v>46</v>
      </c>
      <c r="N41" s="19" t="str">
        <f t="shared" si="2"/>
        <v>سوريال|12</v>
      </c>
      <c r="O41" s="19">
        <f>IF(OR(C41="",F41=""),"",COUNTIFS(F$6:F41,F41,C$6:C41,"&lt;&gt;"))</f>
        <v>12</v>
      </c>
      <c r="P41" s="20">
        <f>IF($O41="","",IFERROR(CHOOSE(MATCH($F41,الإعدادات!$B$4:$B$7,0),INDEX('حضور سوريال'!$C$7:$C$36,$O41),INDEX('حضور غبريال'!$C$7:$C$36,$O41),INDEX('حضور رفائيل'!$C$7:$C$36,$O41),INDEX('حضور ميخائيل'!$C$7:$C$36,$O41)),""))</f>
        <v>0</v>
      </c>
      <c r="Q41" s="20">
        <f>IF($O41="","",IFERROR(CHOOSE(MATCH($F41,الإعدادات!$B$4:$B$7,0),INDEX('حضور سوريال'!$D$7:$D$36,$O41),INDEX('حضور غبريال'!$D$7:$D$36,$O41),INDEX('حضور رفائيل'!$D$7:$D$36,$O41),INDEX('حضور ميخائيل'!$D$7:$D$36,$O41)),""))</f>
        <v>0</v>
      </c>
      <c r="R41" s="21" t="str">
        <f>IF($O41="","",IFERROR(CHOOSE(MATCH($F41,الإعدادات!$B$4:$B$7,0),INDEX('حضور سوريال'!$F$7:$F$36,$O41),INDEX('حضور غبريال'!$F$7:$F$36,$O41),INDEX('حضور رفائيل'!$F$7:$F$36,$O41),INDEX('حضور ميخائيل'!$F$7:$F$36,$O41)),""))</f>
        <v/>
      </c>
      <c r="S41" s="20">
        <f>IF($O41="","",IFERROR(CHOOSE(MATCH($F41,الإعدادات!$B$4:$B$7,0),INDEX('حضور سوريال'!$G$7:$G$36,$O41),INDEX('حضور غبريال'!$G$7:$G$36,$O41),INDEX('حضور رفائيل'!$G$7:$G$36,$O41),INDEX('حضور ميخائيل'!$G$7:$G$36,$O41)),""))</f>
        <v>0</v>
      </c>
      <c r="T41" s="22" t="str">
        <f>IF($O41="","",IFERROR(CHOOSE(MATCH($F41,الإعدادات!$B$4:$B$7,0),INDEX('حضور سوريال'!$H$7:$H$36,$O41),INDEX('حضور غبريال'!$H$7:$H$36,$O41),INDEX('حضور رفائيل'!$H$7:$H$36,$O41),INDEX('حضور ميخائيل'!$H$7:$H$36,$O41)),""))</f>
        <v>—</v>
      </c>
      <c r="U41" s="23" t="str">
        <f>IF($O41="","",IFERROR(CHOOSE(MATCH($F41,الإعدادات!$B$4:$B$7,0),INDEX('حضور سوريال'!$I$7:$I$36,$O41),INDEX('حضور غبريال'!$I$7:$I$36,$O41),INDEX('حضور رفائيل'!$I$7:$I$36,$O41),INDEX('حضور ميخائيل'!$I$7:$I$36,$O41)),""))</f>
        <v>⏳ لسه مفيش حضور</v>
      </c>
      <c r="V41">
        <f>IF($O41="","",IFERROR(CHOOSE(MATCH($F41,الإعدادات!$B$4:$B$7,0),INDEX('حضور سوريال'!$BM$7:$BM$36,$O41),INDEX('حضور غبريال'!$BM$7:$BM$36,$O41),INDEX('حضور رفائيل'!$BM$7:$BM$36,$O41),INDEX('حضور ميخائيل'!$BM$7:$BM$36,$O41)),""))</f>
        <v>0</v>
      </c>
      <c r="W41" t="str">
        <f>IF(OR(V41=3,V41=4),COUNTIFS(V$6:V41,3)+COUNTIFS(V$6:V41,4),"")</f>
        <v/>
      </c>
    </row>
    <row r="42" spans="1:23" ht="25.5" customHeight="1">
      <c r="A42" s="13">
        <f t="shared" si="0"/>
        <v>37</v>
      </c>
      <c r="B42" s="14" t="str">
        <f t="shared" si="1"/>
        <v>B-037</v>
      </c>
      <c r="C42" s="15" t="s">
        <v>209</v>
      </c>
      <c r="D42" s="16" t="s">
        <v>47</v>
      </c>
      <c r="E42" s="16" t="s">
        <v>49</v>
      </c>
      <c r="F42" s="16" t="s">
        <v>45</v>
      </c>
      <c r="G42" s="16"/>
      <c r="H42" s="17" t="s">
        <v>229</v>
      </c>
      <c r="I42" s="17" t="s">
        <v>229</v>
      </c>
      <c r="J42" s="73" t="s">
        <v>282</v>
      </c>
      <c r="K42" s="16" t="e" vm="22">
        <v>#VALUE!</v>
      </c>
      <c r="L42" s="18"/>
      <c r="M42" s="16" t="s">
        <v>46</v>
      </c>
      <c r="N42" s="19" t="str">
        <f t="shared" si="2"/>
        <v>سوريال|13</v>
      </c>
      <c r="O42" s="19">
        <f>IF(OR(C42="",F42=""),"",COUNTIFS(F$6:F42,F42,C$6:C42,"&lt;&gt;"))</f>
        <v>13</v>
      </c>
      <c r="P42" s="20">
        <f>IF($O42="","",IFERROR(CHOOSE(MATCH($F42,الإعدادات!$B$4:$B$7,0),INDEX('حضور سوريال'!$C$7:$C$36,$O42),INDEX('حضور غبريال'!$C$7:$C$36,$O42),INDEX('حضور رفائيل'!$C$7:$C$36,$O42),INDEX('حضور ميخائيل'!$C$7:$C$36,$O42)),""))</f>
        <v>0</v>
      </c>
      <c r="Q42" s="20">
        <f>IF($O42="","",IFERROR(CHOOSE(MATCH($F42,الإعدادات!$B$4:$B$7,0),INDEX('حضور سوريال'!$D$7:$D$36,$O42),INDEX('حضور غبريال'!$D$7:$D$36,$O42),INDEX('حضور رفائيل'!$D$7:$D$36,$O42),INDEX('حضور ميخائيل'!$D$7:$D$36,$O42)),""))</f>
        <v>0</v>
      </c>
      <c r="R42" s="21" t="str">
        <f>IF($O42="","",IFERROR(CHOOSE(MATCH($F42,الإعدادات!$B$4:$B$7,0),INDEX('حضور سوريال'!$F$7:$F$36,$O42),INDEX('حضور غبريال'!$F$7:$F$36,$O42),INDEX('حضور رفائيل'!$F$7:$F$36,$O42),INDEX('حضور ميخائيل'!$F$7:$F$36,$O42)),""))</f>
        <v/>
      </c>
      <c r="S42" s="20">
        <f>IF($O42="","",IFERROR(CHOOSE(MATCH($F42,الإعدادات!$B$4:$B$7,0),INDEX('حضور سوريال'!$G$7:$G$36,$O42),INDEX('حضور غبريال'!$G$7:$G$36,$O42),INDEX('حضور رفائيل'!$G$7:$G$36,$O42),INDEX('حضور ميخائيل'!$G$7:$G$36,$O42)),""))</f>
        <v>0</v>
      </c>
      <c r="T42" s="22" t="str">
        <f>IF($O42="","",IFERROR(CHOOSE(MATCH($F42,الإعدادات!$B$4:$B$7,0),INDEX('حضور سوريال'!$H$7:$H$36,$O42),INDEX('حضور غبريال'!$H$7:$H$36,$O42),INDEX('حضور رفائيل'!$H$7:$H$36,$O42),INDEX('حضور ميخائيل'!$H$7:$H$36,$O42)),""))</f>
        <v>—</v>
      </c>
      <c r="U42" s="23" t="str">
        <f>IF($O42="","",IFERROR(CHOOSE(MATCH($F42,الإعدادات!$B$4:$B$7,0),INDEX('حضور سوريال'!$I$7:$I$36,$O42),INDEX('حضور غبريال'!$I$7:$I$36,$O42),INDEX('حضور رفائيل'!$I$7:$I$36,$O42),INDEX('حضور ميخائيل'!$I$7:$I$36,$O42)),""))</f>
        <v>⏳ لسه مفيش حضور</v>
      </c>
      <c r="V42">
        <f>IF($O42="","",IFERROR(CHOOSE(MATCH($F42,الإعدادات!$B$4:$B$7,0),INDEX('حضور سوريال'!$BM$7:$BM$36,$O42),INDEX('حضور غبريال'!$BM$7:$BM$36,$O42),INDEX('حضور رفائيل'!$BM$7:$BM$36,$O42),INDEX('حضور ميخائيل'!$BM$7:$BM$36,$O42)),""))</f>
        <v>0</v>
      </c>
      <c r="W42" t="str">
        <f>IF(OR(V42=3,V42=4),COUNTIFS(V$6:V42,3)+COUNTIFS(V$6:V42,4),"")</f>
        <v/>
      </c>
    </row>
    <row r="43" spans="1:23" ht="25.5" customHeight="1">
      <c r="A43" s="13">
        <f t="shared" si="0"/>
        <v>38</v>
      </c>
      <c r="B43" s="14" t="str">
        <f t="shared" si="1"/>
        <v>B-038</v>
      </c>
      <c r="C43" s="15" t="s">
        <v>210</v>
      </c>
      <c r="D43" s="16" t="s">
        <v>47</v>
      </c>
      <c r="E43" s="16" t="s">
        <v>49</v>
      </c>
      <c r="F43" s="16" t="s">
        <v>45</v>
      </c>
      <c r="G43" s="16"/>
      <c r="H43" s="17" t="s">
        <v>230</v>
      </c>
      <c r="I43" s="17" t="s">
        <v>251</v>
      </c>
      <c r="J43" s="18" t="s">
        <v>270</v>
      </c>
      <c r="K43" s="16"/>
      <c r="L43" s="18"/>
      <c r="M43" s="16" t="s">
        <v>46</v>
      </c>
      <c r="N43" s="19" t="str">
        <f t="shared" si="2"/>
        <v>سوريال|14</v>
      </c>
      <c r="O43" s="19">
        <f>IF(OR(C43="",F43=""),"",COUNTIFS(F$6:F43,F43,C$6:C43,"&lt;&gt;"))</f>
        <v>14</v>
      </c>
      <c r="P43" s="20">
        <f>IF($O43="","",IFERROR(CHOOSE(MATCH($F43,الإعدادات!$B$4:$B$7,0),INDEX('حضور سوريال'!$C$7:$C$36,$O43),INDEX('حضور غبريال'!$C$7:$C$36,$O43),INDEX('حضور رفائيل'!$C$7:$C$36,$O43),INDEX('حضور ميخائيل'!$C$7:$C$36,$O43)),""))</f>
        <v>0</v>
      </c>
      <c r="Q43" s="20">
        <f>IF($O43="","",IFERROR(CHOOSE(MATCH($F43,الإعدادات!$B$4:$B$7,0),INDEX('حضور سوريال'!$D$7:$D$36,$O43),INDEX('حضور غبريال'!$D$7:$D$36,$O43),INDEX('حضور رفائيل'!$D$7:$D$36,$O43),INDEX('حضور ميخائيل'!$D$7:$D$36,$O43)),""))</f>
        <v>0</v>
      </c>
      <c r="R43" s="21" t="str">
        <f>IF($O43="","",IFERROR(CHOOSE(MATCH($F43,الإعدادات!$B$4:$B$7,0),INDEX('حضور سوريال'!$F$7:$F$36,$O43),INDEX('حضور غبريال'!$F$7:$F$36,$O43),INDEX('حضور رفائيل'!$F$7:$F$36,$O43),INDEX('حضور ميخائيل'!$F$7:$F$36,$O43)),""))</f>
        <v/>
      </c>
      <c r="S43" s="20">
        <f>IF($O43="","",IFERROR(CHOOSE(MATCH($F43,الإعدادات!$B$4:$B$7,0),INDEX('حضور سوريال'!$G$7:$G$36,$O43),INDEX('حضور غبريال'!$G$7:$G$36,$O43),INDEX('حضور رفائيل'!$G$7:$G$36,$O43),INDEX('حضور ميخائيل'!$G$7:$G$36,$O43)),""))</f>
        <v>0</v>
      </c>
      <c r="T43" s="22" t="str">
        <f>IF($O43="","",IFERROR(CHOOSE(MATCH($F43,الإعدادات!$B$4:$B$7,0),INDEX('حضور سوريال'!$H$7:$H$36,$O43),INDEX('حضور غبريال'!$H$7:$H$36,$O43),INDEX('حضور رفائيل'!$H$7:$H$36,$O43),INDEX('حضور ميخائيل'!$H$7:$H$36,$O43)),""))</f>
        <v>—</v>
      </c>
      <c r="U43" s="23" t="str">
        <f>IF($O43="","",IFERROR(CHOOSE(MATCH($F43,الإعدادات!$B$4:$B$7,0),INDEX('حضور سوريال'!$I$7:$I$36,$O43),INDEX('حضور غبريال'!$I$7:$I$36,$O43),INDEX('حضور رفائيل'!$I$7:$I$36,$O43),INDEX('حضور ميخائيل'!$I$7:$I$36,$O43)),""))</f>
        <v>⏳ لسه مفيش حضور</v>
      </c>
      <c r="V43">
        <f>IF($O43="","",IFERROR(CHOOSE(MATCH($F43,الإعدادات!$B$4:$B$7,0),INDEX('حضور سوريال'!$BM$7:$BM$36,$O43),INDEX('حضور غبريال'!$BM$7:$BM$36,$O43),INDEX('حضور رفائيل'!$BM$7:$BM$36,$O43),INDEX('حضور ميخائيل'!$BM$7:$BM$36,$O43)),""))</f>
        <v>0</v>
      </c>
      <c r="W43" t="str">
        <f>IF(OR(V43=3,V43=4),COUNTIFS(V$6:V43,3)+COUNTIFS(V$6:V43,4),"")</f>
        <v/>
      </c>
    </row>
    <row r="44" spans="1:23" ht="25.5" customHeight="1">
      <c r="A44" s="13">
        <f t="shared" si="0"/>
        <v>39</v>
      </c>
      <c r="B44" s="14" t="str">
        <f t="shared" si="1"/>
        <v>B-039</v>
      </c>
      <c r="C44" s="15" t="s">
        <v>211</v>
      </c>
      <c r="D44" s="16" t="s">
        <v>43</v>
      </c>
      <c r="E44" s="16" t="s">
        <v>49</v>
      </c>
      <c r="F44" s="16" t="s">
        <v>45</v>
      </c>
      <c r="G44" s="16"/>
      <c r="H44" s="17" t="s">
        <v>240</v>
      </c>
      <c r="I44" s="17" t="s">
        <v>252</v>
      </c>
      <c r="J44" s="18" t="s">
        <v>271</v>
      </c>
      <c r="K44" s="16"/>
      <c r="L44" s="18"/>
      <c r="M44" s="16" t="s">
        <v>46</v>
      </c>
      <c r="N44" s="19" t="str">
        <f t="shared" si="2"/>
        <v>سوريال|15</v>
      </c>
      <c r="O44" s="19">
        <f>IF(OR(C44="",F44=""),"",COUNTIFS(F$6:F44,F44,C$6:C44,"&lt;&gt;"))</f>
        <v>15</v>
      </c>
      <c r="P44" s="20">
        <f>IF($O44="","",IFERROR(CHOOSE(MATCH($F44,الإعدادات!$B$4:$B$7,0),INDEX('حضور سوريال'!$C$7:$C$36,$O44),INDEX('حضور غبريال'!$C$7:$C$36,$O44),INDEX('حضور رفائيل'!$C$7:$C$36,$O44),INDEX('حضور ميخائيل'!$C$7:$C$36,$O44)),""))</f>
        <v>0</v>
      </c>
      <c r="Q44" s="20">
        <f>IF($O44="","",IFERROR(CHOOSE(MATCH($F44,الإعدادات!$B$4:$B$7,0),INDEX('حضور سوريال'!$D$7:$D$36,$O44),INDEX('حضور غبريال'!$D$7:$D$36,$O44),INDEX('حضور رفائيل'!$D$7:$D$36,$O44),INDEX('حضور ميخائيل'!$D$7:$D$36,$O44)),""))</f>
        <v>0</v>
      </c>
      <c r="R44" s="21" t="str">
        <f>IF($O44="","",IFERROR(CHOOSE(MATCH($F44,الإعدادات!$B$4:$B$7,0),INDEX('حضور سوريال'!$F$7:$F$36,$O44),INDEX('حضور غبريال'!$F$7:$F$36,$O44),INDEX('حضور رفائيل'!$F$7:$F$36,$O44),INDEX('حضور ميخائيل'!$F$7:$F$36,$O44)),""))</f>
        <v/>
      </c>
      <c r="S44" s="20">
        <f>IF($O44="","",IFERROR(CHOOSE(MATCH($F44,الإعدادات!$B$4:$B$7,0),INDEX('حضور سوريال'!$G$7:$G$36,$O44),INDEX('حضور غبريال'!$G$7:$G$36,$O44),INDEX('حضور رفائيل'!$G$7:$G$36,$O44),INDEX('حضور ميخائيل'!$G$7:$G$36,$O44)),""))</f>
        <v>0</v>
      </c>
      <c r="T44" s="22" t="str">
        <f>IF($O44="","",IFERROR(CHOOSE(MATCH($F44,الإعدادات!$B$4:$B$7,0),INDEX('حضور سوريال'!$H$7:$H$36,$O44),INDEX('حضور غبريال'!$H$7:$H$36,$O44),INDEX('حضور رفائيل'!$H$7:$H$36,$O44),INDEX('حضور ميخائيل'!$H$7:$H$36,$O44)),""))</f>
        <v>—</v>
      </c>
      <c r="U44" s="23" t="str">
        <f>IF($O44="","",IFERROR(CHOOSE(MATCH($F44,الإعدادات!$B$4:$B$7,0),INDEX('حضور سوريال'!$I$7:$I$36,$O44),INDEX('حضور غبريال'!$I$7:$I$36,$O44),INDEX('حضور رفائيل'!$I$7:$I$36,$O44),INDEX('حضور ميخائيل'!$I$7:$I$36,$O44)),""))</f>
        <v>⏳ لسه مفيش حضور</v>
      </c>
      <c r="V44">
        <f>IF($O44="","",IFERROR(CHOOSE(MATCH($F44,الإعدادات!$B$4:$B$7,0),INDEX('حضور سوريال'!$BM$7:$BM$36,$O44),INDEX('حضور غبريال'!$BM$7:$BM$36,$O44),INDEX('حضور رفائيل'!$BM$7:$BM$36,$O44),INDEX('حضور ميخائيل'!$BM$7:$BM$36,$O44)),""))</f>
        <v>0</v>
      </c>
      <c r="W44" t="str">
        <f>IF(OR(V44=3,V44=4),COUNTIFS(V$6:V44,3)+COUNTIFS(V$6:V44,4),"")</f>
        <v/>
      </c>
    </row>
    <row r="45" spans="1:23" ht="25.5" customHeight="1">
      <c r="A45" s="13">
        <f t="shared" si="0"/>
        <v>40</v>
      </c>
      <c r="B45" s="14" t="str">
        <f t="shared" si="1"/>
        <v>B-040</v>
      </c>
      <c r="C45" s="15" t="s">
        <v>212</v>
      </c>
      <c r="D45" s="16" t="s">
        <v>43</v>
      </c>
      <c r="E45" s="16" t="s">
        <v>49</v>
      </c>
      <c r="F45" s="16" t="s">
        <v>45</v>
      </c>
      <c r="G45" s="16"/>
      <c r="H45" s="17" t="s">
        <v>241</v>
      </c>
      <c r="I45" s="17" t="s">
        <v>253</v>
      </c>
      <c r="J45" s="18" t="s">
        <v>272</v>
      </c>
      <c r="K45" s="16" t="e" vm="23">
        <v>#VALUE!</v>
      </c>
      <c r="L45" s="18"/>
      <c r="M45" s="16" t="s">
        <v>46</v>
      </c>
      <c r="N45" s="19" t="str">
        <f t="shared" si="2"/>
        <v>سوريال|16</v>
      </c>
      <c r="O45" s="19">
        <f>IF(OR(C45="",F45=""),"",COUNTIFS(F$6:F45,F45,C$6:C45,"&lt;&gt;"))</f>
        <v>16</v>
      </c>
      <c r="P45" s="20">
        <f>IF($O45="","",IFERROR(CHOOSE(MATCH($F45,الإعدادات!$B$4:$B$7,0),INDEX('حضور سوريال'!$C$7:$C$36,$O45),INDEX('حضور غبريال'!$C$7:$C$36,$O45),INDEX('حضور رفائيل'!$C$7:$C$36,$O45),INDEX('حضور ميخائيل'!$C$7:$C$36,$O45)),""))</f>
        <v>0</v>
      </c>
      <c r="Q45" s="20">
        <f>IF($O45="","",IFERROR(CHOOSE(MATCH($F45,الإعدادات!$B$4:$B$7,0),INDEX('حضور سوريال'!$D$7:$D$36,$O45),INDEX('حضور غبريال'!$D$7:$D$36,$O45),INDEX('حضور رفائيل'!$D$7:$D$36,$O45),INDEX('حضور ميخائيل'!$D$7:$D$36,$O45)),""))</f>
        <v>0</v>
      </c>
      <c r="R45" s="21" t="str">
        <f>IF($O45="","",IFERROR(CHOOSE(MATCH($F45,الإعدادات!$B$4:$B$7,0),INDEX('حضور سوريال'!$F$7:$F$36,$O45),INDEX('حضور غبريال'!$F$7:$F$36,$O45),INDEX('حضور رفائيل'!$F$7:$F$36,$O45),INDEX('حضور ميخائيل'!$F$7:$F$36,$O45)),""))</f>
        <v/>
      </c>
      <c r="S45" s="20">
        <f>IF($O45="","",IFERROR(CHOOSE(MATCH($F45,الإعدادات!$B$4:$B$7,0),INDEX('حضور سوريال'!$G$7:$G$36,$O45),INDEX('حضور غبريال'!$G$7:$G$36,$O45),INDEX('حضور رفائيل'!$G$7:$G$36,$O45),INDEX('حضور ميخائيل'!$G$7:$G$36,$O45)),""))</f>
        <v>0</v>
      </c>
      <c r="T45" s="22" t="str">
        <f>IF($O45="","",IFERROR(CHOOSE(MATCH($F45,الإعدادات!$B$4:$B$7,0),INDEX('حضور سوريال'!$H$7:$H$36,$O45),INDEX('حضور غبريال'!$H$7:$H$36,$O45),INDEX('حضور رفائيل'!$H$7:$H$36,$O45),INDEX('حضور ميخائيل'!$H$7:$H$36,$O45)),""))</f>
        <v>—</v>
      </c>
      <c r="U45" s="23" t="str">
        <f>IF($O45="","",IFERROR(CHOOSE(MATCH($F45,الإعدادات!$B$4:$B$7,0),INDEX('حضور سوريال'!$I$7:$I$36,$O45),INDEX('حضور غبريال'!$I$7:$I$36,$O45),INDEX('حضور رفائيل'!$I$7:$I$36,$O45),INDEX('حضور ميخائيل'!$I$7:$I$36,$O45)),""))</f>
        <v>⏳ لسه مفيش حضور</v>
      </c>
      <c r="V45">
        <f>IF($O45="","",IFERROR(CHOOSE(MATCH($F45,الإعدادات!$B$4:$B$7,0),INDEX('حضور سوريال'!$BM$7:$BM$36,$O45),INDEX('حضور غبريال'!$BM$7:$BM$36,$O45),INDEX('حضور رفائيل'!$BM$7:$BM$36,$O45),INDEX('حضور ميخائيل'!$BM$7:$BM$36,$O45)),""))</f>
        <v>0</v>
      </c>
      <c r="W45" t="str">
        <f>IF(OR(V45=3,V45=4),COUNTIFS(V$6:V45,3)+COUNTIFS(V$6:V45,4),"")</f>
        <v/>
      </c>
    </row>
    <row r="46" spans="1:23" ht="25.5" customHeight="1">
      <c r="A46" s="13">
        <f t="shared" si="0"/>
        <v>41</v>
      </c>
      <c r="B46" s="14" t="str">
        <f t="shared" si="1"/>
        <v>B-041</v>
      </c>
      <c r="C46" s="15" t="s">
        <v>213</v>
      </c>
      <c r="D46" s="16" t="s">
        <v>47</v>
      </c>
      <c r="E46" s="16" t="s">
        <v>49</v>
      </c>
      <c r="F46" s="16" t="s">
        <v>45</v>
      </c>
      <c r="G46" s="16"/>
      <c r="H46" s="17" t="s">
        <v>231</v>
      </c>
      <c r="I46" s="17" t="s">
        <v>254</v>
      </c>
      <c r="J46" s="18" t="s">
        <v>273</v>
      </c>
      <c r="K46" s="16" t="e" vm="24">
        <v>#VALUE!</v>
      </c>
      <c r="L46" s="18"/>
      <c r="M46" s="16" t="s">
        <v>46</v>
      </c>
      <c r="N46" s="19" t="str">
        <f t="shared" si="2"/>
        <v>سوريال|17</v>
      </c>
      <c r="O46" s="19">
        <f>IF(OR(C46="",F46=""),"",COUNTIFS(F$6:F46,F46,C$6:C46,"&lt;&gt;"))</f>
        <v>17</v>
      </c>
      <c r="P46" s="20">
        <f>IF($O46="","",IFERROR(CHOOSE(MATCH($F46,الإعدادات!$B$4:$B$7,0),INDEX('حضور سوريال'!$C$7:$C$36,$O46),INDEX('حضور غبريال'!$C$7:$C$36,$O46),INDEX('حضور رفائيل'!$C$7:$C$36,$O46),INDEX('حضور ميخائيل'!$C$7:$C$36,$O46)),""))</f>
        <v>0</v>
      </c>
      <c r="Q46" s="20">
        <f>IF($O46="","",IFERROR(CHOOSE(MATCH($F46,الإعدادات!$B$4:$B$7,0),INDEX('حضور سوريال'!$D$7:$D$36,$O46),INDEX('حضور غبريال'!$D$7:$D$36,$O46),INDEX('حضور رفائيل'!$D$7:$D$36,$O46),INDEX('حضور ميخائيل'!$D$7:$D$36,$O46)),""))</f>
        <v>0</v>
      </c>
      <c r="R46" s="21" t="str">
        <f>IF($O46="","",IFERROR(CHOOSE(MATCH($F46,الإعدادات!$B$4:$B$7,0),INDEX('حضور سوريال'!$F$7:$F$36,$O46),INDEX('حضور غبريال'!$F$7:$F$36,$O46),INDEX('حضور رفائيل'!$F$7:$F$36,$O46),INDEX('حضور ميخائيل'!$F$7:$F$36,$O46)),""))</f>
        <v/>
      </c>
      <c r="S46" s="20">
        <f>IF($O46="","",IFERROR(CHOOSE(MATCH($F46,الإعدادات!$B$4:$B$7,0),INDEX('حضور سوريال'!$G$7:$G$36,$O46),INDEX('حضور غبريال'!$G$7:$G$36,$O46),INDEX('حضور رفائيل'!$G$7:$G$36,$O46),INDEX('حضور ميخائيل'!$G$7:$G$36,$O46)),""))</f>
        <v>0</v>
      </c>
      <c r="T46" s="22" t="str">
        <f>IF($O46="","",IFERROR(CHOOSE(MATCH($F46,الإعدادات!$B$4:$B$7,0),INDEX('حضور سوريال'!$H$7:$H$36,$O46),INDEX('حضور غبريال'!$H$7:$H$36,$O46),INDEX('حضور رفائيل'!$H$7:$H$36,$O46),INDEX('حضور ميخائيل'!$H$7:$H$36,$O46)),""))</f>
        <v>—</v>
      </c>
      <c r="U46" s="23" t="str">
        <f>IF($O46="","",IFERROR(CHOOSE(MATCH($F46,الإعدادات!$B$4:$B$7,0),INDEX('حضور سوريال'!$I$7:$I$36,$O46),INDEX('حضور غبريال'!$I$7:$I$36,$O46),INDEX('حضور رفائيل'!$I$7:$I$36,$O46),INDEX('حضور ميخائيل'!$I$7:$I$36,$O46)),""))</f>
        <v>⏳ لسه مفيش حضور</v>
      </c>
      <c r="V46">
        <f>IF($O46="","",IFERROR(CHOOSE(MATCH($F46,الإعدادات!$B$4:$B$7,0),INDEX('حضور سوريال'!$BM$7:$BM$36,$O46),INDEX('حضور غبريال'!$BM$7:$BM$36,$O46),INDEX('حضور رفائيل'!$BM$7:$BM$36,$O46),INDEX('حضور ميخائيل'!$BM$7:$BM$36,$O46)),""))</f>
        <v>0</v>
      </c>
      <c r="W46" t="str">
        <f>IF(OR(V46=3,V46=4),COUNTIFS(V$6:V46,3)+COUNTIFS(V$6:V46,4),"")</f>
        <v/>
      </c>
    </row>
    <row r="47" spans="1:23" ht="25.5" customHeight="1">
      <c r="A47" s="13">
        <f t="shared" si="0"/>
        <v>42</v>
      </c>
      <c r="B47" s="14" t="str">
        <f t="shared" si="1"/>
        <v>B-042</v>
      </c>
      <c r="C47" s="15" t="s">
        <v>214</v>
      </c>
      <c r="D47" s="16" t="s">
        <v>47</v>
      </c>
      <c r="E47" s="16" t="s">
        <v>49</v>
      </c>
      <c r="F47" s="16" t="s">
        <v>45</v>
      </c>
      <c r="G47" s="16"/>
      <c r="H47" s="17" t="s">
        <v>242</v>
      </c>
      <c r="I47" s="17" t="s">
        <v>255</v>
      </c>
      <c r="J47" s="18" t="s">
        <v>274</v>
      </c>
      <c r="K47" s="16" t="e" vm="25">
        <v>#VALUE!</v>
      </c>
      <c r="L47" s="18"/>
      <c r="M47" s="16" t="s">
        <v>46</v>
      </c>
      <c r="N47" s="19" t="str">
        <f t="shared" si="2"/>
        <v>سوريال|18</v>
      </c>
      <c r="O47" s="19">
        <f>IF(OR(C47="",F47=""),"",COUNTIFS(F$6:F47,F47,C$6:C47,"&lt;&gt;"))</f>
        <v>18</v>
      </c>
      <c r="P47" s="20">
        <f>IF($O47="","",IFERROR(CHOOSE(MATCH($F47,الإعدادات!$B$4:$B$7,0),INDEX('حضور سوريال'!$C$7:$C$36,$O47),INDEX('حضور غبريال'!$C$7:$C$36,$O47),INDEX('حضور رفائيل'!$C$7:$C$36,$O47),INDEX('حضور ميخائيل'!$C$7:$C$36,$O47)),""))</f>
        <v>0</v>
      </c>
      <c r="Q47" s="20">
        <f>IF($O47="","",IFERROR(CHOOSE(MATCH($F47,الإعدادات!$B$4:$B$7,0),INDEX('حضور سوريال'!$D$7:$D$36,$O47),INDEX('حضور غبريال'!$D$7:$D$36,$O47),INDEX('حضور رفائيل'!$D$7:$D$36,$O47),INDEX('حضور ميخائيل'!$D$7:$D$36,$O47)),""))</f>
        <v>0</v>
      </c>
      <c r="R47" s="21" t="str">
        <f>IF($O47="","",IFERROR(CHOOSE(MATCH($F47,الإعدادات!$B$4:$B$7,0),INDEX('حضور سوريال'!$F$7:$F$36,$O47),INDEX('حضور غبريال'!$F$7:$F$36,$O47),INDEX('حضور رفائيل'!$F$7:$F$36,$O47),INDEX('حضور ميخائيل'!$F$7:$F$36,$O47)),""))</f>
        <v/>
      </c>
      <c r="S47" s="20">
        <f>IF($O47="","",IFERROR(CHOOSE(MATCH($F47,الإعدادات!$B$4:$B$7,0),INDEX('حضور سوريال'!$G$7:$G$36,$O47),INDEX('حضور غبريال'!$G$7:$G$36,$O47),INDEX('حضور رفائيل'!$G$7:$G$36,$O47),INDEX('حضور ميخائيل'!$G$7:$G$36,$O47)),""))</f>
        <v>0</v>
      </c>
      <c r="T47" s="22" t="str">
        <f>IF($O47="","",IFERROR(CHOOSE(MATCH($F47,الإعدادات!$B$4:$B$7,0),INDEX('حضور سوريال'!$H$7:$H$36,$O47),INDEX('حضور غبريال'!$H$7:$H$36,$O47),INDEX('حضور رفائيل'!$H$7:$H$36,$O47),INDEX('حضور ميخائيل'!$H$7:$H$36,$O47)),""))</f>
        <v>—</v>
      </c>
      <c r="U47" s="23" t="str">
        <f>IF($O47="","",IFERROR(CHOOSE(MATCH($F47,الإعدادات!$B$4:$B$7,0),INDEX('حضور سوريال'!$I$7:$I$36,$O47),INDEX('حضور غبريال'!$I$7:$I$36,$O47),INDEX('حضور رفائيل'!$I$7:$I$36,$O47),INDEX('حضور ميخائيل'!$I$7:$I$36,$O47)),""))</f>
        <v>⏳ لسه مفيش حضور</v>
      </c>
      <c r="V47">
        <f>IF($O47="","",IFERROR(CHOOSE(MATCH($F47,الإعدادات!$B$4:$B$7,0),INDEX('حضور سوريال'!$BM$7:$BM$36,$O47),INDEX('حضور غبريال'!$BM$7:$BM$36,$O47),INDEX('حضور رفائيل'!$BM$7:$BM$36,$O47),INDEX('حضور ميخائيل'!$BM$7:$BM$36,$O47)),""))</f>
        <v>0</v>
      </c>
      <c r="W47" t="str">
        <f>IF(OR(V47=3,V47=4),COUNTIFS(V$6:V47,3)+COUNTIFS(V$6:V47,4),"")</f>
        <v/>
      </c>
    </row>
    <row r="48" spans="1:23" ht="25.5" customHeight="1">
      <c r="A48" s="13">
        <f t="shared" si="0"/>
        <v>43</v>
      </c>
      <c r="B48" s="14" t="str">
        <f t="shared" si="1"/>
        <v>B-043</v>
      </c>
      <c r="C48" s="15" t="s">
        <v>215</v>
      </c>
      <c r="D48" s="16" t="s">
        <v>43</v>
      </c>
      <c r="E48" s="16" t="s">
        <v>49</v>
      </c>
      <c r="F48" s="16" t="s">
        <v>45</v>
      </c>
      <c r="G48" s="16"/>
      <c r="H48" s="17" t="s">
        <v>232</v>
      </c>
      <c r="I48" s="17" t="s">
        <v>256</v>
      </c>
      <c r="J48" s="18" t="s">
        <v>275</v>
      </c>
      <c r="K48" s="16" t="e" vm="26">
        <v>#VALUE!</v>
      </c>
      <c r="L48" s="18"/>
      <c r="M48" s="16" t="s">
        <v>46</v>
      </c>
      <c r="N48" s="19" t="str">
        <f t="shared" si="2"/>
        <v>سوريال|19</v>
      </c>
      <c r="O48" s="19">
        <f>IF(OR(C48="",F48=""),"",COUNTIFS(F$6:F48,F48,C$6:C48,"&lt;&gt;"))</f>
        <v>19</v>
      </c>
      <c r="P48" s="20">
        <f>IF($O48="","",IFERROR(CHOOSE(MATCH($F48,الإعدادات!$B$4:$B$7,0),INDEX('حضور سوريال'!$C$7:$C$36,$O48),INDEX('حضور غبريال'!$C$7:$C$36,$O48),INDEX('حضور رفائيل'!$C$7:$C$36,$O48),INDEX('حضور ميخائيل'!$C$7:$C$36,$O48)),""))</f>
        <v>0</v>
      </c>
      <c r="Q48" s="20">
        <f>IF($O48="","",IFERROR(CHOOSE(MATCH($F48,الإعدادات!$B$4:$B$7,0),INDEX('حضور سوريال'!$D$7:$D$36,$O48),INDEX('حضور غبريال'!$D$7:$D$36,$O48),INDEX('حضور رفائيل'!$D$7:$D$36,$O48),INDEX('حضور ميخائيل'!$D$7:$D$36,$O48)),""))</f>
        <v>0</v>
      </c>
      <c r="R48" s="21" t="str">
        <f>IF($O48="","",IFERROR(CHOOSE(MATCH($F48,الإعدادات!$B$4:$B$7,0),INDEX('حضور سوريال'!$F$7:$F$36,$O48),INDEX('حضور غبريال'!$F$7:$F$36,$O48),INDEX('حضور رفائيل'!$F$7:$F$36,$O48),INDEX('حضور ميخائيل'!$F$7:$F$36,$O48)),""))</f>
        <v/>
      </c>
      <c r="S48" s="20">
        <f>IF($O48="","",IFERROR(CHOOSE(MATCH($F48,الإعدادات!$B$4:$B$7,0),INDEX('حضور سوريال'!$G$7:$G$36,$O48),INDEX('حضور غبريال'!$G$7:$G$36,$O48),INDEX('حضور رفائيل'!$G$7:$G$36,$O48),INDEX('حضور ميخائيل'!$G$7:$G$36,$O48)),""))</f>
        <v>0</v>
      </c>
      <c r="T48" s="22" t="str">
        <f>IF($O48="","",IFERROR(CHOOSE(MATCH($F48,الإعدادات!$B$4:$B$7,0),INDEX('حضور سوريال'!$H$7:$H$36,$O48),INDEX('حضور غبريال'!$H$7:$H$36,$O48),INDEX('حضور رفائيل'!$H$7:$H$36,$O48),INDEX('حضور ميخائيل'!$H$7:$H$36,$O48)),""))</f>
        <v>—</v>
      </c>
      <c r="U48" s="23" t="str">
        <f>IF($O48="","",IFERROR(CHOOSE(MATCH($F48,الإعدادات!$B$4:$B$7,0),INDEX('حضور سوريال'!$I$7:$I$36,$O48),INDEX('حضور غبريال'!$I$7:$I$36,$O48),INDEX('حضور رفائيل'!$I$7:$I$36,$O48),INDEX('حضور ميخائيل'!$I$7:$I$36,$O48)),""))</f>
        <v>⏳ لسه مفيش حضور</v>
      </c>
      <c r="V48">
        <f>IF($O48="","",IFERROR(CHOOSE(MATCH($F48,الإعدادات!$B$4:$B$7,0),INDEX('حضور سوريال'!$BM$7:$BM$36,$O48),INDEX('حضور غبريال'!$BM$7:$BM$36,$O48),INDEX('حضور رفائيل'!$BM$7:$BM$36,$O48),INDEX('حضور ميخائيل'!$BM$7:$BM$36,$O48)),""))</f>
        <v>0</v>
      </c>
      <c r="W48" t="str">
        <f>IF(OR(V48=3,V48=4),COUNTIFS(V$6:V48,3)+COUNTIFS(V$6:V48,4),"")</f>
        <v/>
      </c>
    </row>
    <row r="49" spans="1:23" ht="25.5" customHeight="1">
      <c r="A49" s="13">
        <f t="shared" si="0"/>
        <v>44</v>
      </c>
      <c r="B49" s="14" t="str">
        <f t="shared" si="1"/>
        <v>B-044</v>
      </c>
      <c r="C49" s="15" t="s">
        <v>216</v>
      </c>
      <c r="D49" s="16" t="s">
        <v>47</v>
      </c>
      <c r="E49" s="16" t="s">
        <v>49</v>
      </c>
      <c r="F49" s="16" t="s">
        <v>45</v>
      </c>
      <c r="G49" s="16"/>
      <c r="H49" s="17" t="s">
        <v>243</v>
      </c>
      <c r="I49" s="17" t="s">
        <v>243</v>
      </c>
      <c r="J49" s="18" t="s">
        <v>276</v>
      </c>
      <c r="K49" s="16"/>
      <c r="L49" s="18"/>
      <c r="M49" s="16" t="s">
        <v>46</v>
      </c>
      <c r="N49" s="19" t="str">
        <f t="shared" si="2"/>
        <v>سوريال|20</v>
      </c>
      <c r="O49" s="19">
        <f>IF(OR(C49="",F49=""),"",COUNTIFS(F$6:F49,F49,C$6:C49,"&lt;&gt;"))</f>
        <v>20</v>
      </c>
      <c r="P49" s="20">
        <f>IF($O49="","",IFERROR(CHOOSE(MATCH($F49,الإعدادات!$B$4:$B$7,0),INDEX('حضور سوريال'!$C$7:$C$36,$O49),INDEX('حضور غبريال'!$C$7:$C$36,$O49),INDEX('حضور رفائيل'!$C$7:$C$36,$O49),INDEX('حضور ميخائيل'!$C$7:$C$36,$O49)),""))</f>
        <v>0</v>
      </c>
      <c r="Q49" s="20">
        <f>IF($O49="","",IFERROR(CHOOSE(MATCH($F49,الإعدادات!$B$4:$B$7,0),INDEX('حضور سوريال'!$D$7:$D$36,$O49),INDEX('حضور غبريال'!$D$7:$D$36,$O49),INDEX('حضور رفائيل'!$D$7:$D$36,$O49),INDEX('حضور ميخائيل'!$D$7:$D$36,$O49)),""))</f>
        <v>0</v>
      </c>
      <c r="R49" s="21" t="str">
        <f>IF($O49="","",IFERROR(CHOOSE(MATCH($F49,الإعدادات!$B$4:$B$7,0),INDEX('حضور سوريال'!$F$7:$F$36,$O49),INDEX('حضور غبريال'!$F$7:$F$36,$O49),INDEX('حضور رفائيل'!$F$7:$F$36,$O49),INDEX('حضور ميخائيل'!$F$7:$F$36,$O49)),""))</f>
        <v/>
      </c>
      <c r="S49" s="20">
        <f>IF($O49="","",IFERROR(CHOOSE(MATCH($F49,الإعدادات!$B$4:$B$7,0),INDEX('حضور سوريال'!$G$7:$G$36,$O49),INDEX('حضور غبريال'!$G$7:$G$36,$O49),INDEX('حضور رفائيل'!$G$7:$G$36,$O49),INDEX('حضور ميخائيل'!$G$7:$G$36,$O49)),""))</f>
        <v>0</v>
      </c>
      <c r="T49" s="22" t="str">
        <f>IF($O49="","",IFERROR(CHOOSE(MATCH($F49,الإعدادات!$B$4:$B$7,0),INDEX('حضور سوريال'!$H$7:$H$36,$O49),INDEX('حضور غبريال'!$H$7:$H$36,$O49),INDEX('حضور رفائيل'!$H$7:$H$36,$O49),INDEX('حضور ميخائيل'!$H$7:$H$36,$O49)),""))</f>
        <v>—</v>
      </c>
      <c r="U49" s="23" t="str">
        <f>IF($O49="","",IFERROR(CHOOSE(MATCH($F49,الإعدادات!$B$4:$B$7,0),INDEX('حضور سوريال'!$I$7:$I$36,$O49),INDEX('حضور غبريال'!$I$7:$I$36,$O49),INDEX('حضور رفائيل'!$I$7:$I$36,$O49),INDEX('حضور ميخائيل'!$I$7:$I$36,$O49)),""))</f>
        <v>⏳ لسه مفيش حضور</v>
      </c>
      <c r="V49">
        <f>IF($O49="","",IFERROR(CHOOSE(MATCH($F49,الإعدادات!$B$4:$B$7,0),INDEX('حضور سوريال'!$BM$7:$BM$36,$O49),INDEX('حضور غبريال'!$BM$7:$BM$36,$O49),INDEX('حضور رفائيل'!$BM$7:$BM$36,$O49),INDEX('حضور ميخائيل'!$BM$7:$BM$36,$O49)),""))</f>
        <v>0</v>
      </c>
      <c r="W49" t="str">
        <f>IF(OR(V49=3,V49=4),COUNTIFS(V$6:V49,3)+COUNTIFS(V$6:V49,4),"")</f>
        <v/>
      </c>
    </row>
    <row r="50" spans="1:23" ht="25.5" customHeight="1">
      <c r="A50" s="13">
        <f t="shared" si="0"/>
        <v>45</v>
      </c>
      <c r="B50" s="14" t="str">
        <f t="shared" si="1"/>
        <v>B-045</v>
      </c>
      <c r="C50" s="15" t="s">
        <v>217</v>
      </c>
      <c r="D50" s="16" t="s">
        <v>43</v>
      </c>
      <c r="E50" s="16" t="s">
        <v>49</v>
      </c>
      <c r="F50" s="16" t="s">
        <v>45</v>
      </c>
      <c r="G50" s="16"/>
      <c r="H50" s="17" t="s">
        <v>233</v>
      </c>
      <c r="I50" s="17" t="s">
        <v>233</v>
      </c>
      <c r="J50" s="18" t="s">
        <v>277</v>
      </c>
      <c r="K50" s="16"/>
      <c r="L50" s="18"/>
      <c r="M50" s="16" t="s">
        <v>46</v>
      </c>
      <c r="N50" s="19" t="str">
        <f t="shared" si="2"/>
        <v>سوريال|21</v>
      </c>
      <c r="O50" s="19">
        <f>IF(OR(C50="",F50=""),"",COUNTIFS(F$6:F50,F50,C$6:C50,"&lt;&gt;"))</f>
        <v>21</v>
      </c>
      <c r="P50" s="20">
        <f>IF($O50="","",IFERROR(CHOOSE(MATCH($F50,الإعدادات!$B$4:$B$7,0),INDEX('حضور سوريال'!$C$7:$C$36,$O50),INDEX('حضور غبريال'!$C$7:$C$36,$O50),INDEX('حضور رفائيل'!$C$7:$C$36,$O50),INDEX('حضور ميخائيل'!$C$7:$C$36,$O50)),""))</f>
        <v>0</v>
      </c>
      <c r="Q50" s="20">
        <f>IF($O50="","",IFERROR(CHOOSE(MATCH($F50,الإعدادات!$B$4:$B$7,0),INDEX('حضور سوريال'!$D$7:$D$36,$O50),INDEX('حضور غبريال'!$D$7:$D$36,$O50),INDEX('حضور رفائيل'!$D$7:$D$36,$O50),INDEX('حضور ميخائيل'!$D$7:$D$36,$O50)),""))</f>
        <v>0</v>
      </c>
      <c r="R50" s="21" t="str">
        <f>IF($O50="","",IFERROR(CHOOSE(MATCH($F50,الإعدادات!$B$4:$B$7,0),INDEX('حضور سوريال'!$F$7:$F$36,$O50),INDEX('حضور غبريال'!$F$7:$F$36,$O50),INDEX('حضور رفائيل'!$F$7:$F$36,$O50),INDEX('حضور ميخائيل'!$F$7:$F$36,$O50)),""))</f>
        <v/>
      </c>
      <c r="S50" s="20">
        <f>IF($O50="","",IFERROR(CHOOSE(MATCH($F50,الإعدادات!$B$4:$B$7,0),INDEX('حضور سوريال'!$G$7:$G$36,$O50),INDEX('حضور غبريال'!$G$7:$G$36,$O50),INDEX('حضور رفائيل'!$G$7:$G$36,$O50),INDEX('حضور ميخائيل'!$G$7:$G$36,$O50)),""))</f>
        <v>0</v>
      </c>
      <c r="T50" s="22" t="str">
        <f>IF($O50="","",IFERROR(CHOOSE(MATCH($F50,الإعدادات!$B$4:$B$7,0),INDEX('حضور سوريال'!$H$7:$H$36,$O50),INDEX('حضور غبريال'!$H$7:$H$36,$O50),INDEX('حضور رفائيل'!$H$7:$H$36,$O50),INDEX('حضور ميخائيل'!$H$7:$H$36,$O50)),""))</f>
        <v>—</v>
      </c>
      <c r="U50" s="23" t="str">
        <f>IF($O50="","",IFERROR(CHOOSE(MATCH($F50,الإعدادات!$B$4:$B$7,0),INDEX('حضور سوريال'!$I$7:$I$36,$O50),INDEX('حضور غبريال'!$I$7:$I$36,$O50),INDEX('حضور رفائيل'!$I$7:$I$36,$O50),INDEX('حضور ميخائيل'!$I$7:$I$36,$O50)),""))</f>
        <v>⏳ لسه مفيش حضور</v>
      </c>
      <c r="V50">
        <f>IF($O50="","",IFERROR(CHOOSE(MATCH($F50,الإعدادات!$B$4:$B$7,0),INDEX('حضور سوريال'!$BM$7:$BM$36,$O50),INDEX('حضور غبريال'!$BM$7:$BM$36,$O50),INDEX('حضور رفائيل'!$BM$7:$BM$36,$O50),INDEX('حضور ميخائيل'!$BM$7:$BM$36,$O50)),""))</f>
        <v>0</v>
      </c>
      <c r="W50" t="str">
        <f>IF(OR(V50=3,V50=4),COUNTIFS(V$6:V50,3)+COUNTIFS(V$6:V50,4),"")</f>
        <v/>
      </c>
    </row>
    <row r="51" spans="1:23" ht="25.5" customHeight="1">
      <c r="A51" s="13">
        <f t="shared" si="0"/>
        <v>46</v>
      </c>
      <c r="B51" s="14" t="str">
        <f t="shared" si="1"/>
        <v>B-046</v>
      </c>
      <c r="C51" s="15" t="s">
        <v>218</v>
      </c>
      <c r="D51" s="16" t="s">
        <v>43</v>
      </c>
      <c r="E51" s="16" t="s">
        <v>49</v>
      </c>
      <c r="F51" s="16" t="s">
        <v>45</v>
      </c>
      <c r="G51" s="16"/>
      <c r="H51" s="17" t="s">
        <v>244</v>
      </c>
      <c r="I51" s="17" t="s">
        <v>257</v>
      </c>
      <c r="J51" s="18" t="s">
        <v>278</v>
      </c>
      <c r="K51" s="16" t="e" vm="27">
        <v>#VALUE!</v>
      </c>
      <c r="L51" s="18"/>
      <c r="M51" s="16" t="s">
        <v>46</v>
      </c>
      <c r="N51" s="19" t="str">
        <f t="shared" si="2"/>
        <v>سوريال|22</v>
      </c>
      <c r="O51" s="19">
        <f>IF(OR(C51="",F51=""),"",COUNTIFS(F$6:F51,F51,C$6:C51,"&lt;&gt;"))</f>
        <v>22</v>
      </c>
      <c r="P51" s="20">
        <f>IF($O51="","",IFERROR(CHOOSE(MATCH($F51,الإعدادات!$B$4:$B$7,0),INDEX('حضور سوريال'!$C$7:$C$36,$O51),INDEX('حضور غبريال'!$C$7:$C$36,$O51),INDEX('حضور رفائيل'!$C$7:$C$36,$O51),INDEX('حضور ميخائيل'!$C$7:$C$36,$O51)),""))</f>
        <v>0</v>
      </c>
      <c r="Q51" s="20">
        <f>IF($O51="","",IFERROR(CHOOSE(MATCH($F51,الإعدادات!$B$4:$B$7,0),INDEX('حضور سوريال'!$D$7:$D$36,$O51),INDEX('حضور غبريال'!$D$7:$D$36,$O51),INDEX('حضور رفائيل'!$D$7:$D$36,$O51),INDEX('حضور ميخائيل'!$D$7:$D$36,$O51)),""))</f>
        <v>0</v>
      </c>
      <c r="R51" s="21" t="str">
        <f>IF($O51="","",IFERROR(CHOOSE(MATCH($F51,الإعدادات!$B$4:$B$7,0),INDEX('حضور سوريال'!$F$7:$F$36,$O51),INDEX('حضور غبريال'!$F$7:$F$36,$O51),INDEX('حضور رفائيل'!$F$7:$F$36,$O51),INDEX('حضور ميخائيل'!$F$7:$F$36,$O51)),""))</f>
        <v/>
      </c>
      <c r="S51" s="20">
        <f>IF($O51="","",IFERROR(CHOOSE(MATCH($F51,الإعدادات!$B$4:$B$7,0),INDEX('حضور سوريال'!$G$7:$G$36,$O51),INDEX('حضور غبريال'!$G$7:$G$36,$O51),INDEX('حضور رفائيل'!$G$7:$G$36,$O51),INDEX('حضور ميخائيل'!$G$7:$G$36,$O51)),""))</f>
        <v>0</v>
      </c>
      <c r="T51" s="22" t="str">
        <f>IF($O51="","",IFERROR(CHOOSE(MATCH($F51,الإعدادات!$B$4:$B$7,0),INDEX('حضور سوريال'!$H$7:$H$36,$O51),INDEX('حضور غبريال'!$H$7:$H$36,$O51),INDEX('حضور رفائيل'!$H$7:$H$36,$O51),INDEX('حضور ميخائيل'!$H$7:$H$36,$O51)),""))</f>
        <v>—</v>
      </c>
      <c r="U51" s="23" t="str">
        <f>IF($O51="","",IFERROR(CHOOSE(MATCH($F51,الإعدادات!$B$4:$B$7,0),INDEX('حضور سوريال'!$I$7:$I$36,$O51),INDEX('حضور غبريال'!$I$7:$I$36,$O51),INDEX('حضور رفائيل'!$I$7:$I$36,$O51),INDEX('حضور ميخائيل'!$I$7:$I$36,$O51)),""))</f>
        <v>⏳ لسه مفيش حضور</v>
      </c>
      <c r="V51">
        <f>IF($O51="","",IFERROR(CHOOSE(MATCH($F51,الإعدادات!$B$4:$B$7,0),INDEX('حضور سوريال'!$BM$7:$BM$36,$O51),INDEX('حضور غبريال'!$BM$7:$BM$36,$O51),INDEX('حضور رفائيل'!$BM$7:$BM$36,$O51),INDEX('حضور ميخائيل'!$BM$7:$BM$36,$O51)),""))</f>
        <v>0</v>
      </c>
      <c r="W51" t="str">
        <f>IF(OR(V51=3,V51=4),COUNTIFS(V$6:V51,3)+COUNTIFS(V$6:V51,4),"")</f>
        <v/>
      </c>
    </row>
    <row r="52" spans="1:23" ht="25.5" customHeight="1">
      <c r="A52" s="13">
        <f t="shared" si="0"/>
        <v>47</v>
      </c>
      <c r="B52" s="14" t="str">
        <f t="shared" si="1"/>
        <v>B-047</v>
      </c>
      <c r="C52" s="15" t="s">
        <v>219</v>
      </c>
      <c r="D52" s="16" t="s">
        <v>43</v>
      </c>
      <c r="E52" s="16" t="s">
        <v>49</v>
      </c>
      <c r="F52" s="16" t="s">
        <v>45</v>
      </c>
      <c r="G52" s="16"/>
      <c r="H52" s="17" t="s">
        <v>234</v>
      </c>
      <c r="I52" s="17" t="s">
        <v>258</v>
      </c>
      <c r="J52" s="18" t="s">
        <v>279</v>
      </c>
      <c r="K52" s="16"/>
      <c r="L52" s="18"/>
      <c r="M52" s="16" t="s">
        <v>46</v>
      </c>
      <c r="N52" s="19" t="str">
        <f t="shared" si="2"/>
        <v>سوريال|23</v>
      </c>
      <c r="O52" s="19">
        <f>IF(OR(C52="",F52=""),"",COUNTIFS(F$6:F52,F52,C$6:C52,"&lt;&gt;"))</f>
        <v>23</v>
      </c>
      <c r="P52" s="20">
        <f>IF($O52="","",IFERROR(CHOOSE(MATCH($F52,الإعدادات!$B$4:$B$7,0),INDEX('حضور سوريال'!$C$7:$C$36,$O52),INDEX('حضور غبريال'!$C$7:$C$36,$O52),INDEX('حضور رفائيل'!$C$7:$C$36,$O52),INDEX('حضور ميخائيل'!$C$7:$C$36,$O52)),""))</f>
        <v>0</v>
      </c>
      <c r="Q52" s="20">
        <f>IF($O52="","",IFERROR(CHOOSE(MATCH($F52,الإعدادات!$B$4:$B$7,0),INDEX('حضور سوريال'!$D$7:$D$36,$O52),INDEX('حضور غبريال'!$D$7:$D$36,$O52),INDEX('حضور رفائيل'!$D$7:$D$36,$O52),INDEX('حضور ميخائيل'!$D$7:$D$36,$O52)),""))</f>
        <v>0</v>
      </c>
      <c r="R52" s="21" t="str">
        <f>IF($O52="","",IFERROR(CHOOSE(MATCH($F52,الإعدادات!$B$4:$B$7,0),INDEX('حضور سوريال'!$F$7:$F$36,$O52),INDEX('حضور غبريال'!$F$7:$F$36,$O52),INDEX('حضور رفائيل'!$F$7:$F$36,$O52),INDEX('حضور ميخائيل'!$F$7:$F$36,$O52)),""))</f>
        <v/>
      </c>
      <c r="S52" s="20">
        <f>IF($O52="","",IFERROR(CHOOSE(MATCH($F52,الإعدادات!$B$4:$B$7,0),INDEX('حضور سوريال'!$G$7:$G$36,$O52),INDEX('حضور غبريال'!$G$7:$G$36,$O52),INDEX('حضور رفائيل'!$G$7:$G$36,$O52),INDEX('حضور ميخائيل'!$G$7:$G$36,$O52)),""))</f>
        <v>0</v>
      </c>
      <c r="T52" s="22" t="str">
        <f>IF($O52="","",IFERROR(CHOOSE(MATCH($F52,الإعدادات!$B$4:$B$7,0),INDEX('حضور سوريال'!$H$7:$H$36,$O52),INDEX('حضور غبريال'!$H$7:$H$36,$O52),INDEX('حضور رفائيل'!$H$7:$H$36,$O52),INDEX('حضور ميخائيل'!$H$7:$H$36,$O52)),""))</f>
        <v>—</v>
      </c>
      <c r="U52" s="23" t="str">
        <f>IF($O52="","",IFERROR(CHOOSE(MATCH($F52,الإعدادات!$B$4:$B$7,0),INDEX('حضور سوريال'!$I$7:$I$36,$O52),INDEX('حضور غبريال'!$I$7:$I$36,$O52),INDEX('حضور رفائيل'!$I$7:$I$36,$O52),INDEX('حضور ميخائيل'!$I$7:$I$36,$O52)),""))</f>
        <v>⏳ لسه مفيش حضور</v>
      </c>
      <c r="V52">
        <f>IF($O52="","",IFERROR(CHOOSE(MATCH($F52,الإعدادات!$B$4:$B$7,0),INDEX('حضور سوريال'!$BM$7:$BM$36,$O52),INDEX('حضور غبريال'!$BM$7:$BM$36,$O52),INDEX('حضور رفائيل'!$BM$7:$BM$36,$O52),INDEX('حضور ميخائيل'!$BM$7:$BM$36,$O52)),""))</f>
        <v>0</v>
      </c>
      <c r="W52" t="str">
        <f>IF(OR(V52=3,V52=4),COUNTIFS(V$6:V52,3)+COUNTIFS(V$6:V52,4),"")</f>
        <v/>
      </c>
    </row>
    <row r="53" spans="1:23" ht="25.5" customHeight="1">
      <c r="A53" s="13">
        <f t="shared" si="0"/>
        <v>48</v>
      </c>
      <c r="B53" s="14" t="str">
        <f t="shared" si="1"/>
        <v>B-048</v>
      </c>
      <c r="C53" s="15" t="s">
        <v>220</v>
      </c>
      <c r="D53" s="16" t="s">
        <v>43</v>
      </c>
      <c r="E53" s="16" t="s">
        <v>49</v>
      </c>
      <c r="F53" s="16" t="s">
        <v>45</v>
      </c>
      <c r="G53" s="16"/>
      <c r="H53" s="17" t="s">
        <v>235</v>
      </c>
      <c r="I53" s="17" t="s">
        <v>235</v>
      </c>
      <c r="J53" s="18" t="s">
        <v>280</v>
      </c>
      <c r="K53" s="16"/>
      <c r="L53" s="18"/>
      <c r="M53" s="16" t="s">
        <v>46</v>
      </c>
      <c r="N53" s="19" t="str">
        <f t="shared" si="2"/>
        <v>سوريال|24</v>
      </c>
      <c r="O53" s="19">
        <f>IF(OR(C53="",F53=""),"",COUNTIFS(F$6:F53,F53,C$6:C53,"&lt;&gt;"))</f>
        <v>24</v>
      </c>
      <c r="P53" s="20">
        <f>IF($O53="","",IFERROR(CHOOSE(MATCH($F53,الإعدادات!$B$4:$B$7,0),INDEX('حضور سوريال'!$C$7:$C$36,$O53),INDEX('حضور غبريال'!$C$7:$C$36,$O53),INDEX('حضور رفائيل'!$C$7:$C$36,$O53),INDEX('حضور ميخائيل'!$C$7:$C$36,$O53)),""))</f>
        <v>0</v>
      </c>
      <c r="Q53" s="20">
        <f>IF($O53="","",IFERROR(CHOOSE(MATCH($F53,الإعدادات!$B$4:$B$7,0),INDEX('حضور سوريال'!$D$7:$D$36,$O53),INDEX('حضور غبريال'!$D$7:$D$36,$O53),INDEX('حضور رفائيل'!$D$7:$D$36,$O53),INDEX('حضور ميخائيل'!$D$7:$D$36,$O53)),""))</f>
        <v>0</v>
      </c>
      <c r="R53" s="21" t="str">
        <f>IF($O53="","",IFERROR(CHOOSE(MATCH($F53,الإعدادات!$B$4:$B$7,0),INDEX('حضور سوريال'!$F$7:$F$36,$O53),INDEX('حضور غبريال'!$F$7:$F$36,$O53),INDEX('حضور رفائيل'!$F$7:$F$36,$O53),INDEX('حضور ميخائيل'!$F$7:$F$36,$O53)),""))</f>
        <v/>
      </c>
      <c r="S53" s="20">
        <f>IF($O53="","",IFERROR(CHOOSE(MATCH($F53,الإعدادات!$B$4:$B$7,0),INDEX('حضور سوريال'!$G$7:$G$36,$O53),INDEX('حضور غبريال'!$G$7:$G$36,$O53),INDEX('حضور رفائيل'!$G$7:$G$36,$O53),INDEX('حضور ميخائيل'!$G$7:$G$36,$O53)),""))</f>
        <v>0</v>
      </c>
      <c r="T53" s="22" t="str">
        <f>IF($O53="","",IFERROR(CHOOSE(MATCH($F53,الإعدادات!$B$4:$B$7,0),INDEX('حضور سوريال'!$H$7:$H$36,$O53),INDEX('حضور غبريال'!$H$7:$H$36,$O53),INDEX('حضور رفائيل'!$H$7:$H$36,$O53),INDEX('حضور ميخائيل'!$H$7:$H$36,$O53)),""))</f>
        <v>—</v>
      </c>
      <c r="U53" s="23" t="str">
        <f>IF($O53="","",IFERROR(CHOOSE(MATCH($F53,الإعدادات!$B$4:$B$7,0),INDEX('حضور سوريال'!$I$7:$I$36,$O53),INDEX('حضور غبريال'!$I$7:$I$36,$O53),INDEX('حضور رفائيل'!$I$7:$I$36,$O53),INDEX('حضور ميخائيل'!$I$7:$I$36,$O53)),""))</f>
        <v>⏳ لسه مفيش حضور</v>
      </c>
      <c r="V53">
        <f>IF($O53="","",IFERROR(CHOOSE(MATCH($F53,الإعدادات!$B$4:$B$7,0),INDEX('حضور سوريال'!$BM$7:$BM$36,$O53),INDEX('حضور غبريال'!$BM$7:$BM$36,$O53),INDEX('حضور رفائيل'!$BM$7:$BM$36,$O53),INDEX('حضور ميخائيل'!$BM$7:$BM$36,$O53)),""))</f>
        <v>0</v>
      </c>
      <c r="W53" t="str">
        <f>IF(OR(V53=3,V53=4),COUNTIFS(V$6:V53,3)+COUNTIFS(V$6:V53,4),"")</f>
        <v/>
      </c>
    </row>
    <row r="54" spans="1:23" ht="25.5" customHeight="1">
      <c r="A54" s="13">
        <f t="shared" si="0"/>
        <v>49</v>
      </c>
      <c r="B54" s="14" t="str">
        <f t="shared" si="1"/>
        <v>B-049</v>
      </c>
      <c r="C54" s="15" t="s">
        <v>283</v>
      </c>
      <c r="D54" s="16"/>
      <c r="E54" s="16" t="s">
        <v>44</v>
      </c>
      <c r="F54" s="16" t="s">
        <v>51</v>
      </c>
      <c r="G54" s="16"/>
      <c r="H54" s="17" t="s">
        <v>303</v>
      </c>
      <c r="I54" s="17"/>
      <c r="J54" s="18" t="s">
        <v>334</v>
      </c>
      <c r="K54" s="16"/>
      <c r="L54" s="18"/>
      <c r="M54" s="16"/>
      <c r="N54" s="19" t="str">
        <f t="shared" si="2"/>
        <v>ميخائيل|1</v>
      </c>
      <c r="O54" s="19">
        <f>IF(OR(C54="",F54=""),"",COUNTIFS(F$6:F54,F54,C$6:C54,"&lt;&gt;"))</f>
        <v>1</v>
      </c>
      <c r="P54" s="20">
        <f>IF($O54="","",IFERROR(CHOOSE(MATCH($F54,الإعدادات!$B$4:$B$7,0),INDEX('حضور سوريال'!$C$7:$C$36,$O54),INDEX('حضور غبريال'!$C$7:$C$36,$O54),INDEX('حضور رفائيل'!$C$7:$C$36,$O54),INDEX('حضور ميخائيل'!$C$7:$C$36,$O54)),""))</f>
        <v>0</v>
      </c>
      <c r="Q54" s="20">
        <f>IF($O54="","",IFERROR(CHOOSE(MATCH($F54,الإعدادات!$B$4:$B$7,0),INDEX('حضور سوريال'!$D$7:$D$36,$O54),INDEX('حضور غبريال'!$D$7:$D$36,$O54),INDEX('حضور رفائيل'!$D$7:$D$36,$O54),INDEX('حضور ميخائيل'!$D$7:$D$36,$O54)),""))</f>
        <v>0</v>
      </c>
      <c r="R54" s="21" t="str">
        <f>IF($O54="","",IFERROR(CHOOSE(MATCH($F54,الإعدادات!$B$4:$B$7,0),INDEX('حضور سوريال'!$F$7:$F$36,$O54),INDEX('حضور غبريال'!$F$7:$F$36,$O54),INDEX('حضور رفائيل'!$F$7:$F$36,$O54),INDEX('حضور ميخائيل'!$F$7:$F$36,$O54)),""))</f>
        <v/>
      </c>
      <c r="S54" s="20">
        <f>IF($O54="","",IFERROR(CHOOSE(MATCH($F54,الإعدادات!$B$4:$B$7,0),INDEX('حضور سوريال'!$G$7:$G$36,$O54),INDEX('حضور غبريال'!$G$7:$G$36,$O54),INDEX('حضور رفائيل'!$G$7:$G$36,$O54),INDEX('حضور ميخائيل'!$G$7:$G$36,$O54)),""))</f>
        <v>0</v>
      </c>
      <c r="T54" s="22" t="str">
        <f>IF($O54="","",IFERROR(CHOOSE(MATCH($F54,الإعدادات!$B$4:$B$7,0),INDEX('حضور سوريال'!$H$7:$H$36,$O54),INDEX('حضور غبريال'!$H$7:$H$36,$O54),INDEX('حضور رفائيل'!$H$7:$H$36,$O54),INDEX('حضور ميخائيل'!$H$7:$H$36,$O54)),""))</f>
        <v>—</v>
      </c>
      <c r="U54" s="23" t="str">
        <f>IF($O54="","",IFERROR(CHOOSE(MATCH($F54,الإعدادات!$B$4:$B$7,0),INDEX('حضور سوريال'!$I$7:$I$36,$O54),INDEX('حضور غبريال'!$I$7:$I$36,$O54),INDEX('حضور رفائيل'!$I$7:$I$36,$O54),INDEX('حضور ميخائيل'!$I$7:$I$36,$O54)),""))</f>
        <v>⏳ لسه مفيش حضور</v>
      </c>
      <c r="V54">
        <f>IF($O54="","",IFERROR(CHOOSE(MATCH($F54,الإعدادات!$B$4:$B$7,0),INDEX('حضور سوريال'!$BM$7:$BM$36,$O54),INDEX('حضور غبريال'!$BM$7:$BM$36,$O54),INDEX('حضور رفائيل'!$BM$7:$BM$36,$O54),INDEX('حضور ميخائيل'!$BM$7:$BM$36,$O54)),""))</f>
        <v>0</v>
      </c>
      <c r="W54" t="str">
        <f>IF(OR(V54=3,V54=4),COUNTIFS(V$6:V54,3)+COUNTIFS(V$6:V54,4),"")</f>
        <v/>
      </c>
    </row>
    <row r="55" spans="1:23" ht="25.5" customHeight="1">
      <c r="A55" s="13">
        <f t="shared" si="0"/>
        <v>50</v>
      </c>
      <c r="B55" s="14" t="str">
        <f t="shared" si="1"/>
        <v>B-050</v>
      </c>
      <c r="C55" s="15" t="s">
        <v>284</v>
      </c>
      <c r="D55" s="16"/>
      <c r="E55" s="16" t="s">
        <v>44</v>
      </c>
      <c r="F55" s="16" t="s">
        <v>51</v>
      </c>
      <c r="G55" s="16"/>
      <c r="H55" s="17" t="s">
        <v>304</v>
      </c>
      <c r="I55" s="17"/>
      <c r="J55" s="18" t="s">
        <v>335</v>
      </c>
      <c r="K55" s="16"/>
      <c r="L55" s="18"/>
      <c r="M55" s="16"/>
      <c r="N55" s="19" t="str">
        <f t="shared" si="2"/>
        <v>ميخائيل|2</v>
      </c>
      <c r="O55" s="19">
        <f>IF(OR(C55="",F55=""),"",COUNTIFS(F$6:F55,F55,C$6:C55,"&lt;&gt;"))</f>
        <v>2</v>
      </c>
      <c r="P55" s="20">
        <f>IF($O55="","",IFERROR(CHOOSE(MATCH($F55,الإعدادات!$B$4:$B$7,0),INDEX('حضور سوريال'!$C$7:$C$36,$O55),INDEX('حضور غبريال'!$C$7:$C$36,$O55),INDEX('حضور رفائيل'!$C$7:$C$36,$O55),INDEX('حضور ميخائيل'!$C$7:$C$36,$O55)),""))</f>
        <v>0</v>
      </c>
      <c r="Q55" s="20">
        <f>IF($O55="","",IFERROR(CHOOSE(MATCH($F55,الإعدادات!$B$4:$B$7,0),INDEX('حضور سوريال'!$D$7:$D$36,$O55),INDEX('حضور غبريال'!$D$7:$D$36,$O55),INDEX('حضور رفائيل'!$D$7:$D$36,$O55),INDEX('حضور ميخائيل'!$D$7:$D$36,$O55)),""))</f>
        <v>0</v>
      </c>
      <c r="R55" s="21" t="str">
        <f>IF($O55="","",IFERROR(CHOOSE(MATCH($F55,الإعدادات!$B$4:$B$7,0),INDEX('حضور سوريال'!$F$7:$F$36,$O55),INDEX('حضور غبريال'!$F$7:$F$36,$O55),INDEX('حضور رفائيل'!$F$7:$F$36,$O55),INDEX('حضور ميخائيل'!$F$7:$F$36,$O55)),""))</f>
        <v/>
      </c>
      <c r="S55" s="20">
        <f>IF($O55="","",IFERROR(CHOOSE(MATCH($F55,الإعدادات!$B$4:$B$7,0),INDEX('حضور سوريال'!$G$7:$G$36,$O55),INDEX('حضور غبريال'!$G$7:$G$36,$O55),INDEX('حضور رفائيل'!$G$7:$G$36,$O55),INDEX('حضور ميخائيل'!$G$7:$G$36,$O55)),""))</f>
        <v>0</v>
      </c>
      <c r="T55" s="22" t="str">
        <f>IF($O55="","",IFERROR(CHOOSE(MATCH($F55,الإعدادات!$B$4:$B$7,0),INDEX('حضور سوريال'!$H$7:$H$36,$O55),INDEX('حضور غبريال'!$H$7:$H$36,$O55),INDEX('حضور رفائيل'!$H$7:$H$36,$O55),INDEX('حضور ميخائيل'!$H$7:$H$36,$O55)),""))</f>
        <v>—</v>
      </c>
      <c r="U55" s="23" t="str">
        <f>IF($O55="","",IFERROR(CHOOSE(MATCH($F55,الإعدادات!$B$4:$B$7,0),INDEX('حضور سوريال'!$I$7:$I$36,$O55),INDEX('حضور غبريال'!$I$7:$I$36,$O55),INDEX('حضور رفائيل'!$I$7:$I$36,$O55),INDEX('حضور ميخائيل'!$I$7:$I$36,$O55)),""))</f>
        <v>⏳ لسه مفيش حضور</v>
      </c>
      <c r="V55">
        <f>IF($O55="","",IFERROR(CHOOSE(MATCH($F55,الإعدادات!$B$4:$B$7,0),INDEX('حضور سوريال'!$BM$7:$BM$36,$O55),INDEX('حضور غبريال'!$BM$7:$BM$36,$O55),INDEX('حضور رفائيل'!$BM$7:$BM$36,$O55),INDEX('حضور ميخائيل'!$BM$7:$BM$36,$O55)),""))</f>
        <v>0</v>
      </c>
      <c r="W55" t="str">
        <f>IF(OR(V55=3,V55=4),COUNTIFS(V$6:V55,3)+COUNTIFS(V$6:V55,4),"")</f>
        <v/>
      </c>
    </row>
    <row r="56" spans="1:23" ht="25.5" customHeight="1">
      <c r="A56" s="13">
        <f t="shared" si="0"/>
        <v>51</v>
      </c>
      <c r="B56" s="14" t="str">
        <f t="shared" si="1"/>
        <v>B-051</v>
      </c>
      <c r="C56" s="15" t="s">
        <v>285</v>
      </c>
      <c r="D56" s="16"/>
      <c r="E56" s="16" t="s">
        <v>44</v>
      </c>
      <c r="F56" s="16" t="s">
        <v>51</v>
      </c>
      <c r="G56" s="16"/>
      <c r="H56" s="17" t="s">
        <v>305</v>
      </c>
      <c r="I56" s="17" t="s">
        <v>322</v>
      </c>
      <c r="J56" s="18" t="s">
        <v>336</v>
      </c>
      <c r="K56" s="16"/>
      <c r="L56" s="18"/>
      <c r="M56" s="16"/>
      <c r="N56" s="19" t="str">
        <f t="shared" si="2"/>
        <v>ميخائيل|3</v>
      </c>
      <c r="O56" s="19">
        <f>IF(OR(C56="",F56=""),"",COUNTIFS(F$6:F56,F56,C$6:C56,"&lt;&gt;"))</f>
        <v>3</v>
      </c>
      <c r="P56" s="20">
        <f>IF($O56="","",IFERROR(CHOOSE(MATCH($F56,الإعدادات!$B$4:$B$7,0),INDEX('حضور سوريال'!$C$7:$C$36,$O56),INDEX('حضور غبريال'!$C$7:$C$36,$O56),INDEX('حضور رفائيل'!$C$7:$C$36,$O56),INDEX('حضور ميخائيل'!$C$7:$C$36,$O56)),""))</f>
        <v>0</v>
      </c>
      <c r="Q56" s="20">
        <f>IF($O56="","",IFERROR(CHOOSE(MATCH($F56,الإعدادات!$B$4:$B$7,0),INDEX('حضور سوريال'!$D$7:$D$36,$O56),INDEX('حضور غبريال'!$D$7:$D$36,$O56),INDEX('حضور رفائيل'!$D$7:$D$36,$O56),INDEX('حضور ميخائيل'!$D$7:$D$36,$O56)),""))</f>
        <v>0</v>
      </c>
      <c r="R56" s="21" t="str">
        <f>IF($O56="","",IFERROR(CHOOSE(MATCH($F56,الإعدادات!$B$4:$B$7,0),INDEX('حضور سوريال'!$F$7:$F$36,$O56),INDEX('حضور غبريال'!$F$7:$F$36,$O56),INDEX('حضور رفائيل'!$F$7:$F$36,$O56),INDEX('حضور ميخائيل'!$F$7:$F$36,$O56)),""))</f>
        <v/>
      </c>
      <c r="S56" s="20">
        <f>IF($O56="","",IFERROR(CHOOSE(MATCH($F56,الإعدادات!$B$4:$B$7,0),INDEX('حضور سوريال'!$G$7:$G$36,$O56),INDEX('حضور غبريال'!$G$7:$G$36,$O56),INDEX('حضور رفائيل'!$G$7:$G$36,$O56),INDEX('حضور ميخائيل'!$G$7:$G$36,$O56)),""))</f>
        <v>0</v>
      </c>
      <c r="T56" s="22" t="str">
        <f>IF($O56="","",IFERROR(CHOOSE(MATCH($F56,الإعدادات!$B$4:$B$7,0),INDEX('حضور سوريال'!$H$7:$H$36,$O56),INDEX('حضور غبريال'!$H$7:$H$36,$O56),INDEX('حضور رفائيل'!$H$7:$H$36,$O56),INDEX('حضور ميخائيل'!$H$7:$H$36,$O56)),""))</f>
        <v>—</v>
      </c>
      <c r="U56" s="23" t="str">
        <f>IF($O56="","",IFERROR(CHOOSE(MATCH($F56,الإعدادات!$B$4:$B$7,0),INDEX('حضور سوريال'!$I$7:$I$36,$O56),INDEX('حضور غبريال'!$I$7:$I$36,$O56),INDEX('حضور رفائيل'!$I$7:$I$36,$O56),INDEX('حضور ميخائيل'!$I$7:$I$36,$O56)),""))</f>
        <v>⏳ لسه مفيش حضور</v>
      </c>
      <c r="V56">
        <f>IF($O56="","",IFERROR(CHOOSE(MATCH($F56,الإعدادات!$B$4:$B$7,0),INDEX('حضور سوريال'!$BM$7:$BM$36,$O56),INDEX('حضور غبريال'!$BM$7:$BM$36,$O56),INDEX('حضور رفائيل'!$BM$7:$BM$36,$O56),INDEX('حضور ميخائيل'!$BM$7:$BM$36,$O56)),""))</f>
        <v>0</v>
      </c>
      <c r="W56" t="str">
        <f>IF(OR(V56=3,V56=4),COUNTIFS(V$6:V56,3)+COUNTIFS(V$6:V56,4),"")</f>
        <v/>
      </c>
    </row>
    <row r="57" spans="1:23" ht="25.5" customHeight="1">
      <c r="A57" s="13">
        <f t="shared" si="0"/>
        <v>52</v>
      </c>
      <c r="B57" s="14" t="str">
        <f t="shared" si="1"/>
        <v>B-052</v>
      </c>
      <c r="C57" s="15" t="s">
        <v>286</v>
      </c>
      <c r="D57" s="16"/>
      <c r="E57" s="16" t="s">
        <v>44</v>
      </c>
      <c r="F57" s="16" t="s">
        <v>51</v>
      </c>
      <c r="G57" s="16"/>
      <c r="H57" s="17" t="s">
        <v>306</v>
      </c>
      <c r="I57" s="17" t="s">
        <v>323</v>
      </c>
      <c r="J57" s="18"/>
      <c r="K57" s="16"/>
      <c r="L57" s="18"/>
      <c r="M57" s="16"/>
      <c r="N57" s="19" t="str">
        <f t="shared" si="2"/>
        <v>ميخائيل|4</v>
      </c>
      <c r="O57" s="19">
        <f>IF(OR(C57="",F57=""),"",COUNTIFS(F$6:F57,F57,C$6:C57,"&lt;&gt;"))</f>
        <v>4</v>
      </c>
      <c r="P57" s="20">
        <f>IF($O57="","",IFERROR(CHOOSE(MATCH($F57,الإعدادات!$B$4:$B$7,0),INDEX('حضور سوريال'!$C$7:$C$36,$O57),INDEX('حضور غبريال'!$C$7:$C$36,$O57),INDEX('حضور رفائيل'!$C$7:$C$36,$O57),INDEX('حضور ميخائيل'!$C$7:$C$36,$O57)),""))</f>
        <v>0</v>
      </c>
      <c r="Q57" s="20">
        <f>IF($O57="","",IFERROR(CHOOSE(MATCH($F57,الإعدادات!$B$4:$B$7,0),INDEX('حضور سوريال'!$D$7:$D$36,$O57),INDEX('حضور غبريال'!$D$7:$D$36,$O57),INDEX('حضور رفائيل'!$D$7:$D$36,$O57),INDEX('حضور ميخائيل'!$D$7:$D$36,$O57)),""))</f>
        <v>0</v>
      </c>
      <c r="R57" s="21" t="str">
        <f>IF($O57="","",IFERROR(CHOOSE(MATCH($F57,الإعدادات!$B$4:$B$7,0),INDEX('حضور سوريال'!$F$7:$F$36,$O57),INDEX('حضور غبريال'!$F$7:$F$36,$O57),INDEX('حضور رفائيل'!$F$7:$F$36,$O57),INDEX('حضور ميخائيل'!$F$7:$F$36,$O57)),""))</f>
        <v/>
      </c>
      <c r="S57" s="20">
        <f>IF($O57="","",IFERROR(CHOOSE(MATCH($F57,الإعدادات!$B$4:$B$7,0),INDEX('حضور سوريال'!$G$7:$G$36,$O57),INDEX('حضور غبريال'!$G$7:$G$36,$O57),INDEX('حضور رفائيل'!$G$7:$G$36,$O57),INDEX('حضور ميخائيل'!$G$7:$G$36,$O57)),""))</f>
        <v>0</v>
      </c>
      <c r="T57" s="22" t="str">
        <f>IF($O57="","",IFERROR(CHOOSE(MATCH($F57,الإعدادات!$B$4:$B$7,0),INDEX('حضور سوريال'!$H$7:$H$36,$O57),INDEX('حضور غبريال'!$H$7:$H$36,$O57),INDEX('حضور رفائيل'!$H$7:$H$36,$O57),INDEX('حضور ميخائيل'!$H$7:$H$36,$O57)),""))</f>
        <v>—</v>
      </c>
      <c r="U57" s="23" t="str">
        <f>IF($O57="","",IFERROR(CHOOSE(MATCH($F57,الإعدادات!$B$4:$B$7,0),INDEX('حضور سوريال'!$I$7:$I$36,$O57),INDEX('حضور غبريال'!$I$7:$I$36,$O57),INDEX('حضور رفائيل'!$I$7:$I$36,$O57),INDEX('حضور ميخائيل'!$I$7:$I$36,$O57)),""))</f>
        <v>⏳ لسه مفيش حضور</v>
      </c>
      <c r="V57">
        <f>IF($O57="","",IFERROR(CHOOSE(MATCH($F57,الإعدادات!$B$4:$B$7,0),INDEX('حضور سوريال'!$BM$7:$BM$36,$O57),INDEX('حضور غبريال'!$BM$7:$BM$36,$O57),INDEX('حضور رفائيل'!$BM$7:$BM$36,$O57),INDEX('حضور ميخائيل'!$BM$7:$BM$36,$O57)),""))</f>
        <v>0</v>
      </c>
      <c r="W57" t="str">
        <f>IF(OR(V57=3,V57=4),COUNTIFS(V$6:V57,3)+COUNTIFS(V$6:V57,4),"")</f>
        <v/>
      </c>
    </row>
    <row r="58" spans="1:23" ht="25.5" customHeight="1">
      <c r="A58" s="13">
        <f t="shared" si="0"/>
        <v>53</v>
      </c>
      <c r="B58" s="14" t="str">
        <f t="shared" si="1"/>
        <v>B-053</v>
      </c>
      <c r="C58" s="15" t="s">
        <v>287</v>
      </c>
      <c r="D58" s="16"/>
      <c r="E58" s="16" t="s">
        <v>44</v>
      </c>
      <c r="F58" s="16" t="s">
        <v>51</v>
      </c>
      <c r="G58" s="16"/>
      <c r="H58" s="17" t="s">
        <v>307</v>
      </c>
      <c r="I58" s="17"/>
      <c r="J58" s="18" t="s">
        <v>337</v>
      </c>
      <c r="K58" s="16"/>
      <c r="L58" s="18"/>
      <c r="M58" s="16"/>
      <c r="N58" s="19" t="str">
        <f t="shared" si="2"/>
        <v>ميخائيل|5</v>
      </c>
      <c r="O58" s="19">
        <f>IF(OR(C58="",F58=""),"",COUNTIFS(F$6:F58,F58,C$6:C58,"&lt;&gt;"))</f>
        <v>5</v>
      </c>
      <c r="P58" s="20">
        <f>IF($O58="","",IFERROR(CHOOSE(MATCH($F58,الإعدادات!$B$4:$B$7,0),INDEX('حضور سوريال'!$C$7:$C$36,$O58),INDEX('حضور غبريال'!$C$7:$C$36,$O58),INDEX('حضور رفائيل'!$C$7:$C$36,$O58),INDEX('حضور ميخائيل'!$C$7:$C$36,$O58)),""))</f>
        <v>0</v>
      </c>
      <c r="Q58" s="20">
        <f>IF($O58="","",IFERROR(CHOOSE(MATCH($F58,الإعدادات!$B$4:$B$7,0),INDEX('حضور سوريال'!$D$7:$D$36,$O58),INDEX('حضور غبريال'!$D$7:$D$36,$O58),INDEX('حضور رفائيل'!$D$7:$D$36,$O58),INDEX('حضور ميخائيل'!$D$7:$D$36,$O58)),""))</f>
        <v>0</v>
      </c>
      <c r="R58" s="21" t="str">
        <f>IF($O58="","",IFERROR(CHOOSE(MATCH($F58,الإعدادات!$B$4:$B$7,0),INDEX('حضور سوريال'!$F$7:$F$36,$O58),INDEX('حضور غبريال'!$F$7:$F$36,$O58),INDEX('حضور رفائيل'!$F$7:$F$36,$O58),INDEX('حضور ميخائيل'!$F$7:$F$36,$O58)),""))</f>
        <v/>
      </c>
      <c r="S58" s="20">
        <f>IF($O58="","",IFERROR(CHOOSE(MATCH($F58,الإعدادات!$B$4:$B$7,0),INDEX('حضور سوريال'!$G$7:$G$36,$O58),INDEX('حضور غبريال'!$G$7:$G$36,$O58),INDEX('حضور رفائيل'!$G$7:$G$36,$O58),INDEX('حضور ميخائيل'!$G$7:$G$36,$O58)),""))</f>
        <v>0</v>
      </c>
      <c r="T58" s="22" t="str">
        <f>IF($O58="","",IFERROR(CHOOSE(MATCH($F58,الإعدادات!$B$4:$B$7,0),INDEX('حضور سوريال'!$H$7:$H$36,$O58),INDEX('حضور غبريال'!$H$7:$H$36,$O58),INDEX('حضور رفائيل'!$H$7:$H$36,$O58),INDEX('حضور ميخائيل'!$H$7:$H$36,$O58)),""))</f>
        <v>—</v>
      </c>
      <c r="U58" s="23" t="str">
        <f>IF($O58="","",IFERROR(CHOOSE(MATCH($F58,الإعدادات!$B$4:$B$7,0),INDEX('حضور سوريال'!$I$7:$I$36,$O58),INDEX('حضور غبريال'!$I$7:$I$36,$O58),INDEX('حضور رفائيل'!$I$7:$I$36,$O58),INDEX('حضور ميخائيل'!$I$7:$I$36,$O58)),""))</f>
        <v>⏳ لسه مفيش حضور</v>
      </c>
      <c r="V58">
        <f>IF($O58="","",IFERROR(CHOOSE(MATCH($F58,الإعدادات!$B$4:$B$7,0),INDEX('حضور سوريال'!$BM$7:$BM$36,$O58),INDEX('حضور غبريال'!$BM$7:$BM$36,$O58),INDEX('حضور رفائيل'!$BM$7:$BM$36,$O58),INDEX('حضور ميخائيل'!$BM$7:$BM$36,$O58)),""))</f>
        <v>0</v>
      </c>
      <c r="W58" t="str">
        <f>IF(OR(V58=3,V58=4),COUNTIFS(V$6:V58,3)+COUNTIFS(V$6:V58,4),"")</f>
        <v/>
      </c>
    </row>
    <row r="59" spans="1:23" ht="25.5" customHeight="1">
      <c r="A59" s="13">
        <f t="shared" si="0"/>
        <v>54</v>
      </c>
      <c r="B59" s="14" t="str">
        <f t="shared" si="1"/>
        <v>B-054</v>
      </c>
      <c r="C59" s="15" t="s">
        <v>288</v>
      </c>
      <c r="D59" s="16"/>
      <c r="E59" s="16" t="s">
        <v>44</v>
      </c>
      <c r="F59" s="16" t="s">
        <v>51</v>
      </c>
      <c r="G59" s="16"/>
      <c r="H59" s="17"/>
      <c r="I59" s="17" t="s">
        <v>324</v>
      </c>
      <c r="J59" s="18" t="s">
        <v>338</v>
      </c>
      <c r="K59" s="16"/>
      <c r="L59" s="18"/>
      <c r="M59" s="16"/>
      <c r="N59" s="19" t="str">
        <f t="shared" si="2"/>
        <v>ميخائيل|6</v>
      </c>
      <c r="O59" s="19">
        <f>IF(OR(C59="",F59=""),"",COUNTIFS(F$6:F59,F59,C$6:C59,"&lt;&gt;"))</f>
        <v>6</v>
      </c>
      <c r="P59" s="20">
        <f>IF($O59="","",IFERROR(CHOOSE(MATCH($F59,الإعدادات!$B$4:$B$7,0),INDEX('حضور سوريال'!$C$7:$C$36,$O59),INDEX('حضور غبريال'!$C$7:$C$36,$O59),INDEX('حضور رفائيل'!$C$7:$C$36,$O59),INDEX('حضور ميخائيل'!$C$7:$C$36,$O59)),""))</f>
        <v>0</v>
      </c>
      <c r="Q59" s="20">
        <f>IF($O59="","",IFERROR(CHOOSE(MATCH($F59,الإعدادات!$B$4:$B$7,0),INDEX('حضور سوريال'!$D$7:$D$36,$O59),INDEX('حضور غبريال'!$D$7:$D$36,$O59),INDEX('حضور رفائيل'!$D$7:$D$36,$O59),INDEX('حضور ميخائيل'!$D$7:$D$36,$O59)),""))</f>
        <v>0</v>
      </c>
      <c r="R59" s="21" t="str">
        <f>IF($O59="","",IFERROR(CHOOSE(MATCH($F59,الإعدادات!$B$4:$B$7,0),INDEX('حضور سوريال'!$F$7:$F$36,$O59),INDEX('حضور غبريال'!$F$7:$F$36,$O59),INDEX('حضور رفائيل'!$F$7:$F$36,$O59),INDEX('حضور ميخائيل'!$F$7:$F$36,$O59)),""))</f>
        <v/>
      </c>
      <c r="S59" s="20">
        <f>IF($O59="","",IFERROR(CHOOSE(MATCH($F59,الإعدادات!$B$4:$B$7,0),INDEX('حضور سوريال'!$G$7:$G$36,$O59),INDEX('حضور غبريال'!$G$7:$G$36,$O59),INDEX('حضور رفائيل'!$G$7:$G$36,$O59),INDEX('حضور ميخائيل'!$G$7:$G$36,$O59)),""))</f>
        <v>0</v>
      </c>
      <c r="T59" s="22" t="str">
        <f>IF($O59="","",IFERROR(CHOOSE(MATCH($F59,الإعدادات!$B$4:$B$7,0),INDEX('حضور سوريال'!$H$7:$H$36,$O59),INDEX('حضور غبريال'!$H$7:$H$36,$O59),INDEX('حضور رفائيل'!$H$7:$H$36,$O59),INDEX('حضور ميخائيل'!$H$7:$H$36,$O59)),""))</f>
        <v>—</v>
      </c>
      <c r="U59" s="23" t="str">
        <f>IF($O59="","",IFERROR(CHOOSE(MATCH($F59,الإعدادات!$B$4:$B$7,0),INDEX('حضور سوريال'!$I$7:$I$36,$O59),INDEX('حضور غبريال'!$I$7:$I$36,$O59),INDEX('حضور رفائيل'!$I$7:$I$36,$O59),INDEX('حضور ميخائيل'!$I$7:$I$36,$O59)),""))</f>
        <v>⏳ لسه مفيش حضور</v>
      </c>
      <c r="V59">
        <f>IF($O59="","",IFERROR(CHOOSE(MATCH($F59,الإعدادات!$B$4:$B$7,0),INDEX('حضور سوريال'!$BM$7:$BM$36,$O59),INDEX('حضور غبريال'!$BM$7:$BM$36,$O59),INDEX('حضور رفائيل'!$BM$7:$BM$36,$O59),INDEX('حضور ميخائيل'!$BM$7:$BM$36,$O59)),""))</f>
        <v>0</v>
      </c>
      <c r="W59" t="str">
        <f>IF(OR(V59=3,V59=4),COUNTIFS(V$6:V59,3)+COUNTIFS(V$6:V59,4),"")</f>
        <v/>
      </c>
    </row>
    <row r="60" spans="1:23" ht="25.5" customHeight="1">
      <c r="A60" s="13">
        <f t="shared" si="0"/>
        <v>55</v>
      </c>
      <c r="B60" s="14" t="str">
        <f t="shared" si="1"/>
        <v>B-055</v>
      </c>
      <c r="C60" s="15" t="s">
        <v>289</v>
      </c>
      <c r="D60" s="16"/>
      <c r="E60" s="16" t="s">
        <v>44</v>
      </c>
      <c r="F60" s="16" t="s">
        <v>51</v>
      </c>
      <c r="G60" s="16"/>
      <c r="H60" s="17" t="s">
        <v>308</v>
      </c>
      <c r="I60" s="17" t="s">
        <v>325</v>
      </c>
      <c r="J60" s="18" t="s">
        <v>339</v>
      </c>
      <c r="K60" s="16"/>
      <c r="L60" s="18"/>
      <c r="M60" s="16"/>
      <c r="N60" s="19" t="str">
        <f t="shared" si="2"/>
        <v>ميخائيل|7</v>
      </c>
      <c r="O60" s="19">
        <f>IF(OR(C60="",F60=""),"",COUNTIFS(F$6:F60,F60,C$6:C60,"&lt;&gt;"))</f>
        <v>7</v>
      </c>
      <c r="P60" s="20">
        <f>IF($O60="","",IFERROR(CHOOSE(MATCH($F60,الإعدادات!$B$4:$B$7,0),INDEX('حضور سوريال'!$C$7:$C$36,$O60),INDEX('حضور غبريال'!$C$7:$C$36,$O60),INDEX('حضور رفائيل'!$C$7:$C$36,$O60),INDEX('حضور ميخائيل'!$C$7:$C$36,$O60)),""))</f>
        <v>0</v>
      </c>
      <c r="Q60" s="20">
        <f>IF($O60="","",IFERROR(CHOOSE(MATCH($F60,الإعدادات!$B$4:$B$7,0),INDEX('حضور سوريال'!$D$7:$D$36,$O60),INDEX('حضور غبريال'!$D$7:$D$36,$O60),INDEX('حضور رفائيل'!$D$7:$D$36,$O60),INDEX('حضور ميخائيل'!$D$7:$D$36,$O60)),""))</f>
        <v>0</v>
      </c>
      <c r="R60" s="21" t="str">
        <f>IF($O60="","",IFERROR(CHOOSE(MATCH($F60,الإعدادات!$B$4:$B$7,0),INDEX('حضور سوريال'!$F$7:$F$36,$O60),INDEX('حضور غبريال'!$F$7:$F$36,$O60),INDEX('حضور رفائيل'!$F$7:$F$36,$O60),INDEX('حضور ميخائيل'!$F$7:$F$36,$O60)),""))</f>
        <v/>
      </c>
      <c r="S60" s="20">
        <f>IF($O60="","",IFERROR(CHOOSE(MATCH($F60,الإعدادات!$B$4:$B$7,0),INDEX('حضور سوريال'!$G$7:$G$36,$O60),INDEX('حضور غبريال'!$G$7:$G$36,$O60),INDEX('حضور رفائيل'!$G$7:$G$36,$O60),INDEX('حضور ميخائيل'!$G$7:$G$36,$O60)),""))</f>
        <v>0</v>
      </c>
      <c r="T60" s="22" t="str">
        <f>IF($O60="","",IFERROR(CHOOSE(MATCH($F60,الإعدادات!$B$4:$B$7,0),INDEX('حضور سوريال'!$H$7:$H$36,$O60),INDEX('حضور غبريال'!$H$7:$H$36,$O60),INDEX('حضور رفائيل'!$H$7:$H$36,$O60),INDEX('حضور ميخائيل'!$H$7:$H$36,$O60)),""))</f>
        <v>—</v>
      </c>
      <c r="U60" s="23" t="str">
        <f>IF($O60="","",IFERROR(CHOOSE(MATCH($F60,الإعدادات!$B$4:$B$7,0),INDEX('حضور سوريال'!$I$7:$I$36,$O60),INDEX('حضور غبريال'!$I$7:$I$36,$O60),INDEX('حضور رفائيل'!$I$7:$I$36,$O60),INDEX('حضور ميخائيل'!$I$7:$I$36,$O60)),""))</f>
        <v>⏳ لسه مفيش حضور</v>
      </c>
      <c r="V60">
        <f>IF($O60="","",IFERROR(CHOOSE(MATCH($F60,الإعدادات!$B$4:$B$7,0),INDEX('حضور سوريال'!$BM$7:$BM$36,$O60),INDEX('حضور غبريال'!$BM$7:$BM$36,$O60),INDEX('حضور رفائيل'!$BM$7:$BM$36,$O60),INDEX('حضور ميخائيل'!$BM$7:$BM$36,$O60)),""))</f>
        <v>0</v>
      </c>
      <c r="W60" t="str">
        <f>IF(OR(V60=3,V60=4),COUNTIFS(V$6:V60,3)+COUNTIFS(V$6:V60,4),"")</f>
        <v/>
      </c>
    </row>
    <row r="61" spans="1:23" ht="25.5" customHeight="1">
      <c r="A61" s="13">
        <f t="shared" si="0"/>
        <v>56</v>
      </c>
      <c r="B61" s="14" t="str">
        <f t="shared" si="1"/>
        <v>B-056</v>
      </c>
      <c r="C61" s="15" t="s">
        <v>290</v>
      </c>
      <c r="D61" s="16"/>
      <c r="E61" s="16" t="s">
        <v>44</v>
      </c>
      <c r="F61" s="16" t="s">
        <v>51</v>
      </c>
      <c r="G61" s="16"/>
      <c r="H61" s="17" t="s">
        <v>309</v>
      </c>
      <c r="I61" s="17"/>
      <c r="J61" s="18" t="s">
        <v>340</v>
      </c>
      <c r="K61" s="16"/>
      <c r="L61" s="18"/>
      <c r="M61" s="16"/>
      <c r="N61" s="19" t="str">
        <f t="shared" si="2"/>
        <v>ميخائيل|8</v>
      </c>
      <c r="O61" s="19">
        <f>IF(OR(C61="",F61=""),"",COUNTIFS(F$6:F61,F61,C$6:C61,"&lt;&gt;"))</f>
        <v>8</v>
      </c>
      <c r="P61" s="20">
        <f>IF($O61="","",IFERROR(CHOOSE(MATCH($F61,الإعدادات!$B$4:$B$7,0),INDEX('حضور سوريال'!$C$7:$C$36,$O61),INDEX('حضور غبريال'!$C$7:$C$36,$O61),INDEX('حضور رفائيل'!$C$7:$C$36,$O61),INDEX('حضور ميخائيل'!$C$7:$C$36,$O61)),""))</f>
        <v>0</v>
      </c>
      <c r="Q61" s="20">
        <f>IF($O61="","",IFERROR(CHOOSE(MATCH($F61,الإعدادات!$B$4:$B$7,0),INDEX('حضور سوريال'!$D$7:$D$36,$O61),INDEX('حضور غبريال'!$D$7:$D$36,$O61),INDEX('حضور رفائيل'!$D$7:$D$36,$O61),INDEX('حضور ميخائيل'!$D$7:$D$36,$O61)),""))</f>
        <v>0</v>
      </c>
      <c r="R61" s="21" t="str">
        <f>IF($O61="","",IFERROR(CHOOSE(MATCH($F61,الإعدادات!$B$4:$B$7,0),INDEX('حضور سوريال'!$F$7:$F$36,$O61),INDEX('حضور غبريال'!$F$7:$F$36,$O61),INDEX('حضور رفائيل'!$F$7:$F$36,$O61),INDEX('حضور ميخائيل'!$F$7:$F$36,$O61)),""))</f>
        <v/>
      </c>
      <c r="S61" s="20">
        <f>IF($O61="","",IFERROR(CHOOSE(MATCH($F61,الإعدادات!$B$4:$B$7,0),INDEX('حضور سوريال'!$G$7:$G$36,$O61),INDEX('حضور غبريال'!$G$7:$G$36,$O61),INDEX('حضور رفائيل'!$G$7:$G$36,$O61),INDEX('حضور ميخائيل'!$G$7:$G$36,$O61)),""))</f>
        <v>0</v>
      </c>
      <c r="T61" s="22" t="str">
        <f>IF($O61="","",IFERROR(CHOOSE(MATCH($F61,الإعدادات!$B$4:$B$7,0),INDEX('حضور سوريال'!$H$7:$H$36,$O61),INDEX('حضور غبريال'!$H$7:$H$36,$O61),INDEX('حضور رفائيل'!$H$7:$H$36,$O61),INDEX('حضور ميخائيل'!$H$7:$H$36,$O61)),""))</f>
        <v>—</v>
      </c>
      <c r="U61" s="23" t="str">
        <f>IF($O61="","",IFERROR(CHOOSE(MATCH($F61,الإعدادات!$B$4:$B$7,0),INDEX('حضور سوريال'!$I$7:$I$36,$O61),INDEX('حضور غبريال'!$I$7:$I$36,$O61),INDEX('حضور رفائيل'!$I$7:$I$36,$O61),INDEX('حضور ميخائيل'!$I$7:$I$36,$O61)),""))</f>
        <v>⏳ لسه مفيش حضور</v>
      </c>
      <c r="V61">
        <f>IF($O61="","",IFERROR(CHOOSE(MATCH($F61,الإعدادات!$B$4:$B$7,0),INDEX('حضور سوريال'!$BM$7:$BM$36,$O61),INDEX('حضور غبريال'!$BM$7:$BM$36,$O61),INDEX('حضور رفائيل'!$BM$7:$BM$36,$O61),INDEX('حضور ميخائيل'!$BM$7:$BM$36,$O61)),""))</f>
        <v>0</v>
      </c>
      <c r="W61" t="str">
        <f>IF(OR(V61=3,V61=4),COUNTIFS(V$6:V61,3)+COUNTIFS(V$6:V61,4),"")</f>
        <v/>
      </c>
    </row>
    <row r="62" spans="1:23" ht="25.5" customHeight="1">
      <c r="A62" s="13">
        <f t="shared" si="0"/>
        <v>57</v>
      </c>
      <c r="B62" s="14" t="str">
        <f t="shared" si="1"/>
        <v>B-057</v>
      </c>
      <c r="C62" s="15" t="s">
        <v>291</v>
      </c>
      <c r="D62" s="16"/>
      <c r="E62" s="16" t="s">
        <v>44</v>
      </c>
      <c r="F62" s="16" t="s">
        <v>51</v>
      </c>
      <c r="G62" s="16"/>
      <c r="H62" s="17" t="s">
        <v>310</v>
      </c>
      <c r="I62" s="17"/>
      <c r="J62" s="18" t="s">
        <v>341</v>
      </c>
      <c r="K62" s="16"/>
      <c r="L62" s="18"/>
      <c r="M62" s="16"/>
      <c r="N62" s="19" t="str">
        <f t="shared" si="2"/>
        <v>ميخائيل|9</v>
      </c>
      <c r="O62" s="19">
        <f>IF(OR(C62="",F62=""),"",COUNTIFS(F$6:F62,F62,C$6:C62,"&lt;&gt;"))</f>
        <v>9</v>
      </c>
      <c r="P62" s="20">
        <f>IF($O62="","",IFERROR(CHOOSE(MATCH($F62,الإعدادات!$B$4:$B$7,0),INDEX('حضور سوريال'!$C$7:$C$36,$O62),INDEX('حضور غبريال'!$C$7:$C$36,$O62),INDEX('حضور رفائيل'!$C$7:$C$36,$O62),INDEX('حضور ميخائيل'!$C$7:$C$36,$O62)),""))</f>
        <v>0</v>
      </c>
      <c r="Q62" s="20">
        <f>IF($O62="","",IFERROR(CHOOSE(MATCH($F62,الإعدادات!$B$4:$B$7,0),INDEX('حضور سوريال'!$D$7:$D$36,$O62),INDEX('حضور غبريال'!$D$7:$D$36,$O62),INDEX('حضور رفائيل'!$D$7:$D$36,$O62),INDEX('حضور ميخائيل'!$D$7:$D$36,$O62)),""))</f>
        <v>0</v>
      </c>
      <c r="R62" s="21" t="str">
        <f>IF($O62="","",IFERROR(CHOOSE(MATCH($F62,الإعدادات!$B$4:$B$7,0),INDEX('حضور سوريال'!$F$7:$F$36,$O62),INDEX('حضور غبريال'!$F$7:$F$36,$O62),INDEX('حضور رفائيل'!$F$7:$F$36,$O62),INDEX('حضور ميخائيل'!$F$7:$F$36,$O62)),""))</f>
        <v/>
      </c>
      <c r="S62" s="20">
        <f>IF($O62="","",IFERROR(CHOOSE(MATCH($F62,الإعدادات!$B$4:$B$7,0),INDEX('حضور سوريال'!$G$7:$G$36,$O62),INDEX('حضور غبريال'!$G$7:$G$36,$O62),INDEX('حضور رفائيل'!$G$7:$G$36,$O62),INDEX('حضور ميخائيل'!$G$7:$G$36,$O62)),""))</f>
        <v>0</v>
      </c>
      <c r="T62" s="22" t="str">
        <f>IF($O62="","",IFERROR(CHOOSE(MATCH($F62,الإعدادات!$B$4:$B$7,0),INDEX('حضور سوريال'!$H$7:$H$36,$O62),INDEX('حضور غبريال'!$H$7:$H$36,$O62),INDEX('حضور رفائيل'!$H$7:$H$36,$O62),INDEX('حضور ميخائيل'!$H$7:$H$36,$O62)),""))</f>
        <v>—</v>
      </c>
      <c r="U62" s="23" t="str">
        <f>IF($O62="","",IFERROR(CHOOSE(MATCH($F62,الإعدادات!$B$4:$B$7,0),INDEX('حضور سوريال'!$I$7:$I$36,$O62),INDEX('حضور غبريال'!$I$7:$I$36,$O62),INDEX('حضور رفائيل'!$I$7:$I$36,$O62),INDEX('حضور ميخائيل'!$I$7:$I$36,$O62)),""))</f>
        <v>⏳ لسه مفيش حضور</v>
      </c>
      <c r="V62">
        <f>IF($O62="","",IFERROR(CHOOSE(MATCH($F62,الإعدادات!$B$4:$B$7,0),INDEX('حضور سوريال'!$BM$7:$BM$36,$O62),INDEX('حضور غبريال'!$BM$7:$BM$36,$O62),INDEX('حضور رفائيل'!$BM$7:$BM$36,$O62),INDEX('حضور ميخائيل'!$BM$7:$BM$36,$O62)),""))</f>
        <v>0</v>
      </c>
      <c r="W62" t="str">
        <f>IF(OR(V62=3,V62=4),COUNTIFS(V$6:V62,3)+COUNTIFS(V$6:V62,4),"")</f>
        <v/>
      </c>
    </row>
    <row r="63" spans="1:23" ht="25.5" customHeight="1">
      <c r="A63" s="13">
        <f t="shared" si="0"/>
        <v>58</v>
      </c>
      <c r="B63" s="14" t="str">
        <f t="shared" si="1"/>
        <v>B-058</v>
      </c>
      <c r="C63" s="15" t="s">
        <v>292</v>
      </c>
      <c r="D63" s="16"/>
      <c r="E63" s="16" t="s">
        <v>44</v>
      </c>
      <c r="F63" s="16" t="s">
        <v>51</v>
      </c>
      <c r="G63" s="16"/>
      <c r="H63" s="17" t="s">
        <v>311</v>
      </c>
      <c r="I63" s="17"/>
      <c r="J63" s="18" t="s">
        <v>342</v>
      </c>
      <c r="K63" s="16"/>
      <c r="L63" s="18"/>
      <c r="M63" s="16"/>
      <c r="N63" s="19" t="str">
        <f t="shared" si="2"/>
        <v>ميخائيل|10</v>
      </c>
      <c r="O63" s="19">
        <f>IF(OR(C63="",F63=""),"",COUNTIFS(F$6:F63,F63,C$6:C63,"&lt;&gt;"))</f>
        <v>10</v>
      </c>
      <c r="P63" s="20">
        <f>IF($O63="","",IFERROR(CHOOSE(MATCH($F63,الإعدادات!$B$4:$B$7,0),INDEX('حضور سوريال'!$C$7:$C$36,$O63),INDEX('حضور غبريال'!$C$7:$C$36,$O63),INDEX('حضور رفائيل'!$C$7:$C$36,$O63),INDEX('حضور ميخائيل'!$C$7:$C$36,$O63)),""))</f>
        <v>0</v>
      </c>
      <c r="Q63" s="20">
        <f>IF($O63="","",IFERROR(CHOOSE(MATCH($F63,الإعدادات!$B$4:$B$7,0),INDEX('حضور سوريال'!$D$7:$D$36,$O63),INDEX('حضور غبريال'!$D$7:$D$36,$O63),INDEX('حضور رفائيل'!$D$7:$D$36,$O63),INDEX('حضور ميخائيل'!$D$7:$D$36,$O63)),""))</f>
        <v>0</v>
      </c>
      <c r="R63" s="21" t="str">
        <f>IF($O63="","",IFERROR(CHOOSE(MATCH($F63,الإعدادات!$B$4:$B$7,0),INDEX('حضور سوريال'!$F$7:$F$36,$O63),INDEX('حضور غبريال'!$F$7:$F$36,$O63),INDEX('حضور رفائيل'!$F$7:$F$36,$O63),INDEX('حضور ميخائيل'!$F$7:$F$36,$O63)),""))</f>
        <v/>
      </c>
      <c r="S63" s="20">
        <f>IF($O63="","",IFERROR(CHOOSE(MATCH($F63,الإعدادات!$B$4:$B$7,0),INDEX('حضور سوريال'!$G$7:$G$36,$O63),INDEX('حضور غبريال'!$G$7:$G$36,$O63),INDEX('حضور رفائيل'!$G$7:$G$36,$O63),INDEX('حضور ميخائيل'!$G$7:$G$36,$O63)),""))</f>
        <v>0</v>
      </c>
      <c r="T63" s="22" t="str">
        <f>IF($O63="","",IFERROR(CHOOSE(MATCH($F63,الإعدادات!$B$4:$B$7,0),INDEX('حضور سوريال'!$H$7:$H$36,$O63),INDEX('حضور غبريال'!$H$7:$H$36,$O63),INDEX('حضور رفائيل'!$H$7:$H$36,$O63),INDEX('حضور ميخائيل'!$H$7:$H$36,$O63)),""))</f>
        <v>—</v>
      </c>
      <c r="U63" s="23" t="str">
        <f>IF($O63="","",IFERROR(CHOOSE(MATCH($F63,الإعدادات!$B$4:$B$7,0),INDEX('حضور سوريال'!$I$7:$I$36,$O63),INDEX('حضور غبريال'!$I$7:$I$36,$O63),INDEX('حضور رفائيل'!$I$7:$I$36,$O63),INDEX('حضور ميخائيل'!$I$7:$I$36,$O63)),""))</f>
        <v>⏳ لسه مفيش حضور</v>
      </c>
      <c r="V63">
        <f>IF($O63="","",IFERROR(CHOOSE(MATCH($F63,الإعدادات!$B$4:$B$7,0),INDEX('حضور سوريال'!$BM$7:$BM$36,$O63),INDEX('حضور غبريال'!$BM$7:$BM$36,$O63),INDEX('حضور رفائيل'!$BM$7:$BM$36,$O63),INDEX('حضور ميخائيل'!$BM$7:$BM$36,$O63)),""))</f>
        <v>0</v>
      </c>
      <c r="W63" t="str">
        <f>IF(OR(V63=3,V63=4),COUNTIFS(V$6:V63,3)+COUNTIFS(V$6:V63,4),"")</f>
        <v/>
      </c>
    </row>
    <row r="64" spans="1:23" ht="25.5" customHeight="1">
      <c r="A64" s="13">
        <f t="shared" si="0"/>
        <v>59</v>
      </c>
      <c r="B64" s="14" t="str">
        <f t="shared" si="1"/>
        <v>B-059</v>
      </c>
      <c r="C64" s="15" t="s">
        <v>293</v>
      </c>
      <c r="D64" s="16"/>
      <c r="E64" s="16" t="s">
        <v>44</v>
      </c>
      <c r="F64" s="16" t="s">
        <v>51</v>
      </c>
      <c r="G64" s="16"/>
      <c r="H64" s="17" t="s">
        <v>312</v>
      </c>
      <c r="I64" s="17" t="s">
        <v>326</v>
      </c>
      <c r="J64" s="18" t="s">
        <v>343</v>
      </c>
      <c r="K64" s="16"/>
      <c r="L64" s="18"/>
      <c r="M64" s="16"/>
      <c r="N64" s="19" t="str">
        <f t="shared" si="2"/>
        <v>ميخائيل|11</v>
      </c>
      <c r="O64" s="19">
        <f>IF(OR(C64="",F64=""),"",COUNTIFS(F$6:F64,F64,C$6:C64,"&lt;&gt;"))</f>
        <v>11</v>
      </c>
      <c r="P64" s="20">
        <f>IF($O64="","",IFERROR(CHOOSE(MATCH($F64,الإعدادات!$B$4:$B$7,0),INDEX('حضور سوريال'!$C$7:$C$36,$O64),INDEX('حضور غبريال'!$C$7:$C$36,$O64),INDEX('حضور رفائيل'!$C$7:$C$36,$O64),INDEX('حضور ميخائيل'!$C$7:$C$36,$O64)),""))</f>
        <v>0</v>
      </c>
      <c r="Q64" s="20">
        <f>IF($O64="","",IFERROR(CHOOSE(MATCH($F64,الإعدادات!$B$4:$B$7,0),INDEX('حضور سوريال'!$D$7:$D$36,$O64),INDEX('حضور غبريال'!$D$7:$D$36,$O64),INDEX('حضور رفائيل'!$D$7:$D$36,$O64),INDEX('حضور ميخائيل'!$D$7:$D$36,$O64)),""))</f>
        <v>0</v>
      </c>
      <c r="R64" s="21" t="str">
        <f>IF($O64="","",IFERROR(CHOOSE(MATCH($F64,الإعدادات!$B$4:$B$7,0),INDEX('حضور سوريال'!$F$7:$F$36,$O64),INDEX('حضور غبريال'!$F$7:$F$36,$O64),INDEX('حضور رفائيل'!$F$7:$F$36,$O64),INDEX('حضور ميخائيل'!$F$7:$F$36,$O64)),""))</f>
        <v/>
      </c>
      <c r="S64" s="20">
        <f>IF($O64="","",IFERROR(CHOOSE(MATCH($F64,الإعدادات!$B$4:$B$7,0),INDEX('حضور سوريال'!$G$7:$G$36,$O64),INDEX('حضور غبريال'!$G$7:$G$36,$O64),INDEX('حضور رفائيل'!$G$7:$G$36,$O64),INDEX('حضور ميخائيل'!$G$7:$G$36,$O64)),""))</f>
        <v>0</v>
      </c>
      <c r="T64" s="22" t="str">
        <f>IF($O64="","",IFERROR(CHOOSE(MATCH($F64,الإعدادات!$B$4:$B$7,0),INDEX('حضور سوريال'!$H$7:$H$36,$O64),INDEX('حضور غبريال'!$H$7:$H$36,$O64),INDEX('حضور رفائيل'!$H$7:$H$36,$O64),INDEX('حضور ميخائيل'!$H$7:$H$36,$O64)),""))</f>
        <v>—</v>
      </c>
      <c r="U64" s="23" t="str">
        <f>IF($O64="","",IFERROR(CHOOSE(MATCH($F64,الإعدادات!$B$4:$B$7,0),INDEX('حضور سوريال'!$I$7:$I$36,$O64),INDEX('حضور غبريال'!$I$7:$I$36,$O64),INDEX('حضور رفائيل'!$I$7:$I$36,$O64),INDEX('حضور ميخائيل'!$I$7:$I$36,$O64)),""))</f>
        <v>⏳ لسه مفيش حضور</v>
      </c>
      <c r="V64">
        <f>IF($O64="","",IFERROR(CHOOSE(MATCH($F64,الإعدادات!$B$4:$B$7,0),INDEX('حضور سوريال'!$BM$7:$BM$36,$O64),INDEX('حضور غبريال'!$BM$7:$BM$36,$O64),INDEX('حضور رفائيل'!$BM$7:$BM$36,$O64),INDEX('حضور ميخائيل'!$BM$7:$BM$36,$O64)),""))</f>
        <v>0</v>
      </c>
      <c r="W64" t="str">
        <f>IF(OR(V64=3,V64=4),COUNTIFS(V$6:V64,3)+COUNTIFS(V$6:V64,4),"")</f>
        <v/>
      </c>
    </row>
    <row r="65" spans="1:23" ht="25.5" customHeight="1">
      <c r="A65" s="13">
        <f t="shared" si="0"/>
        <v>60</v>
      </c>
      <c r="B65" s="14" t="str">
        <f t="shared" si="1"/>
        <v>B-060</v>
      </c>
      <c r="C65" s="15" t="s">
        <v>294</v>
      </c>
      <c r="D65" s="16"/>
      <c r="E65" s="16" t="s">
        <v>44</v>
      </c>
      <c r="F65" s="16" t="s">
        <v>51</v>
      </c>
      <c r="G65" s="16"/>
      <c r="H65" s="17" t="s">
        <v>313</v>
      </c>
      <c r="I65" s="17"/>
      <c r="J65" s="18" t="s">
        <v>344</v>
      </c>
      <c r="K65" s="16"/>
      <c r="L65" s="18"/>
      <c r="M65" s="16"/>
      <c r="N65" s="19" t="str">
        <f t="shared" si="2"/>
        <v>ميخائيل|12</v>
      </c>
      <c r="O65" s="19">
        <f>IF(OR(C65="",F65=""),"",COUNTIFS(F$6:F65,F65,C$6:C65,"&lt;&gt;"))</f>
        <v>12</v>
      </c>
      <c r="P65" s="20">
        <f>IF($O65="","",IFERROR(CHOOSE(MATCH($F65,الإعدادات!$B$4:$B$7,0),INDEX('حضور سوريال'!$C$7:$C$36,$O65),INDEX('حضور غبريال'!$C$7:$C$36,$O65),INDEX('حضور رفائيل'!$C$7:$C$36,$O65),INDEX('حضور ميخائيل'!$C$7:$C$36,$O65)),""))</f>
        <v>0</v>
      </c>
      <c r="Q65" s="20">
        <f>IF($O65="","",IFERROR(CHOOSE(MATCH($F65,الإعدادات!$B$4:$B$7,0),INDEX('حضور سوريال'!$D$7:$D$36,$O65),INDEX('حضور غبريال'!$D$7:$D$36,$O65),INDEX('حضور رفائيل'!$D$7:$D$36,$O65),INDEX('حضور ميخائيل'!$D$7:$D$36,$O65)),""))</f>
        <v>0</v>
      </c>
      <c r="R65" s="21" t="str">
        <f>IF($O65="","",IFERROR(CHOOSE(MATCH($F65,الإعدادات!$B$4:$B$7,0),INDEX('حضور سوريال'!$F$7:$F$36,$O65),INDEX('حضور غبريال'!$F$7:$F$36,$O65),INDEX('حضور رفائيل'!$F$7:$F$36,$O65),INDEX('حضور ميخائيل'!$F$7:$F$36,$O65)),""))</f>
        <v/>
      </c>
      <c r="S65" s="20">
        <f>IF($O65="","",IFERROR(CHOOSE(MATCH($F65,الإعدادات!$B$4:$B$7,0),INDEX('حضور سوريال'!$G$7:$G$36,$O65),INDEX('حضور غبريال'!$G$7:$G$36,$O65),INDEX('حضور رفائيل'!$G$7:$G$36,$O65),INDEX('حضور ميخائيل'!$G$7:$G$36,$O65)),""))</f>
        <v>0</v>
      </c>
      <c r="T65" s="22" t="str">
        <f>IF($O65="","",IFERROR(CHOOSE(MATCH($F65,الإعدادات!$B$4:$B$7,0),INDEX('حضور سوريال'!$H$7:$H$36,$O65),INDEX('حضور غبريال'!$H$7:$H$36,$O65),INDEX('حضور رفائيل'!$H$7:$H$36,$O65),INDEX('حضور ميخائيل'!$H$7:$H$36,$O65)),""))</f>
        <v>—</v>
      </c>
      <c r="U65" s="23" t="str">
        <f>IF($O65="","",IFERROR(CHOOSE(MATCH($F65,الإعدادات!$B$4:$B$7,0),INDEX('حضور سوريال'!$I$7:$I$36,$O65),INDEX('حضور غبريال'!$I$7:$I$36,$O65),INDEX('حضور رفائيل'!$I$7:$I$36,$O65),INDEX('حضور ميخائيل'!$I$7:$I$36,$O65)),""))</f>
        <v>⏳ لسه مفيش حضور</v>
      </c>
      <c r="V65">
        <f>IF($O65="","",IFERROR(CHOOSE(MATCH($F65,الإعدادات!$B$4:$B$7,0),INDEX('حضور سوريال'!$BM$7:$BM$36,$O65),INDEX('حضور غبريال'!$BM$7:$BM$36,$O65),INDEX('حضور رفائيل'!$BM$7:$BM$36,$O65),INDEX('حضور ميخائيل'!$BM$7:$BM$36,$O65)),""))</f>
        <v>0</v>
      </c>
      <c r="W65" t="str">
        <f>IF(OR(V65=3,V65=4),COUNTIFS(V$6:V65,3)+COUNTIFS(V$6:V65,4),"")</f>
        <v/>
      </c>
    </row>
    <row r="66" spans="1:23" ht="25.5" customHeight="1">
      <c r="A66" s="13">
        <f t="shared" si="0"/>
        <v>61</v>
      </c>
      <c r="B66" s="14" t="str">
        <f t="shared" si="1"/>
        <v>B-061</v>
      </c>
      <c r="C66" s="15" t="s">
        <v>295</v>
      </c>
      <c r="D66" s="16"/>
      <c r="E66" s="16" t="s">
        <v>44</v>
      </c>
      <c r="F66" s="16" t="s">
        <v>51</v>
      </c>
      <c r="G66" s="16"/>
      <c r="H66" s="17" t="s">
        <v>314</v>
      </c>
      <c r="I66" s="17" t="s">
        <v>327</v>
      </c>
      <c r="J66" s="18" t="s">
        <v>345</v>
      </c>
      <c r="K66" s="16"/>
      <c r="L66" s="18"/>
      <c r="M66" s="16"/>
      <c r="N66" s="19" t="str">
        <f t="shared" si="2"/>
        <v>ميخائيل|13</v>
      </c>
      <c r="O66" s="19">
        <f>IF(OR(C66="",F66=""),"",COUNTIFS(F$6:F66,F66,C$6:C66,"&lt;&gt;"))</f>
        <v>13</v>
      </c>
      <c r="P66" s="20">
        <f>IF($O66="","",IFERROR(CHOOSE(MATCH($F66,الإعدادات!$B$4:$B$7,0),INDEX('حضور سوريال'!$C$7:$C$36,$O66),INDEX('حضور غبريال'!$C$7:$C$36,$O66),INDEX('حضور رفائيل'!$C$7:$C$36,$O66),INDEX('حضور ميخائيل'!$C$7:$C$36,$O66)),""))</f>
        <v>0</v>
      </c>
      <c r="Q66" s="20">
        <f>IF($O66="","",IFERROR(CHOOSE(MATCH($F66,الإعدادات!$B$4:$B$7,0),INDEX('حضور سوريال'!$D$7:$D$36,$O66),INDEX('حضور غبريال'!$D$7:$D$36,$O66),INDEX('حضور رفائيل'!$D$7:$D$36,$O66),INDEX('حضور ميخائيل'!$D$7:$D$36,$O66)),""))</f>
        <v>0</v>
      </c>
      <c r="R66" s="21" t="str">
        <f>IF($O66="","",IFERROR(CHOOSE(MATCH($F66,الإعدادات!$B$4:$B$7,0),INDEX('حضور سوريال'!$F$7:$F$36,$O66),INDEX('حضور غبريال'!$F$7:$F$36,$O66),INDEX('حضور رفائيل'!$F$7:$F$36,$O66),INDEX('حضور ميخائيل'!$F$7:$F$36,$O66)),""))</f>
        <v/>
      </c>
      <c r="S66" s="20">
        <f>IF($O66="","",IFERROR(CHOOSE(MATCH($F66,الإعدادات!$B$4:$B$7,0),INDEX('حضور سوريال'!$G$7:$G$36,$O66),INDEX('حضور غبريال'!$G$7:$G$36,$O66),INDEX('حضور رفائيل'!$G$7:$G$36,$O66),INDEX('حضور ميخائيل'!$G$7:$G$36,$O66)),""))</f>
        <v>0</v>
      </c>
      <c r="T66" s="22" t="str">
        <f>IF($O66="","",IFERROR(CHOOSE(MATCH($F66,الإعدادات!$B$4:$B$7,0),INDEX('حضور سوريال'!$H$7:$H$36,$O66),INDEX('حضور غبريال'!$H$7:$H$36,$O66),INDEX('حضور رفائيل'!$H$7:$H$36,$O66),INDEX('حضور ميخائيل'!$H$7:$H$36,$O66)),""))</f>
        <v>—</v>
      </c>
      <c r="U66" s="23" t="str">
        <f>IF($O66="","",IFERROR(CHOOSE(MATCH($F66,الإعدادات!$B$4:$B$7,0),INDEX('حضور سوريال'!$I$7:$I$36,$O66),INDEX('حضور غبريال'!$I$7:$I$36,$O66),INDEX('حضور رفائيل'!$I$7:$I$36,$O66),INDEX('حضور ميخائيل'!$I$7:$I$36,$O66)),""))</f>
        <v>⏳ لسه مفيش حضور</v>
      </c>
      <c r="V66">
        <f>IF($O66="","",IFERROR(CHOOSE(MATCH($F66,الإعدادات!$B$4:$B$7,0),INDEX('حضور سوريال'!$BM$7:$BM$36,$O66),INDEX('حضور غبريال'!$BM$7:$BM$36,$O66),INDEX('حضور رفائيل'!$BM$7:$BM$36,$O66),INDEX('حضور ميخائيل'!$BM$7:$BM$36,$O66)),""))</f>
        <v>0</v>
      </c>
      <c r="W66" t="str">
        <f>IF(OR(V66=3,V66=4),COUNTIFS(V$6:V66,3)+COUNTIFS(V$6:V66,4),"")</f>
        <v/>
      </c>
    </row>
    <row r="67" spans="1:23" ht="25.5" customHeight="1">
      <c r="A67" s="13">
        <f t="shared" si="0"/>
        <v>62</v>
      </c>
      <c r="B67" s="14" t="str">
        <f t="shared" si="1"/>
        <v>B-062</v>
      </c>
      <c r="C67" s="15" t="s">
        <v>296</v>
      </c>
      <c r="D67" s="16"/>
      <c r="E67" s="16" t="s">
        <v>44</v>
      </c>
      <c r="F67" s="16" t="s">
        <v>51</v>
      </c>
      <c r="G67" s="16"/>
      <c r="H67" s="17" t="s">
        <v>315</v>
      </c>
      <c r="I67" s="17" t="s">
        <v>328</v>
      </c>
      <c r="J67" s="18" t="s">
        <v>346</v>
      </c>
      <c r="K67" s="16"/>
      <c r="L67" s="18"/>
      <c r="M67" s="16"/>
      <c r="N67" s="19" t="str">
        <f t="shared" si="2"/>
        <v>ميخائيل|14</v>
      </c>
      <c r="O67" s="19">
        <f>IF(OR(C67="",F67=""),"",COUNTIFS(F$6:F67,F67,C$6:C67,"&lt;&gt;"))</f>
        <v>14</v>
      </c>
      <c r="P67" s="20">
        <f>IF($O67="","",IFERROR(CHOOSE(MATCH($F67,الإعدادات!$B$4:$B$7,0),INDEX('حضور سوريال'!$C$7:$C$36,$O67),INDEX('حضور غبريال'!$C$7:$C$36,$O67),INDEX('حضور رفائيل'!$C$7:$C$36,$O67),INDEX('حضور ميخائيل'!$C$7:$C$36,$O67)),""))</f>
        <v>0</v>
      </c>
      <c r="Q67" s="20">
        <f>IF($O67="","",IFERROR(CHOOSE(MATCH($F67,الإعدادات!$B$4:$B$7,0),INDEX('حضور سوريال'!$D$7:$D$36,$O67),INDEX('حضور غبريال'!$D$7:$D$36,$O67),INDEX('حضور رفائيل'!$D$7:$D$36,$O67),INDEX('حضور ميخائيل'!$D$7:$D$36,$O67)),""))</f>
        <v>0</v>
      </c>
      <c r="R67" s="21" t="str">
        <f>IF($O67="","",IFERROR(CHOOSE(MATCH($F67,الإعدادات!$B$4:$B$7,0),INDEX('حضور سوريال'!$F$7:$F$36,$O67),INDEX('حضور غبريال'!$F$7:$F$36,$O67),INDEX('حضور رفائيل'!$F$7:$F$36,$O67),INDEX('حضور ميخائيل'!$F$7:$F$36,$O67)),""))</f>
        <v/>
      </c>
      <c r="S67" s="20">
        <f>IF($O67="","",IFERROR(CHOOSE(MATCH($F67,الإعدادات!$B$4:$B$7,0),INDEX('حضور سوريال'!$G$7:$G$36,$O67),INDEX('حضور غبريال'!$G$7:$G$36,$O67),INDEX('حضور رفائيل'!$G$7:$G$36,$O67),INDEX('حضور ميخائيل'!$G$7:$G$36,$O67)),""))</f>
        <v>0</v>
      </c>
      <c r="T67" s="22" t="str">
        <f>IF($O67="","",IFERROR(CHOOSE(MATCH($F67,الإعدادات!$B$4:$B$7,0),INDEX('حضور سوريال'!$H$7:$H$36,$O67),INDEX('حضور غبريال'!$H$7:$H$36,$O67),INDEX('حضور رفائيل'!$H$7:$H$36,$O67),INDEX('حضور ميخائيل'!$H$7:$H$36,$O67)),""))</f>
        <v>—</v>
      </c>
      <c r="U67" s="23" t="str">
        <f>IF($O67="","",IFERROR(CHOOSE(MATCH($F67,الإعدادات!$B$4:$B$7,0),INDEX('حضور سوريال'!$I$7:$I$36,$O67),INDEX('حضور غبريال'!$I$7:$I$36,$O67),INDEX('حضور رفائيل'!$I$7:$I$36,$O67),INDEX('حضور ميخائيل'!$I$7:$I$36,$O67)),""))</f>
        <v>⏳ لسه مفيش حضور</v>
      </c>
      <c r="V67">
        <f>IF($O67="","",IFERROR(CHOOSE(MATCH($F67,الإعدادات!$B$4:$B$7,0),INDEX('حضور سوريال'!$BM$7:$BM$36,$O67),INDEX('حضور غبريال'!$BM$7:$BM$36,$O67),INDEX('حضور رفائيل'!$BM$7:$BM$36,$O67),INDEX('حضور ميخائيل'!$BM$7:$BM$36,$O67)),""))</f>
        <v>0</v>
      </c>
      <c r="W67" t="str">
        <f>IF(OR(V67=3,V67=4),COUNTIFS(V$6:V67,3)+COUNTIFS(V$6:V67,4),"")</f>
        <v/>
      </c>
    </row>
    <row r="68" spans="1:23" ht="25.5" customHeight="1">
      <c r="A68" s="13">
        <f t="shared" si="0"/>
        <v>63</v>
      </c>
      <c r="B68" s="14" t="str">
        <f t="shared" si="1"/>
        <v>B-063</v>
      </c>
      <c r="C68" s="15" t="s">
        <v>297</v>
      </c>
      <c r="D68" s="16"/>
      <c r="E68" s="16" t="s">
        <v>44</v>
      </c>
      <c r="F68" s="16" t="s">
        <v>51</v>
      </c>
      <c r="G68" s="16"/>
      <c r="H68" s="17" t="s">
        <v>316</v>
      </c>
      <c r="I68" s="17" t="s">
        <v>329</v>
      </c>
      <c r="J68" s="18" t="s">
        <v>347</v>
      </c>
      <c r="K68" s="16"/>
      <c r="L68" s="18"/>
      <c r="M68" s="16"/>
      <c r="N68" s="19" t="str">
        <f t="shared" si="2"/>
        <v>ميخائيل|15</v>
      </c>
      <c r="O68" s="19">
        <f>IF(OR(C68="",F68=""),"",COUNTIFS(F$6:F68,F68,C$6:C68,"&lt;&gt;"))</f>
        <v>15</v>
      </c>
      <c r="P68" s="20">
        <f>IF($O68="","",IFERROR(CHOOSE(MATCH($F68,الإعدادات!$B$4:$B$7,0),INDEX('حضور سوريال'!$C$7:$C$36,$O68),INDEX('حضور غبريال'!$C$7:$C$36,$O68),INDEX('حضور رفائيل'!$C$7:$C$36,$O68),INDEX('حضور ميخائيل'!$C$7:$C$36,$O68)),""))</f>
        <v>0</v>
      </c>
      <c r="Q68" s="20">
        <f>IF($O68="","",IFERROR(CHOOSE(MATCH($F68,الإعدادات!$B$4:$B$7,0),INDEX('حضور سوريال'!$D$7:$D$36,$O68),INDEX('حضور غبريال'!$D$7:$D$36,$O68),INDEX('حضور رفائيل'!$D$7:$D$36,$O68),INDEX('حضور ميخائيل'!$D$7:$D$36,$O68)),""))</f>
        <v>0</v>
      </c>
      <c r="R68" s="21" t="str">
        <f>IF($O68="","",IFERROR(CHOOSE(MATCH($F68,الإعدادات!$B$4:$B$7,0),INDEX('حضور سوريال'!$F$7:$F$36,$O68),INDEX('حضور غبريال'!$F$7:$F$36,$O68),INDEX('حضور رفائيل'!$F$7:$F$36,$O68),INDEX('حضور ميخائيل'!$F$7:$F$36,$O68)),""))</f>
        <v/>
      </c>
      <c r="S68" s="20">
        <f>IF($O68="","",IFERROR(CHOOSE(MATCH($F68,الإعدادات!$B$4:$B$7,0),INDEX('حضور سوريال'!$G$7:$G$36,$O68),INDEX('حضور غبريال'!$G$7:$G$36,$O68),INDEX('حضور رفائيل'!$G$7:$G$36,$O68),INDEX('حضور ميخائيل'!$G$7:$G$36,$O68)),""))</f>
        <v>0</v>
      </c>
      <c r="T68" s="22" t="str">
        <f>IF($O68="","",IFERROR(CHOOSE(MATCH($F68,الإعدادات!$B$4:$B$7,0),INDEX('حضور سوريال'!$H$7:$H$36,$O68),INDEX('حضور غبريال'!$H$7:$H$36,$O68),INDEX('حضور رفائيل'!$H$7:$H$36,$O68),INDEX('حضور ميخائيل'!$H$7:$H$36,$O68)),""))</f>
        <v>—</v>
      </c>
      <c r="U68" s="23" t="str">
        <f>IF($O68="","",IFERROR(CHOOSE(MATCH($F68,الإعدادات!$B$4:$B$7,0),INDEX('حضور سوريال'!$I$7:$I$36,$O68),INDEX('حضور غبريال'!$I$7:$I$36,$O68),INDEX('حضور رفائيل'!$I$7:$I$36,$O68),INDEX('حضور ميخائيل'!$I$7:$I$36,$O68)),""))</f>
        <v>⏳ لسه مفيش حضور</v>
      </c>
      <c r="V68">
        <f>IF($O68="","",IFERROR(CHOOSE(MATCH($F68,الإعدادات!$B$4:$B$7,0),INDEX('حضور سوريال'!$BM$7:$BM$36,$O68),INDEX('حضور غبريال'!$BM$7:$BM$36,$O68),INDEX('حضور رفائيل'!$BM$7:$BM$36,$O68),INDEX('حضور ميخائيل'!$BM$7:$BM$36,$O68)),""))</f>
        <v>0</v>
      </c>
      <c r="W68" t="str">
        <f>IF(OR(V68=3,V68=4),COUNTIFS(V$6:V68,3)+COUNTIFS(V$6:V68,4),"")</f>
        <v/>
      </c>
    </row>
    <row r="69" spans="1:23" ht="25.5" customHeight="1">
      <c r="A69" s="13">
        <f t="shared" si="0"/>
        <v>64</v>
      </c>
      <c r="B69" s="14" t="str">
        <f t="shared" si="1"/>
        <v>B-064</v>
      </c>
      <c r="C69" s="15" t="s">
        <v>298</v>
      </c>
      <c r="D69" s="16"/>
      <c r="E69" s="16" t="s">
        <v>44</v>
      </c>
      <c r="F69" s="16" t="s">
        <v>51</v>
      </c>
      <c r="G69" s="16"/>
      <c r="H69" s="17" t="s">
        <v>317</v>
      </c>
      <c r="I69" s="17" t="s">
        <v>330</v>
      </c>
      <c r="J69" s="18" t="s">
        <v>348</v>
      </c>
      <c r="K69" s="16"/>
      <c r="L69" s="18"/>
      <c r="M69" s="16"/>
      <c r="N69" s="19" t="str">
        <f t="shared" si="2"/>
        <v>ميخائيل|16</v>
      </c>
      <c r="O69" s="19">
        <f>IF(OR(C69="",F69=""),"",COUNTIFS(F$6:F69,F69,C$6:C69,"&lt;&gt;"))</f>
        <v>16</v>
      </c>
      <c r="P69" s="20">
        <f>IF($O69="","",IFERROR(CHOOSE(MATCH($F69,الإعدادات!$B$4:$B$7,0),INDEX('حضور سوريال'!$C$7:$C$36,$O69),INDEX('حضور غبريال'!$C$7:$C$36,$O69),INDEX('حضور رفائيل'!$C$7:$C$36,$O69),INDEX('حضور ميخائيل'!$C$7:$C$36,$O69)),""))</f>
        <v>0</v>
      </c>
      <c r="Q69" s="20">
        <f>IF($O69="","",IFERROR(CHOOSE(MATCH($F69,الإعدادات!$B$4:$B$7,0),INDEX('حضور سوريال'!$D$7:$D$36,$O69),INDEX('حضور غبريال'!$D$7:$D$36,$O69),INDEX('حضور رفائيل'!$D$7:$D$36,$O69),INDEX('حضور ميخائيل'!$D$7:$D$36,$O69)),""))</f>
        <v>0</v>
      </c>
      <c r="R69" s="21" t="str">
        <f>IF($O69="","",IFERROR(CHOOSE(MATCH($F69,الإعدادات!$B$4:$B$7,0),INDEX('حضور سوريال'!$F$7:$F$36,$O69),INDEX('حضور غبريال'!$F$7:$F$36,$O69),INDEX('حضور رفائيل'!$F$7:$F$36,$O69),INDEX('حضور ميخائيل'!$F$7:$F$36,$O69)),""))</f>
        <v/>
      </c>
      <c r="S69" s="20">
        <f>IF($O69="","",IFERROR(CHOOSE(MATCH($F69,الإعدادات!$B$4:$B$7,0),INDEX('حضور سوريال'!$G$7:$G$36,$O69),INDEX('حضور غبريال'!$G$7:$G$36,$O69),INDEX('حضور رفائيل'!$G$7:$G$36,$O69),INDEX('حضور ميخائيل'!$G$7:$G$36,$O69)),""))</f>
        <v>0</v>
      </c>
      <c r="T69" s="22" t="str">
        <f>IF($O69="","",IFERROR(CHOOSE(MATCH($F69,الإعدادات!$B$4:$B$7,0),INDEX('حضور سوريال'!$H$7:$H$36,$O69),INDEX('حضور غبريال'!$H$7:$H$36,$O69),INDEX('حضور رفائيل'!$H$7:$H$36,$O69),INDEX('حضور ميخائيل'!$H$7:$H$36,$O69)),""))</f>
        <v>—</v>
      </c>
      <c r="U69" s="23" t="str">
        <f>IF($O69="","",IFERROR(CHOOSE(MATCH($F69,الإعدادات!$B$4:$B$7,0),INDEX('حضور سوريال'!$I$7:$I$36,$O69),INDEX('حضور غبريال'!$I$7:$I$36,$O69),INDEX('حضور رفائيل'!$I$7:$I$36,$O69),INDEX('حضور ميخائيل'!$I$7:$I$36,$O69)),""))</f>
        <v>⏳ لسه مفيش حضور</v>
      </c>
      <c r="V69">
        <f>IF($O69="","",IFERROR(CHOOSE(MATCH($F69,الإعدادات!$B$4:$B$7,0),INDEX('حضور سوريال'!$BM$7:$BM$36,$O69),INDEX('حضور غبريال'!$BM$7:$BM$36,$O69),INDEX('حضور رفائيل'!$BM$7:$BM$36,$O69),INDEX('حضور ميخائيل'!$BM$7:$BM$36,$O69)),""))</f>
        <v>0</v>
      </c>
      <c r="W69" t="str">
        <f>IF(OR(V69=3,V69=4),COUNTIFS(V$6:V69,3)+COUNTIFS(V$6:V69,4),"")</f>
        <v/>
      </c>
    </row>
    <row r="70" spans="1:23" ht="25.5" customHeight="1">
      <c r="A70" s="13">
        <f t="shared" ref="A70:A133" si="3">IF(C70="","",ROW()-5)</f>
        <v>65</v>
      </c>
      <c r="B70" s="14" t="str">
        <f t="shared" ref="B70:B133" si="4">IF(C70="","","B-"&amp;TEXT(ROW()-5,"000"))</f>
        <v>B-065</v>
      </c>
      <c r="C70" s="15" t="s">
        <v>299</v>
      </c>
      <c r="D70" s="16"/>
      <c r="E70" s="16" t="s">
        <v>44</v>
      </c>
      <c r="F70" s="16" t="s">
        <v>51</v>
      </c>
      <c r="G70" s="16"/>
      <c r="H70" s="17" t="s">
        <v>318</v>
      </c>
      <c r="I70" s="17" t="s">
        <v>331</v>
      </c>
      <c r="J70" s="18" t="s">
        <v>349</v>
      </c>
      <c r="K70" s="16"/>
      <c r="L70" s="18"/>
      <c r="M70" s="16"/>
      <c r="N70" s="19" t="str">
        <f t="shared" ref="N70:N133" si="5">IF(O70="","",F70&amp;"|"&amp;O70)</f>
        <v>ميخائيل|17</v>
      </c>
      <c r="O70" s="19">
        <f>IF(OR(C70="",F70=""),"",COUNTIFS(F$6:F70,F70,C$6:C70,"&lt;&gt;"))</f>
        <v>17</v>
      </c>
      <c r="P70" s="20">
        <f>IF($O70="","",IFERROR(CHOOSE(MATCH($F70,الإعدادات!$B$4:$B$7,0),INDEX('حضور سوريال'!$C$7:$C$36,$O70),INDEX('حضور غبريال'!$C$7:$C$36,$O70),INDEX('حضور رفائيل'!$C$7:$C$36,$O70),INDEX('حضور ميخائيل'!$C$7:$C$36,$O70)),""))</f>
        <v>0</v>
      </c>
      <c r="Q70" s="20">
        <f>IF($O70="","",IFERROR(CHOOSE(MATCH($F70,الإعدادات!$B$4:$B$7,0),INDEX('حضور سوريال'!$D$7:$D$36,$O70),INDEX('حضور غبريال'!$D$7:$D$36,$O70),INDEX('حضور رفائيل'!$D$7:$D$36,$O70),INDEX('حضور ميخائيل'!$D$7:$D$36,$O70)),""))</f>
        <v>0</v>
      </c>
      <c r="R70" s="21" t="str">
        <f>IF($O70="","",IFERROR(CHOOSE(MATCH($F70,الإعدادات!$B$4:$B$7,0),INDEX('حضور سوريال'!$F$7:$F$36,$O70),INDEX('حضور غبريال'!$F$7:$F$36,$O70),INDEX('حضور رفائيل'!$F$7:$F$36,$O70),INDEX('حضور ميخائيل'!$F$7:$F$36,$O70)),""))</f>
        <v/>
      </c>
      <c r="S70" s="20">
        <f>IF($O70="","",IFERROR(CHOOSE(MATCH($F70,الإعدادات!$B$4:$B$7,0),INDEX('حضور سوريال'!$G$7:$G$36,$O70),INDEX('حضور غبريال'!$G$7:$G$36,$O70),INDEX('حضور رفائيل'!$G$7:$G$36,$O70),INDEX('حضور ميخائيل'!$G$7:$G$36,$O70)),""))</f>
        <v>0</v>
      </c>
      <c r="T70" s="22" t="str">
        <f>IF($O70="","",IFERROR(CHOOSE(MATCH($F70,الإعدادات!$B$4:$B$7,0),INDEX('حضور سوريال'!$H$7:$H$36,$O70),INDEX('حضور غبريال'!$H$7:$H$36,$O70),INDEX('حضور رفائيل'!$H$7:$H$36,$O70),INDEX('حضور ميخائيل'!$H$7:$H$36,$O70)),""))</f>
        <v>—</v>
      </c>
      <c r="U70" s="23" t="str">
        <f>IF($O70="","",IFERROR(CHOOSE(MATCH($F70,الإعدادات!$B$4:$B$7,0),INDEX('حضور سوريال'!$I$7:$I$36,$O70),INDEX('حضور غبريال'!$I$7:$I$36,$O70),INDEX('حضور رفائيل'!$I$7:$I$36,$O70),INDEX('حضور ميخائيل'!$I$7:$I$36,$O70)),""))</f>
        <v>⏳ لسه مفيش حضور</v>
      </c>
      <c r="V70">
        <f>IF($O70="","",IFERROR(CHOOSE(MATCH($F70,الإعدادات!$B$4:$B$7,0),INDEX('حضور سوريال'!$BM$7:$BM$36,$O70),INDEX('حضور غبريال'!$BM$7:$BM$36,$O70),INDEX('حضور رفائيل'!$BM$7:$BM$36,$O70),INDEX('حضور ميخائيل'!$BM$7:$BM$36,$O70)),""))</f>
        <v>0</v>
      </c>
      <c r="W70" t="str">
        <f>IF(OR(V70=3,V70=4),COUNTIFS(V$6:V70,3)+COUNTIFS(V$6:V70,4),"")</f>
        <v/>
      </c>
    </row>
    <row r="71" spans="1:23" ht="25.5" customHeight="1">
      <c r="A71" s="13">
        <f t="shared" si="3"/>
        <v>66</v>
      </c>
      <c r="B71" s="14" t="str">
        <f t="shared" si="4"/>
        <v>B-066</v>
      </c>
      <c r="C71" s="15" t="s">
        <v>300</v>
      </c>
      <c r="D71" s="16"/>
      <c r="E71" s="16" t="s">
        <v>44</v>
      </c>
      <c r="F71" s="16" t="s">
        <v>51</v>
      </c>
      <c r="G71" s="16"/>
      <c r="H71" s="17" t="s">
        <v>319</v>
      </c>
      <c r="I71" s="17" t="s">
        <v>332</v>
      </c>
      <c r="J71" s="18" t="s">
        <v>350</v>
      </c>
      <c r="K71" s="16"/>
      <c r="L71" s="18"/>
      <c r="M71" s="16"/>
      <c r="N71" s="19" t="str">
        <f t="shared" si="5"/>
        <v>ميخائيل|18</v>
      </c>
      <c r="O71" s="19">
        <f>IF(OR(C71="",F71=""),"",COUNTIFS(F$6:F71,F71,C$6:C71,"&lt;&gt;"))</f>
        <v>18</v>
      </c>
      <c r="P71" s="20">
        <f>IF($O71="","",IFERROR(CHOOSE(MATCH($F71,الإعدادات!$B$4:$B$7,0),INDEX('حضور سوريال'!$C$7:$C$36,$O71),INDEX('حضور غبريال'!$C$7:$C$36,$O71),INDEX('حضور رفائيل'!$C$7:$C$36,$O71),INDEX('حضور ميخائيل'!$C$7:$C$36,$O71)),""))</f>
        <v>0</v>
      </c>
      <c r="Q71" s="20">
        <f>IF($O71="","",IFERROR(CHOOSE(MATCH($F71,الإعدادات!$B$4:$B$7,0),INDEX('حضور سوريال'!$D$7:$D$36,$O71),INDEX('حضور غبريال'!$D$7:$D$36,$O71),INDEX('حضور رفائيل'!$D$7:$D$36,$O71),INDEX('حضور ميخائيل'!$D$7:$D$36,$O71)),""))</f>
        <v>0</v>
      </c>
      <c r="R71" s="21" t="str">
        <f>IF($O71="","",IFERROR(CHOOSE(MATCH($F71,الإعدادات!$B$4:$B$7,0),INDEX('حضور سوريال'!$F$7:$F$36,$O71),INDEX('حضور غبريال'!$F$7:$F$36,$O71),INDEX('حضور رفائيل'!$F$7:$F$36,$O71),INDEX('حضور ميخائيل'!$F$7:$F$36,$O71)),""))</f>
        <v/>
      </c>
      <c r="S71" s="20">
        <f>IF($O71="","",IFERROR(CHOOSE(MATCH($F71,الإعدادات!$B$4:$B$7,0),INDEX('حضور سوريال'!$G$7:$G$36,$O71),INDEX('حضور غبريال'!$G$7:$G$36,$O71),INDEX('حضور رفائيل'!$G$7:$G$36,$O71),INDEX('حضور ميخائيل'!$G$7:$G$36,$O71)),""))</f>
        <v>0</v>
      </c>
      <c r="T71" s="22" t="str">
        <f>IF($O71="","",IFERROR(CHOOSE(MATCH($F71,الإعدادات!$B$4:$B$7,0),INDEX('حضور سوريال'!$H$7:$H$36,$O71),INDEX('حضور غبريال'!$H$7:$H$36,$O71),INDEX('حضور رفائيل'!$H$7:$H$36,$O71),INDEX('حضور ميخائيل'!$H$7:$H$36,$O71)),""))</f>
        <v>—</v>
      </c>
      <c r="U71" s="23" t="str">
        <f>IF($O71="","",IFERROR(CHOOSE(MATCH($F71,الإعدادات!$B$4:$B$7,0),INDEX('حضور سوريال'!$I$7:$I$36,$O71),INDEX('حضور غبريال'!$I$7:$I$36,$O71),INDEX('حضور رفائيل'!$I$7:$I$36,$O71),INDEX('حضور ميخائيل'!$I$7:$I$36,$O71)),""))</f>
        <v>⏳ لسه مفيش حضور</v>
      </c>
      <c r="V71">
        <f>IF($O71="","",IFERROR(CHOOSE(MATCH($F71,الإعدادات!$B$4:$B$7,0),INDEX('حضور سوريال'!$BM$7:$BM$36,$O71),INDEX('حضور غبريال'!$BM$7:$BM$36,$O71),INDEX('حضور رفائيل'!$BM$7:$BM$36,$O71),INDEX('حضور ميخائيل'!$BM$7:$BM$36,$O71)),""))</f>
        <v>0</v>
      </c>
      <c r="W71" t="str">
        <f>IF(OR(V71=3,V71=4),COUNTIFS(V$6:V71,3)+COUNTIFS(V$6:V71,4),"")</f>
        <v/>
      </c>
    </row>
    <row r="72" spans="1:23" ht="25.5" customHeight="1">
      <c r="A72" s="13">
        <f t="shared" si="3"/>
        <v>67</v>
      </c>
      <c r="B72" s="14" t="str">
        <f t="shared" si="4"/>
        <v>B-067</v>
      </c>
      <c r="C72" s="15" t="s">
        <v>301</v>
      </c>
      <c r="D72" s="16"/>
      <c r="E72" s="16" t="s">
        <v>44</v>
      </c>
      <c r="F72" s="16" t="s">
        <v>51</v>
      </c>
      <c r="G72" s="16"/>
      <c r="H72" s="17" t="s">
        <v>320</v>
      </c>
      <c r="I72" s="17" t="s">
        <v>333</v>
      </c>
      <c r="J72" s="18" t="s">
        <v>351</v>
      </c>
      <c r="K72" s="16"/>
      <c r="L72" s="18"/>
      <c r="M72" s="16"/>
      <c r="N72" s="19" t="str">
        <f t="shared" si="5"/>
        <v>ميخائيل|19</v>
      </c>
      <c r="O72" s="19">
        <f>IF(OR(C72="",F72=""),"",COUNTIFS(F$6:F72,F72,C$6:C72,"&lt;&gt;"))</f>
        <v>19</v>
      </c>
      <c r="P72" s="20">
        <f>IF($O72="","",IFERROR(CHOOSE(MATCH($F72,الإعدادات!$B$4:$B$7,0),INDEX('حضور سوريال'!$C$7:$C$36,$O72),INDEX('حضور غبريال'!$C$7:$C$36,$O72),INDEX('حضور رفائيل'!$C$7:$C$36,$O72),INDEX('حضور ميخائيل'!$C$7:$C$36,$O72)),""))</f>
        <v>0</v>
      </c>
      <c r="Q72" s="20">
        <f>IF($O72="","",IFERROR(CHOOSE(MATCH($F72,الإعدادات!$B$4:$B$7,0),INDEX('حضور سوريال'!$D$7:$D$36,$O72),INDEX('حضور غبريال'!$D$7:$D$36,$O72),INDEX('حضور رفائيل'!$D$7:$D$36,$O72),INDEX('حضور ميخائيل'!$D$7:$D$36,$O72)),""))</f>
        <v>0</v>
      </c>
      <c r="R72" s="21" t="str">
        <f>IF($O72="","",IFERROR(CHOOSE(MATCH($F72,الإعدادات!$B$4:$B$7,0),INDEX('حضور سوريال'!$F$7:$F$36,$O72),INDEX('حضور غبريال'!$F$7:$F$36,$O72),INDEX('حضور رفائيل'!$F$7:$F$36,$O72),INDEX('حضور ميخائيل'!$F$7:$F$36,$O72)),""))</f>
        <v/>
      </c>
      <c r="S72" s="20">
        <f>IF($O72="","",IFERROR(CHOOSE(MATCH($F72,الإعدادات!$B$4:$B$7,0),INDEX('حضور سوريال'!$G$7:$G$36,$O72),INDEX('حضور غبريال'!$G$7:$G$36,$O72),INDEX('حضور رفائيل'!$G$7:$G$36,$O72),INDEX('حضور ميخائيل'!$G$7:$G$36,$O72)),""))</f>
        <v>0</v>
      </c>
      <c r="T72" s="22" t="str">
        <f>IF($O72="","",IFERROR(CHOOSE(MATCH($F72,الإعدادات!$B$4:$B$7,0),INDEX('حضور سوريال'!$H$7:$H$36,$O72),INDEX('حضور غبريال'!$H$7:$H$36,$O72),INDEX('حضور رفائيل'!$H$7:$H$36,$O72),INDEX('حضور ميخائيل'!$H$7:$H$36,$O72)),""))</f>
        <v>—</v>
      </c>
      <c r="U72" s="23" t="str">
        <f>IF($O72="","",IFERROR(CHOOSE(MATCH($F72,الإعدادات!$B$4:$B$7,0),INDEX('حضور سوريال'!$I$7:$I$36,$O72),INDEX('حضور غبريال'!$I$7:$I$36,$O72),INDEX('حضور رفائيل'!$I$7:$I$36,$O72),INDEX('حضور ميخائيل'!$I$7:$I$36,$O72)),""))</f>
        <v>⏳ لسه مفيش حضور</v>
      </c>
      <c r="V72">
        <f>IF($O72="","",IFERROR(CHOOSE(MATCH($F72,الإعدادات!$B$4:$B$7,0),INDEX('حضور سوريال'!$BM$7:$BM$36,$O72),INDEX('حضور غبريال'!$BM$7:$BM$36,$O72),INDEX('حضور رفائيل'!$BM$7:$BM$36,$O72),INDEX('حضور ميخائيل'!$BM$7:$BM$36,$O72)),""))</f>
        <v>0</v>
      </c>
      <c r="W72" t="str">
        <f>IF(OR(V72=3,V72=4),COUNTIFS(V$6:V72,3)+COUNTIFS(V$6:V72,4),"")</f>
        <v/>
      </c>
    </row>
    <row r="73" spans="1:23" ht="25.5" customHeight="1">
      <c r="A73" s="13">
        <f t="shared" si="3"/>
        <v>68</v>
      </c>
      <c r="B73" s="14" t="str">
        <f t="shared" si="4"/>
        <v>B-068</v>
      </c>
      <c r="C73" s="15" t="s">
        <v>302</v>
      </c>
      <c r="D73" s="16"/>
      <c r="E73" s="16" t="s">
        <v>44</v>
      </c>
      <c r="F73" s="16" t="s">
        <v>51</v>
      </c>
      <c r="G73" s="16"/>
      <c r="H73" s="17" t="s">
        <v>321</v>
      </c>
      <c r="I73" s="17"/>
      <c r="J73" s="18" t="s">
        <v>352</v>
      </c>
      <c r="K73" s="16"/>
      <c r="L73" s="18"/>
      <c r="M73" s="16"/>
      <c r="N73" s="19" t="str">
        <f t="shared" si="5"/>
        <v>ميخائيل|20</v>
      </c>
      <c r="O73" s="19">
        <f>IF(OR(C73="",F73=""),"",COUNTIFS(F$6:F73,F73,C$6:C73,"&lt;&gt;"))</f>
        <v>20</v>
      </c>
      <c r="P73" s="20">
        <f>IF($O73="","",IFERROR(CHOOSE(MATCH($F73,الإعدادات!$B$4:$B$7,0),INDEX('حضور سوريال'!$C$7:$C$36,$O73),INDEX('حضور غبريال'!$C$7:$C$36,$O73),INDEX('حضور رفائيل'!$C$7:$C$36,$O73),INDEX('حضور ميخائيل'!$C$7:$C$36,$O73)),""))</f>
        <v>0</v>
      </c>
      <c r="Q73" s="20">
        <f>IF($O73="","",IFERROR(CHOOSE(MATCH($F73,الإعدادات!$B$4:$B$7,0),INDEX('حضور سوريال'!$D$7:$D$36,$O73),INDEX('حضور غبريال'!$D$7:$D$36,$O73),INDEX('حضور رفائيل'!$D$7:$D$36,$O73),INDEX('حضور ميخائيل'!$D$7:$D$36,$O73)),""))</f>
        <v>0</v>
      </c>
      <c r="R73" s="21" t="str">
        <f>IF($O73="","",IFERROR(CHOOSE(MATCH($F73,الإعدادات!$B$4:$B$7,0),INDEX('حضور سوريال'!$F$7:$F$36,$O73),INDEX('حضور غبريال'!$F$7:$F$36,$O73),INDEX('حضور رفائيل'!$F$7:$F$36,$O73),INDEX('حضور ميخائيل'!$F$7:$F$36,$O73)),""))</f>
        <v/>
      </c>
      <c r="S73" s="20">
        <f>IF($O73="","",IFERROR(CHOOSE(MATCH($F73,الإعدادات!$B$4:$B$7,0),INDEX('حضور سوريال'!$G$7:$G$36,$O73),INDEX('حضور غبريال'!$G$7:$G$36,$O73),INDEX('حضور رفائيل'!$G$7:$G$36,$O73),INDEX('حضور ميخائيل'!$G$7:$G$36,$O73)),""))</f>
        <v>0</v>
      </c>
      <c r="T73" s="22" t="str">
        <f>IF($O73="","",IFERROR(CHOOSE(MATCH($F73,الإعدادات!$B$4:$B$7,0),INDEX('حضور سوريال'!$H$7:$H$36,$O73),INDEX('حضور غبريال'!$H$7:$H$36,$O73),INDEX('حضور رفائيل'!$H$7:$H$36,$O73),INDEX('حضور ميخائيل'!$H$7:$H$36,$O73)),""))</f>
        <v>—</v>
      </c>
      <c r="U73" s="23" t="str">
        <f>IF($O73="","",IFERROR(CHOOSE(MATCH($F73,الإعدادات!$B$4:$B$7,0),INDEX('حضور سوريال'!$I$7:$I$36,$O73),INDEX('حضور غبريال'!$I$7:$I$36,$O73),INDEX('حضور رفائيل'!$I$7:$I$36,$O73),INDEX('حضور ميخائيل'!$I$7:$I$36,$O73)),""))</f>
        <v>⏳ لسه مفيش حضور</v>
      </c>
      <c r="V73">
        <f>IF($O73="","",IFERROR(CHOOSE(MATCH($F73,الإعدادات!$B$4:$B$7,0),INDEX('حضور سوريال'!$BM$7:$BM$36,$O73),INDEX('حضور غبريال'!$BM$7:$BM$36,$O73),INDEX('حضور رفائيل'!$BM$7:$BM$36,$O73),INDEX('حضور ميخائيل'!$BM$7:$BM$36,$O73)),""))</f>
        <v>0</v>
      </c>
      <c r="W73" t="str">
        <f>IF(OR(V73=3,V73=4),COUNTIFS(V$6:V73,3)+COUNTIFS(V$6:V73,4),"")</f>
        <v/>
      </c>
    </row>
    <row r="74" spans="1:23" ht="25.5" customHeight="1">
      <c r="A74" s="13">
        <f t="shared" si="3"/>
        <v>69</v>
      </c>
      <c r="B74" s="14" t="str">
        <f t="shared" si="4"/>
        <v>B-069</v>
      </c>
      <c r="C74" s="15" t="s">
        <v>353</v>
      </c>
      <c r="D74" s="16"/>
      <c r="E74" s="16" t="s">
        <v>44</v>
      </c>
      <c r="F74" s="16" t="s">
        <v>50</v>
      </c>
      <c r="G74" s="16"/>
      <c r="H74" s="17" t="s">
        <v>370</v>
      </c>
      <c r="I74" s="17"/>
      <c r="J74" s="18" t="s">
        <v>388</v>
      </c>
      <c r="K74" s="16"/>
      <c r="L74" s="18"/>
      <c r="M74" s="16"/>
      <c r="N74" s="19" t="str">
        <f t="shared" si="5"/>
        <v>رفائيل|1</v>
      </c>
      <c r="O74" s="19">
        <f>IF(OR(C74="",F74=""),"",COUNTIFS(F$6:F74,F74,C$6:C74,"&lt;&gt;"))</f>
        <v>1</v>
      </c>
      <c r="P74" s="20">
        <f>IF($O74="","",IFERROR(CHOOSE(MATCH($F74,الإعدادات!$B$4:$B$7,0),INDEX('حضور سوريال'!$C$7:$C$36,$O74),INDEX('حضور غبريال'!$C$7:$C$36,$O74),INDEX('حضور رفائيل'!$C$7:$C$36,$O74),INDEX('حضور ميخائيل'!$C$7:$C$36,$O74)),""))</f>
        <v>0</v>
      </c>
      <c r="Q74" s="20">
        <f>IF($O74="","",IFERROR(CHOOSE(MATCH($F74,الإعدادات!$B$4:$B$7,0),INDEX('حضور سوريال'!$D$7:$D$36,$O74),INDEX('حضور غبريال'!$D$7:$D$36,$O74),INDEX('حضور رفائيل'!$D$7:$D$36,$O74),INDEX('حضور ميخائيل'!$D$7:$D$36,$O74)),""))</f>
        <v>0</v>
      </c>
      <c r="R74" s="21" t="str">
        <f>IF($O74="","",IFERROR(CHOOSE(MATCH($F74,الإعدادات!$B$4:$B$7,0),INDEX('حضور سوريال'!$F$7:$F$36,$O74),INDEX('حضور غبريال'!$F$7:$F$36,$O74),INDEX('حضور رفائيل'!$F$7:$F$36,$O74),INDEX('حضور ميخائيل'!$F$7:$F$36,$O74)),""))</f>
        <v/>
      </c>
      <c r="S74" s="20">
        <f>IF($O74="","",IFERROR(CHOOSE(MATCH($F74,الإعدادات!$B$4:$B$7,0),INDEX('حضور سوريال'!$G$7:$G$36,$O74),INDEX('حضور غبريال'!$G$7:$G$36,$O74),INDEX('حضور رفائيل'!$G$7:$G$36,$O74),INDEX('حضور ميخائيل'!$G$7:$G$36,$O74)),""))</f>
        <v>0</v>
      </c>
      <c r="T74" s="22" t="str">
        <f>IF($O74="","",IFERROR(CHOOSE(MATCH($F74,الإعدادات!$B$4:$B$7,0),INDEX('حضور سوريال'!$H$7:$H$36,$O74),INDEX('حضور غبريال'!$H$7:$H$36,$O74),INDEX('حضور رفائيل'!$H$7:$H$36,$O74),INDEX('حضور ميخائيل'!$H$7:$H$36,$O74)),""))</f>
        <v>—</v>
      </c>
      <c r="U74" s="23" t="str">
        <f>IF($O74="","",IFERROR(CHOOSE(MATCH($F74,الإعدادات!$B$4:$B$7,0),INDEX('حضور سوريال'!$I$7:$I$36,$O74),INDEX('حضور غبريال'!$I$7:$I$36,$O74),INDEX('حضور رفائيل'!$I$7:$I$36,$O74),INDEX('حضور ميخائيل'!$I$7:$I$36,$O74)),""))</f>
        <v>⏳ لسه مفيش حضور</v>
      </c>
      <c r="V74">
        <f>IF($O74="","",IFERROR(CHOOSE(MATCH($F74,الإعدادات!$B$4:$B$7,0),INDEX('حضور سوريال'!$BM$7:$BM$36,$O74),INDEX('حضور غبريال'!$BM$7:$BM$36,$O74),INDEX('حضور رفائيل'!$BM$7:$BM$36,$O74),INDEX('حضور ميخائيل'!$BM$7:$BM$36,$O74)),""))</f>
        <v>0</v>
      </c>
      <c r="W74" t="str">
        <f>IF(OR(V74=3,V74=4),COUNTIFS(V$6:V74,3)+COUNTIFS(V$6:V74,4),"")</f>
        <v/>
      </c>
    </row>
    <row r="75" spans="1:23" ht="25.5" customHeight="1">
      <c r="A75" s="13">
        <f t="shared" si="3"/>
        <v>70</v>
      </c>
      <c r="B75" s="14" t="str">
        <f t="shared" si="4"/>
        <v>B-070</v>
      </c>
      <c r="C75" s="15" t="s">
        <v>354</v>
      </c>
      <c r="D75" s="16"/>
      <c r="E75" s="16" t="s">
        <v>44</v>
      </c>
      <c r="F75" s="16" t="s">
        <v>50</v>
      </c>
      <c r="G75" s="16"/>
      <c r="H75" s="165" t="s">
        <v>386</v>
      </c>
      <c r="I75" s="165" t="s">
        <v>384</v>
      </c>
      <c r="J75" s="18" t="s">
        <v>389</v>
      </c>
      <c r="K75" s="16"/>
      <c r="L75" s="18"/>
      <c r="M75" s="16"/>
      <c r="N75" s="19" t="str">
        <f t="shared" si="5"/>
        <v>رفائيل|2</v>
      </c>
      <c r="O75" s="19">
        <f>IF(OR(C75="",F75=""),"",COUNTIFS(F$6:F75,F75,C$6:C75,"&lt;&gt;"))</f>
        <v>2</v>
      </c>
      <c r="P75" s="20">
        <f>IF($O75="","",IFERROR(CHOOSE(MATCH($F75,الإعدادات!$B$4:$B$7,0),INDEX('حضور سوريال'!$C$7:$C$36,$O75),INDEX('حضور غبريال'!$C$7:$C$36,$O75),INDEX('حضور رفائيل'!$C$7:$C$36,$O75),INDEX('حضور ميخائيل'!$C$7:$C$36,$O75)),""))</f>
        <v>0</v>
      </c>
      <c r="Q75" s="20">
        <f>IF($O75="","",IFERROR(CHOOSE(MATCH($F75,الإعدادات!$B$4:$B$7,0),INDEX('حضور سوريال'!$D$7:$D$36,$O75),INDEX('حضور غبريال'!$D$7:$D$36,$O75),INDEX('حضور رفائيل'!$D$7:$D$36,$O75),INDEX('حضور ميخائيل'!$D$7:$D$36,$O75)),""))</f>
        <v>0</v>
      </c>
      <c r="R75" s="21" t="str">
        <f>IF($O75="","",IFERROR(CHOOSE(MATCH($F75,الإعدادات!$B$4:$B$7,0),INDEX('حضور سوريال'!$F$7:$F$36,$O75),INDEX('حضور غبريال'!$F$7:$F$36,$O75),INDEX('حضور رفائيل'!$F$7:$F$36,$O75),INDEX('حضور ميخائيل'!$F$7:$F$36,$O75)),""))</f>
        <v/>
      </c>
      <c r="S75" s="20">
        <f>IF($O75="","",IFERROR(CHOOSE(MATCH($F75,الإعدادات!$B$4:$B$7,0),INDEX('حضور سوريال'!$G$7:$G$36,$O75),INDEX('حضور غبريال'!$G$7:$G$36,$O75),INDEX('حضور رفائيل'!$G$7:$G$36,$O75),INDEX('حضور ميخائيل'!$G$7:$G$36,$O75)),""))</f>
        <v>0</v>
      </c>
      <c r="T75" s="22" t="str">
        <f>IF($O75="","",IFERROR(CHOOSE(MATCH($F75,الإعدادات!$B$4:$B$7,0),INDEX('حضور سوريال'!$H$7:$H$36,$O75),INDEX('حضور غبريال'!$H$7:$H$36,$O75),INDEX('حضور رفائيل'!$H$7:$H$36,$O75),INDEX('حضور ميخائيل'!$H$7:$H$36,$O75)),""))</f>
        <v>—</v>
      </c>
      <c r="U75" s="23" t="str">
        <f>IF($O75="","",IFERROR(CHOOSE(MATCH($F75,الإعدادات!$B$4:$B$7,0),INDEX('حضور سوريال'!$I$7:$I$36,$O75),INDEX('حضور غبريال'!$I$7:$I$36,$O75),INDEX('حضور رفائيل'!$I$7:$I$36,$O75),INDEX('حضور ميخائيل'!$I$7:$I$36,$O75)),""))</f>
        <v>⏳ لسه مفيش حضور</v>
      </c>
      <c r="V75">
        <f>IF($O75="","",IFERROR(CHOOSE(MATCH($F75,الإعدادات!$B$4:$B$7,0),INDEX('حضور سوريال'!$BM$7:$BM$36,$O75),INDEX('حضور غبريال'!$BM$7:$BM$36,$O75),INDEX('حضور رفائيل'!$BM$7:$BM$36,$O75),INDEX('حضور ميخائيل'!$BM$7:$BM$36,$O75)),""))</f>
        <v>0</v>
      </c>
      <c r="W75" t="str">
        <f>IF(OR(V75=3,V75=4),COUNTIFS(V$6:V75,3)+COUNTIFS(V$6:V75,4),"")</f>
        <v/>
      </c>
    </row>
    <row r="76" spans="1:23" ht="25.5" customHeight="1">
      <c r="A76" s="13">
        <f t="shared" si="3"/>
        <v>71</v>
      </c>
      <c r="B76" s="14" t="str">
        <f t="shared" si="4"/>
        <v>B-071</v>
      </c>
      <c r="C76" s="15" t="s">
        <v>355</v>
      </c>
      <c r="D76" s="16"/>
      <c r="E76" s="16" t="s">
        <v>44</v>
      </c>
      <c r="F76" s="16" t="s">
        <v>50</v>
      </c>
      <c r="G76" s="16"/>
      <c r="H76" s="165" t="s">
        <v>371</v>
      </c>
      <c r="I76" s="17"/>
      <c r="J76" s="18" t="s">
        <v>390</v>
      </c>
      <c r="K76" s="16"/>
      <c r="L76" s="18"/>
      <c r="M76" s="16"/>
      <c r="N76" s="19" t="str">
        <f t="shared" si="5"/>
        <v>رفائيل|3</v>
      </c>
      <c r="O76" s="19">
        <f>IF(OR(C76="",F76=""),"",COUNTIFS(F$6:F76,F76,C$6:C76,"&lt;&gt;"))</f>
        <v>3</v>
      </c>
      <c r="P76" s="20">
        <f>IF($O76="","",IFERROR(CHOOSE(MATCH($F76,الإعدادات!$B$4:$B$7,0),INDEX('حضور سوريال'!$C$7:$C$36,$O76),INDEX('حضور غبريال'!$C$7:$C$36,$O76),INDEX('حضور رفائيل'!$C$7:$C$36,$O76),INDEX('حضور ميخائيل'!$C$7:$C$36,$O76)),""))</f>
        <v>0</v>
      </c>
      <c r="Q76" s="20">
        <f>IF($O76="","",IFERROR(CHOOSE(MATCH($F76,الإعدادات!$B$4:$B$7,0),INDEX('حضور سوريال'!$D$7:$D$36,$O76),INDEX('حضور غبريال'!$D$7:$D$36,$O76),INDEX('حضور رفائيل'!$D$7:$D$36,$O76),INDEX('حضور ميخائيل'!$D$7:$D$36,$O76)),""))</f>
        <v>0</v>
      </c>
      <c r="R76" s="21" t="str">
        <f>IF($O76="","",IFERROR(CHOOSE(MATCH($F76,الإعدادات!$B$4:$B$7,0),INDEX('حضور سوريال'!$F$7:$F$36,$O76),INDEX('حضور غبريال'!$F$7:$F$36,$O76),INDEX('حضور رفائيل'!$F$7:$F$36,$O76),INDEX('حضور ميخائيل'!$F$7:$F$36,$O76)),""))</f>
        <v/>
      </c>
      <c r="S76" s="20">
        <f>IF($O76="","",IFERROR(CHOOSE(MATCH($F76,الإعدادات!$B$4:$B$7,0),INDEX('حضور سوريال'!$G$7:$G$36,$O76),INDEX('حضور غبريال'!$G$7:$G$36,$O76),INDEX('حضور رفائيل'!$G$7:$G$36,$O76),INDEX('حضور ميخائيل'!$G$7:$G$36,$O76)),""))</f>
        <v>0</v>
      </c>
      <c r="T76" s="22" t="str">
        <f>IF($O76="","",IFERROR(CHOOSE(MATCH($F76,الإعدادات!$B$4:$B$7,0),INDEX('حضور سوريال'!$H$7:$H$36,$O76),INDEX('حضور غبريال'!$H$7:$H$36,$O76),INDEX('حضور رفائيل'!$H$7:$H$36,$O76),INDEX('حضور ميخائيل'!$H$7:$H$36,$O76)),""))</f>
        <v>—</v>
      </c>
      <c r="U76" s="23" t="str">
        <f>IF($O76="","",IFERROR(CHOOSE(MATCH($F76,الإعدادات!$B$4:$B$7,0),INDEX('حضور سوريال'!$I$7:$I$36,$O76),INDEX('حضور غبريال'!$I$7:$I$36,$O76),INDEX('حضور رفائيل'!$I$7:$I$36,$O76),INDEX('حضور ميخائيل'!$I$7:$I$36,$O76)),""))</f>
        <v>⏳ لسه مفيش حضور</v>
      </c>
      <c r="V76">
        <f>IF($O76="","",IFERROR(CHOOSE(MATCH($F76,الإعدادات!$B$4:$B$7,0),INDEX('حضور سوريال'!$BM$7:$BM$36,$O76),INDEX('حضور غبريال'!$BM$7:$BM$36,$O76),INDEX('حضور رفائيل'!$BM$7:$BM$36,$O76),INDEX('حضور ميخائيل'!$BM$7:$BM$36,$O76)),""))</f>
        <v>0</v>
      </c>
      <c r="W76" t="str">
        <f>IF(OR(V76=3,V76=4),COUNTIFS(V$6:V76,3)+COUNTIFS(V$6:V76,4),"")</f>
        <v/>
      </c>
    </row>
    <row r="77" spans="1:23" ht="25.5" customHeight="1">
      <c r="A77" s="13">
        <f t="shared" si="3"/>
        <v>72</v>
      </c>
      <c r="B77" s="14" t="str">
        <f t="shared" si="4"/>
        <v>B-072</v>
      </c>
      <c r="C77" s="15" t="s">
        <v>356</v>
      </c>
      <c r="D77" s="16"/>
      <c r="E77" s="16" t="s">
        <v>44</v>
      </c>
      <c r="F77" s="16" t="s">
        <v>50</v>
      </c>
      <c r="G77" s="16"/>
      <c r="H77" s="17" t="s">
        <v>372</v>
      </c>
      <c r="I77" s="17"/>
      <c r="J77" s="18" t="s">
        <v>391</v>
      </c>
      <c r="K77" s="16"/>
      <c r="L77" s="18"/>
      <c r="M77" s="16"/>
      <c r="N77" s="19" t="str">
        <f t="shared" si="5"/>
        <v>رفائيل|4</v>
      </c>
      <c r="O77" s="19">
        <f>IF(OR(C77="",F77=""),"",COUNTIFS(F$6:F77,F77,C$6:C77,"&lt;&gt;"))</f>
        <v>4</v>
      </c>
      <c r="P77" s="20">
        <f>IF($O77="","",IFERROR(CHOOSE(MATCH($F77,الإعدادات!$B$4:$B$7,0),INDEX('حضور سوريال'!$C$7:$C$36,$O77),INDEX('حضور غبريال'!$C$7:$C$36,$O77),INDEX('حضور رفائيل'!$C$7:$C$36,$O77),INDEX('حضور ميخائيل'!$C$7:$C$36,$O77)),""))</f>
        <v>0</v>
      </c>
      <c r="Q77" s="20">
        <f>IF($O77="","",IFERROR(CHOOSE(MATCH($F77,الإعدادات!$B$4:$B$7,0),INDEX('حضور سوريال'!$D$7:$D$36,$O77),INDEX('حضور غبريال'!$D$7:$D$36,$O77),INDEX('حضور رفائيل'!$D$7:$D$36,$O77),INDEX('حضور ميخائيل'!$D$7:$D$36,$O77)),""))</f>
        <v>0</v>
      </c>
      <c r="R77" s="21" t="str">
        <f>IF($O77="","",IFERROR(CHOOSE(MATCH($F77,الإعدادات!$B$4:$B$7,0),INDEX('حضور سوريال'!$F$7:$F$36,$O77),INDEX('حضور غبريال'!$F$7:$F$36,$O77),INDEX('حضور رفائيل'!$F$7:$F$36,$O77),INDEX('حضور ميخائيل'!$F$7:$F$36,$O77)),""))</f>
        <v/>
      </c>
      <c r="S77" s="20">
        <f>IF($O77="","",IFERROR(CHOOSE(MATCH($F77,الإعدادات!$B$4:$B$7,0),INDEX('حضور سوريال'!$G$7:$G$36,$O77),INDEX('حضور غبريال'!$G$7:$G$36,$O77),INDEX('حضور رفائيل'!$G$7:$G$36,$O77),INDEX('حضور ميخائيل'!$G$7:$G$36,$O77)),""))</f>
        <v>0</v>
      </c>
      <c r="T77" s="22" t="str">
        <f>IF($O77="","",IFERROR(CHOOSE(MATCH($F77,الإعدادات!$B$4:$B$7,0),INDEX('حضور سوريال'!$H$7:$H$36,$O77),INDEX('حضور غبريال'!$H$7:$H$36,$O77),INDEX('حضور رفائيل'!$H$7:$H$36,$O77),INDEX('حضور ميخائيل'!$H$7:$H$36,$O77)),""))</f>
        <v>—</v>
      </c>
      <c r="U77" s="23" t="str">
        <f>IF($O77="","",IFERROR(CHOOSE(MATCH($F77,الإعدادات!$B$4:$B$7,0),INDEX('حضور سوريال'!$I$7:$I$36,$O77),INDEX('حضور غبريال'!$I$7:$I$36,$O77),INDEX('حضور رفائيل'!$I$7:$I$36,$O77),INDEX('حضور ميخائيل'!$I$7:$I$36,$O77)),""))</f>
        <v>⏳ لسه مفيش حضور</v>
      </c>
      <c r="V77">
        <f>IF($O77="","",IFERROR(CHOOSE(MATCH($F77,الإعدادات!$B$4:$B$7,0),INDEX('حضور سوريال'!$BM$7:$BM$36,$O77),INDEX('حضور غبريال'!$BM$7:$BM$36,$O77),INDEX('حضور رفائيل'!$BM$7:$BM$36,$O77),INDEX('حضور ميخائيل'!$BM$7:$BM$36,$O77)),""))</f>
        <v>0</v>
      </c>
      <c r="W77" t="str">
        <f>IF(OR(V77=3,V77=4),COUNTIFS(V$6:V77,3)+COUNTIFS(V$6:V77,4),"")</f>
        <v/>
      </c>
    </row>
    <row r="78" spans="1:23" ht="25.5" customHeight="1">
      <c r="A78" s="13">
        <f t="shared" si="3"/>
        <v>73</v>
      </c>
      <c r="B78" s="14" t="str">
        <f t="shared" si="4"/>
        <v>B-073</v>
      </c>
      <c r="C78" s="15" t="s">
        <v>357</v>
      </c>
      <c r="D78" s="16"/>
      <c r="E78" s="16" t="s">
        <v>44</v>
      </c>
      <c r="F78" s="16" t="s">
        <v>50</v>
      </c>
      <c r="G78" s="16"/>
      <c r="H78" s="17" t="s">
        <v>373</v>
      </c>
      <c r="I78" s="17"/>
      <c r="J78" s="18" t="s">
        <v>392</v>
      </c>
      <c r="K78" s="16"/>
      <c r="L78" s="18"/>
      <c r="M78" s="16"/>
      <c r="N78" s="19" t="str">
        <f t="shared" si="5"/>
        <v>رفائيل|5</v>
      </c>
      <c r="O78" s="19">
        <f>IF(OR(C78="",F78=""),"",COUNTIFS(F$6:F78,F78,C$6:C78,"&lt;&gt;"))</f>
        <v>5</v>
      </c>
      <c r="P78" s="20">
        <f>IF($O78="","",IFERROR(CHOOSE(MATCH($F78,الإعدادات!$B$4:$B$7,0),INDEX('حضور سوريال'!$C$7:$C$36,$O78),INDEX('حضور غبريال'!$C$7:$C$36,$O78),INDEX('حضور رفائيل'!$C$7:$C$36,$O78),INDEX('حضور ميخائيل'!$C$7:$C$36,$O78)),""))</f>
        <v>0</v>
      </c>
      <c r="Q78" s="20">
        <f>IF($O78="","",IFERROR(CHOOSE(MATCH($F78,الإعدادات!$B$4:$B$7,0),INDEX('حضور سوريال'!$D$7:$D$36,$O78),INDEX('حضور غبريال'!$D$7:$D$36,$O78),INDEX('حضور رفائيل'!$D$7:$D$36,$O78),INDEX('حضور ميخائيل'!$D$7:$D$36,$O78)),""))</f>
        <v>0</v>
      </c>
      <c r="R78" s="21" t="str">
        <f>IF($O78="","",IFERROR(CHOOSE(MATCH($F78,الإعدادات!$B$4:$B$7,0),INDEX('حضور سوريال'!$F$7:$F$36,$O78),INDEX('حضور غبريال'!$F$7:$F$36,$O78),INDEX('حضور رفائيل'!$F$7:$F$36,$O78),INDEX('حضور ميخائيل'!$F$7:$F$36,$O78)),""))</f>
        <v/>
      </c>
      <c r="S78" s="20">
        <f>IF($O78="","",IFERROR(CHOOSE(MATCH($F78,الإعدادات!$B$4:$B$7,0),INDEX('حضور سوريال'!$G$7:$G$36,$O78),INDEX('حضور غبريال'!$G$7:$G$36,$O78),INDEX('حضور رفائيل'!$G$7:$G$36,$O78),INDEX('حضور ميخائيل'!$G$7:$G$36,$O78)),""))</f>
        <v>0</v>
      </c>
      <c r="T78" s="22" t="str">
        <f>IF($O78="","",IFERROR(CHOOSE(MATCH($F78,الإعدادات!$B$4:$B$7,0),INDEX('حضور سوريال'!$H$7:$H$36,$O78),INDEX('حضور غبريال'!$H$7:$H$36,$O78),INDEX('حضور رفائيل'!$H$7:$H$36,$O78),INDEX('حضور ميخائيل'!$H$7:$H$36,$O78)),""))</f>
        <v>—</v>
      </c>
      <c r="U78" s="23" t="str">
        <f>IF($O78="","",IFERROR(CHOOSE(MATCH($F78,الإعدادات!$B$4:$B$7,0),INDEX('حضور سوريال'!$I$7:$I$36,$O78),INDEX('حضور غبريال'!$I$7:$I$36,$O78),INDEX('حضور رفائيل'!$I$7:$I$36,$O78),INDEX('حضور ميخائيل'!$I$7:$I$36,$O78)),""))</f>
        <v>⏳ لسه مفيش حضور</v>
      </c>
      <c r="V78">
        <f>IF($O78="","",IFERROR(CHOOSE(MATCH($F78,الإعدادات!$B$4:$B$7,0),INDEX('حضور سوريال'!$BM$7:$BM$36,$O78),INDEX('حضور غبريال'!$BM$7:$BM$36,$O78),INDEX('حضور رفائيل'!$BM$7:$BM$36,$O78),INDEX('حضور ميخائيل'!$BM$7:$BM$36,$O78)),""))</f>
        <v>0</v>
      </c>
      <c r="W78" t="str">
        <f>IF(OR(V78=3,V78=4),COUNTIFS(V$6:V78,3)+COUNTIFS(V$6:V78,4),"")</f>
        <v/>
      </c>
    </row>
    <row r="79" spans="1:23" ht="25.5" customHeight="1">
      <c r="A79" s="13">
        <f t="shared" si="3"/>
        <v>74</v>
      </c>
      <c r="B79" s="14" t="str">
        <f t="shared" si="4"/>
        <v>B-074</v>
      </c>
      <c r="C79" s="15" t="s">
        <v>358</v>
      </c>
      <c r="D79" s="16"/>
      <c r="E79" s="16" t="s">
        <v>44</v>
      </c>
      <c r="F79" s="16" t="s">
        <v>50</v>
      </c>
      <c r="G79" s="16"/>
      <c r="H79" s="165" t="s">
        <v>385</v>
      </c>
      <c r="I79" s="17" t="s">
        <v>387</v>
      </c>
      <c r="J79" s="18" t="s">
        <v>393</v>
      </c>
      <c r="K79" s="16"/>
      <c r="L79" s="18"/>
      <c r="M79" s="16"/>
      <c r="N79" s="19" t="str">
        <f t="shared" si="5"/>
        <v>رفائيل|6</v>
      </c>
      <c r="O79" s="19">
        <f>IF(OR(C79="",F79=""),"",COUNTIFS(F$6:F79,F79,C$6:C79,"&lt;&gt;"))</f>
        <v>6</v>
      </c>
      <c r="P79" s="20">
        <f>IF($O79="","",IFERROR(CHOOSE(MATCH($F79,الإعدادات!$B$4:$B$7,0),INDEX('حضور سوريال'!$C$7:$C$36,$O79),INDEX('حضور غبريال'!$C$7:$C$36,$O79),INDEX('حضور رفائيل'!$C$7:$C$36,$O79),INDEX('حضور ميخائيل'!$C$7:$C$36,$O79)),""))</f>
        <v>0</v>
      </c>
      <c r="Q79" s="20">
        <f>IF($O79="","",IFERROR(CHOOSE(MATCH($F79,الإعدادات!$B$4:$B$7,0),INDEX('حضور سوريال'!$D$7:$D$36,$O79),INDEX('حضور غبريال'!$D$7:$D$36,$O79),INDEX('حضور رفائيل'!$D$7:$D$36,$O79),INDEX('حضور ميخائيل'!$D$7:$D$36,$O79)),""))</f>
        <v>0</v>
      </c>
      <c r="R79" s="21" t="str">
        <f>IF($O79="","",IFERROR(CHOOSE(MATCH($F79,الإعدادات!$B$4:$B$7,0),INDEX('حضور سوريال'!$F$7:$F$36,$O79),INDEX('حضور غبريال'!$F$7:$F$36,$O79),INDEX('حضور رفائيل'!$F$7:$F$36,$O79),INDEX('حضور ميخائيل'!$F$7:$F$36,$O79)),""))</f>
        <v/>
      </c>
      <c r="S79" s="20">
        <f>IF($O79="","",IFERROR(CHOOSE(MATCH($F79,الإعدادات!$B$4:$B$7,0),INDEX('حضور سوريال'!$G$7:$G$36,$O79),INDEX('حضور غبريال'!$G$7:$G$36,$O79),INDEX('حضور رفائيل'!$G$7:$G$36,$O79),INDEX('حضور ميخائيل'!$G$7:$G$36,$O79)),""))</f>
        <v>0</v>
      </c>
      <c r="T79" s="22" t="str">
        <f>IF($O79="","",IFERROR(CHOOSE(MATCH($F79,الإعدادات!$B$4:$B$7,0),INDEX('حضور سوريال'!$H$7:$H$36,$O79),INDEX('حضور غبريال'!$H$7:$H$36,$O79),INDEX('حضور رفائيل'!$H$7:$H$36,$O79),INDEX('حضور ميخائيل'!$H$7:$H$36,$O79)),""))</f>
        <v>—</v>
      </c>
      <c r="U79" s="23" t="str">
        <f>IF($O79="","",IFERROR(CHOOSE(MATCH($F79,الإعدادات!$B$4:$B$7,0),INDEX('حضور سوريال'!$I$7:$I$36,$O79),INDEX('حضور غبريال'!$I$7:$I$36,$O79),INDEX('حضور رفائيل'!$I$7:$I$36,$O79),INDEX('حضور ميخائيل'!$I$7:$I$36,$O79)),""))</f>
        <v>⏳ لسه مفيش حضور</v>
      </c>
      <c r="V79">
        <f>IF($O79="","",IFERROR(CHOOSE(MATCH($F79,الإعدادات!$B$4:$B$7,0),INDEX('حضور سوريال'!$BM$7:$BM$36,$O79),INDEX('حضور غبريال'!$BM$7:$BM$36,$O79),INDEX('حضور رفائيل'!$BM$7:$BM$36,$O79),INDEX('حضور ميخائيل'!$BM$7:$BM$36,$O79)),""))</f>
        <v>0</v>
      </c>
      <c r="W79" t="str">
        <f>IF(OR(V79=3,V79=4),COUNTIFS(V$6:V79,3)+COUNTIFS(V$6:V79,4),"")</f>
        <v/>
      </c>
    </row>
    <row r="80" spans="1:23" ht="25.5" customHeight="1">
      <c r="A80" s="13">
        <f t="shared" si="3"/>
        <v>75</v>
      </c>
      <c r="B80" s="14" t="str">
        <f t="shared" si="4"/>
        <v>B-075</v>
      </c>
      <c r="C80" s="15" t="s">
        <v>359</v>
      </c>
      <c r="D80" s="16"/>
      <c r="E80" s="16" t="s">
        <v>44</v>
      </c>
      <c r="F80" s="16" t="s">
        <v>50</v>
      </c>
      <c r="G80" s="16"/>
      <c r="H80" s="17" t="s">
        <v>374</v>
      </c>
      <c r="I80" s="17"/>
      <c r="J80" s="18" t="s">
        <v>394</v>
      </c>
      <c r="K80" s="16"/>
      <c r="L80" s="18"/>
      <c r="M80" s="16"/>
      <c r="N80" s="19" t="str">
        <f t="shared" si="5"/>
        <v>رفائيل|7</v>
      </c>
      <c r="O80" s="19">
        <f>IF(OR(C80="",F80=""),"",COUNTIFS(F$6:F80,F80,C$6:C80,"&lt;&gt;"))</f>
        <v>7</v>
      </c>
      <c r="P80" s="20">
        <f>IF($O80="","",IFERROR(CHOOSE(MATCH($F80,الإعدادات!$B$4:$B$7,0),INDEX('حضور سوريال'!$C$7:$C$36,$O80),INDEX('حضور غبريال'!$C$7:$C$36,$O80),INDEX('حضور رفائيل'!$C$7:$C$36,$O80),INDEX('حضور ميخائيل'!$C$7:$C$36,$O80)),""))</f>
        <v>0</v>
      </c>
      <c r="Q80" s="20">
        <f>IF($O80="","",IFERROR(CHOOSE(MATCH($F80,الإعدادات!$B$4:$B$7,0),INDEX('حضور سوريال'!$D$7:$D$36,$O80),INDEX('حضور غبريال'!$D$7:$D$36,$O80),INDEX('حضور رفائيل'!$D$7:$D$36,$O80),INDEX('حضور ميخائيل'!$D$7:$D$36,$O80)),""))</f>
        <v>0</v>
      </c>
      <c r="R80" s="21" t="str">
        <f>IF($O80="","",IFERROR(CHOOSE(MATCH($F80,الإعدادات!$B$4:$B$7,0),INDEX('حضور سوريال'!$F$7:$F$36,$O80),INDEX('حضور غبريال'!$F$7:$F$36,$O80),INDEX('حضور رفائيل'!$F$7:$F$36,$O80),INDEX('حضور ميخائيل'!$F$7:$F$36,$O80)),""))</f>
        <v/>
      </c>
      <c r="S80" s="20">
        <f>IF($O80="","",IFERROR(CHOOSE(MATCH($F80,الإعدادات!$B$4:$B$7,0),INDEX('حضور سوريال'!$G$7:$G$36,$O80),INDEX('حضور غبريال'!$G$7:$G$36,$O80),INDEX('حضور رفائيل'!$G$7:$G$36,$O80),INDEX('حضور ميخائيل'!$G$7:$G$36,$O80)),""))</f>
        <v>0</v>
      </c>
      <c r="T80" s="22" t="str">
        <f>IF($O80="","",IFERROR(CHOOSE(MATCH($F80,الإعدادات!$B$4:$B$7,0),INDEX('حضور سوريال'!$H$7:$H$36,$O80),INDEX('حضور غبريال'!$H$7:$H$36,$O80),INDEX('حضور رفائيل'!$H$7:$H$36,$O80),INDEX('حضور ميخائيل'!$H$7:$H$36,$O80)),""))</f>
        <v>—</v>
      </c>
      <c r="U80" s="23" t="str">
        <f>IF($O80="","",IFERROR(CHOOSE(MATCH($F80,الإعدادات!$B$4:$B$7,0),INDEX('حضور سوريال'!$I$7:$I$36,$O80),INDEX('حضور غبريال'!$I$7:$I$36,$O80),INDEX('حضور رفائيل'!$I$7:$I$36,$O80),INDEX('حضور ميخائيل'!$I$7:$I$36,$O80)),""))</f>
        <v>⏳ لسه مفيش حضور</v>
      </c>
      <c r="V80">
        <f>IF($O80="","",IFERROR(CHOOSE(MATCH($F80,الإعدادات!$B$4:$B$7,0),INDEX('حضور سوريال'!$BM$7:$BM$36,$O80),INDEX('حضور غبريال'!$BM$7:$BM$36,$O80),INDEX('حضور رفائيل'!$BM$7:$BM$36,$O80),INDEX('حضور ميخائيل'!$BM$7:$BM$36,$O80)),""))</f>
        <v>0</v>
      </c>
      <c r="W80" t="str">
        <f>IF(OR(V80=3,V80=4),COUNTIFS(V$6:V80,3)+COUNTIFS(V$6:V80,4),"")</f>
        <v/>
      </c>
    </row>
    <row r="81" spans="1:23" ht="25.5" customHeight="1">
      <c r="A81" s="13">
        <f t="shared" si="3"/>
        <v>76</v>
      </c>
      <c r="B81" s="14" t="str">
        <f t="shared" si="4"/>
        <v>B-076</v>
      </c>
      <c r="C81" s="15" t="s">
        <v>360</v>
      </c>
      <c r="D81" s="16"/>
      <c r="E81" s="16" t="s">
        <v>44</v>
      </c>
      <c r="F81" s="16" t="s">
        <v>50</v>
      </c>
      <c r="G81" s="16"/>
      <c r="H81" s="17" t="s">
        <v>375</v>
      </c>
      <c r="I81" s="17"/>
      <c r="J81" s="18" t="s">
        <v>395</v>
      </c>
      <c r="K81" s="16"/>
      <c r="L81" s="18"/>
      <c r="M81" s="16"/>
      <c r="N81" s="19" t="str">
        <f t="shared" si="5"/>
        <v>رفائيل|8</v>
      </c>
      <c r="O81" s="19">
        <f>IF(OR(C81="",F81=""),"",COUNTIFS(F$6:F81,F81,C$6:C81,"&lt;&gt;"))</f>
        <v>8</v>
      </c>
      <c r="P81" s="20">
        <f>IF($O81="","",IFERROR(CHOOSE(MATCH($F81,الإعدادات!$B$4:$B$7,0),INDEX('حضور سوريال'!$C$7:$C$36,$O81),INDEX('حضور غبريال'!$C$7:$C$36,$O81),INDEX('حضور رفائيل'!$C$7:$C$36,$O81),INDEX('حضور ميخائيل'!$C$7:$C$36,$O81)),""))</f>
        <v>0</v>
      </c>
      <c r="Q81" s="20">
        <f>IF($O81="","",IFERROR(CHOOSE(MATCH($F81,الإعدادات!$B$4:$B$7,0),INDEX('حضور سوريال'!$D$7:$D$36,$O81),INDEX('حضور غبريال'!$D$7:$D$36,$O81),INDEX('حضور رفائيل'!$D$7:$D$36,$O81),INDEX('حضور ميخائيل'!$D$7:$D$36,$O81)),""))</f>
        <v>0</v>
      </c>
      <c r="R81" s="21" t="str">
        <f>IF($O81="","",IFERROR(CHOOSE(MATCH($F81,الإعدادات!$B$4:$B$7,0),INDEX('حضور سوريال'!$F$7:$F$36,$O81),INDEX('حضور غبريال'!$F$7:$F$36,$O81),INDEX('حضور رفائيل'!$F$7:$F$36,$O81),INDEX('حضور ميخائيل'!$F$7:$F$36,$O81)),""))</f>
        <v/>
      </c>
      <c r="S81" s="20">
        <f>IF($O81="","",IFERROR(CHOOSE(MATCH($F81,الإعدادات!$B$4:$B$7,0),INDEX('حضور سوريال'!$G$7:$G$36,$O81),INDEX('حضور غبريال'!$G$7:$G$36,$O81),INDEX('حضور رفائيل'!$G$7:$G$36,$O81),INDEX('حضور ميخائيل'!$G$7:$G$36,$O81)),""))</f>
        <v>0</v>
      </c>
      <c r="T81" s="22" t="str">
        <f>IF($O81="","",IFERROR(CHOOSE(MATCH($F81,الإعدادات!$B$4:$B$7,0),INDEX('حضور سوريال'!$H$7:$H$36,$O81),INDEX('حضور غبريال'!$H$7:$H$36,$O81),INDEX('حضور رفائيل'!$H$7:$H$36,$O81),INDEX('حضور ميخائيل'!$H$7:$H$36,$O81)),""))</f>
        <v>—</v>
      </c>
      <c r="U81" s="23" t="str">
        <f>IF($O81="","",IFERROR(CHOOSE(MATCH($F81,الإعدادات!$B$4:$B$7,0),INDEX('حضور سوريال'!$I$7:$I$36,$O81),INDEX('حضور غبريال'!$I$7:$I$36,$O81),INDEX('حضور رفائيل'!$I$7:$I$36,$O81),INDEX('حضور ميخائيل'!$I$7:$I$36,$O81)),""))</f>
        <v>⏳ لسه مفيش حضور</v>
      </c>
      <c r="V81">
        <f>IF($O81="","",IFERROR(CHOOSE(MATCH($F81,الإعدادات!$B$4:$B$7,0),INDEX('حضور سوريال'!$BM$7:$BM$36,$O81),INDEX('حضور غبريال'!$BM$7:$BM$36,$O81),INDEX('حضور رفائيل'!$BM$7:$BM$36,$O81),INDEX('حضور ميخائيل'!$BM$7:$BM$36,$O81)),""))</f>
        <v>0</v>
      </c>
      <c r="W81" t="str">
        <f>IF(OR(V81=3,V81=4),COUNTIFS(V$6:V81,3)+COUNTIFS(V$6:V81,4),"")</f>
        <v/>
      </c>
    </row>
    <row r="82" spans="1:23" ht="25.5" customHeight="1">
      <c r="A82" s="13">
        <f t="shared" si="3"/>
        <v>77</v>
      </c>
      <c r="B82" s="14" t="str">
        <f t="shared" si="4"/>
        <v>B-077</v>
      </c>
      <c r="C82" s="15" t="s">
        <v>361</v>
      </c>
      <c r="D82" s="16"/>
      <c r="E82" s="16" t="s">
        <v>44</v>
      </c>
      <c r="F82" s="16" t="s">
        <v>50</v>
      </c>
      <c r="G82" s="16"/>
      <c r="H82" s="17" t="s">
        <v>376</v>
      </c>
      <c r="I82" s="17"/>
      <c r="J82" s="18" t="s">
        <v>396</v>
      </c>
      <c r="K82" s="16"/>
      <c r="L82" s="18"/>
      <c r="M82" s="16"/>
      <c r="N82" s="19" t="str">
        <f t="shared" si="5"/>
        <v>رفائيل|9</v>
      </c>
      <c r="O82" s="19">
        <f>IF(OR(C82="",F82=""),"",COUNTIFS(F$6:F82,F82,C$6:C82,"&lt;&gt;"))</f>
        <v>9</v>
      </c>
      <c r="P82" s="20">
        <f>IF($O82="","",IFERROR(CHOOSE(MATCH($F82,الإعدادات!$B$4:$B$7,0),INDEX('حضور سوريال'!$C$7:$C$36,$O82),INDEX('حضور غبريال'!$C$7:$C$36,$O82),INDEX('حضور رفائيل'!$C$7:$C$36,$O82),INDEX('حضور ميخائيل'!$C$7:$C$36,$O82)),""))</f>
        <v>0</v>
      </c>
      <c r="Q82" s="20">
        <f>IF($O82="","",IFERROR(CHOOSE(MATCH($F82,الإعدادات!$B$4:$B$7,0),INDEX('حضور سوريال'!$D$7:$D$36,$O82),INDEX('حضور غبريال'!$D$7:$D$36,$O82),INDEX('حضور رفائيل'!$D$7:$D$36,$O82),INDEX('حضور ميخائيل'!$D$7:$D$36,$O82)),""))</f>
        <v>0</v>
      </c>
      <c r="R82" s="21" t="str">
        <f>IF($O82="","",IFERROR(CHOOSE(MATCH($F82,الإعدادات!$B$4:$B$7,0),INDEX('حضور سوريال'!$F$7:$F$36,$O82),INDEX('حضور غبريال'!$F$7:$F$36,$O82),INDEX('حضور رفائيل'!$F$7:$F$36,$O82),INDEX('حضور ميخائيل'!$F$7:$F$36,$O82)),""))</f>
        <v/>
      </c>
      <c r="S82" s="20">
        <f>IF($O82="","",IFERROR(CHOOSE(MATCH($F82,الإعدادات!$B$4:$B$7,0),INDEX('حضور سوريال'!$G$7:$G$36,$O82),INDEX('حضور غبريال'!$G$7:$G$36,$O82),INDEX('حضور رفائيل'!$G$7:$G$36,$O82),INDEX('حضور ميخائيل'!$G$7:$G$36,$O82)),""))</f>
        <v>0</v>
      </c>
      <c r="T82" s="22" t="str">
        <f>IF($O82="","",IFERROR(CHOOSE(MATCH($F82,الإعدادات!$B$4:$B$7,0),INDEX('حضور سوريال'!$H$7:$H$36,$O82),INDEX('حضور غبريال'!$H$7:$H$36,$O82),INDEX('حضور رفائيل'!$H$7:$H$36,$O82),INDEX('حضور ميخائيل'!$H$7:$H$36,$O82)),""))</f>
        <v>—</v>
      </c>
      <c r="U82" s="23" t="str">
        <f>IF($O82="","",IFERROR(CHOOSE(MATCH($F82,الإعدادات!$B$4:$B$7,0),INDEX('حضور سوريال'!$I$7:$I$36,$O82),INDEX('حضور غبريال'!$I$7:$I$36,$O82),INDEX('حضور رفائيل'!$I$7:$I$36,$O82),INDEX('حضور ميخائيل'!$I$7:$I$36,$O82)),""))</f>
        <v>⏳ لسه مفيش حضور</v>
      </c>
      <c r="V82">
        <f>IF($O82="","",IFERROR(CHOOSE(MATCH($F82,الإعدادات!$B$4:$B$7,0),INDEX('حضور سوريال'!$BM$7:$BM$36,$O82),INDEX('حضور غبريال'!$BM$7:$BM$36,$O82),INDEX('حضور رفائيل'!$BM$7:$BM$36,$O82),INDEX('حضور ميخائيل'!$BM$7:$BM$36,$O82)),""))</f>
        <v>0</v>
      </c>
      <c r="W82" t="str">
        <f>IF(OR(V82=3,V82=4),COUNTIFS(V$6:V82,3)+COUNTIFS(V$6:V82,4),"")</f>
        <v/>
      </c>
    </row>
    <row r="83" spans="1:23" ht="25.5" customHeight="1">
      <c r="A83" s="13">
        <f t="shared" si="3"/>
        <v>78</v>
      </c>
      <c r="B83" s="14" t="str">
        <f t="shared" si="4"/>
        <v>B-078</v>
      </c>
      <c r="C83" s="15" t="s">
        <v>362</v>
      </c>
      <c r="D83" s="16"/>
      <c r="E83" s="16" t="s">
        <v>44</v>
      </c>
      <c r="F83" s="16" t="s">
        <v>50</v>
      </c>
      <c r="G83" s="16"/>
      <c r="H83" s="17" t="s">
        <v>316</v>
      </c>
      <c r="I83" s="17"/>
      <c r="J83" s="18" t="s">
        <v>397</v>
      </c>
      <c r="K83" s="16"/>
      <c r="L83" s="18"/>
      <c r="M83" s="16"/>
      <c r="N83" s="19" t="str">
        <f t="shared" si="5"/>
        <v>رفائيل|10</v>
      </c>
      <c r="O83" s="19">
        <f>IF(OR(C83="",F83=""),"",COUNTIFS(F$6:F83,F83,C$6:C83,"&lt;&gt;"))</f>
        <v>10</v>
      </c>
      <c r="P83" s="20">
        <f>IF($O83="","",IFERROR(CHOOSE(MATCH($F83,الإعدادات!$B$4:$B$7,0),INDEX('حضور سوريال'!$C$7:$C$36,$O83),INDEX('حضور غبريال'!$C$7:$C$36,$O83),INDEX('حضور رفائيل'!$C$7:$C$36,$O83),INDEX('حضور ميخائيل'!$C$7:$C$36,$O83)),""))</f>
        <v>0</v>
      </c>
      <c r="Q83" s="20">
        <f>IF($O83="","",IFERROR(CHOOSE(MATCH($F83,الإعدادات!$B$4:$B$7,0),INDEX('حضور سوريال'!$D$7:$D$36,$O83),INDEX('حضور غبريال'!$D$7:$D$36,$O83),INDEX('حضور رفائيل'!$D$7:$D$36,$O83),INDEX('حضور ميخائيل'!$D$7:$D$36,$O83)),""))</f>
        <v>0</v>
      </c>
      <c r="R83" s="21" t="str">
        <f>IF($O83="","",IFERROR(CHOOSE(MATCH($F83,الإعدادات!$B$4:$B$7,0),INDEX('حضور سوريال'!$F$7:$F$36,$O83),INDEX('حضور غبريال'!$F$7:$F$36,$O83),INDEX('حضور رفائيل'!$F$7:$F$36,$O83),INDEX('حضور ميخائيل'!$F$7:$F$36,$O83)),""))</f>
        <v/>
      </c>
      <c r="S83" s="20">
        <f>IF($O83="","",IFERROR(CHOOSE(MATCH($F83,الإعدادات!$B$4:$B$7,0),INDEX('حضور سوريال'!$G$7:$G$36,$O83),INDEX('حضور غبريال'!$G$7:$G$36,$O83),INDEX('حضور رفائيل'!$G$7:$G$36,$O83),INDEX('حضور ميخائيل'!$G$7:$G$36,$O83)),""))</f>
        <v>0</v>
      </c>
      <c r="T83" s="22" t="str">
        <f>IF($O83="","",IFERROR(CHOOSE(MATCH($F83,الإعدادات!$B$4:$B$7,0),INDEX('حضور سوريال'!$H$7:$H$36,$O83),INDEX('حضور غبريال'!$H$7:$H$36,$O83),INDEX('حضور رفائيل'!$H$7:$H$36,$O83),INDEX('حضور ميخائيل'!$H$7:$H$36,$O83)),""))</f>
        <v>—</v>
      </c>
      <c r="U83" s="23" t="str">
        <f>IF($O83="","",IFERROR(CHOOSE(MATCH($F83,الإعدادات!$B$4:$B$7,0),INDEX('حضور سوريال'!$I$7:$I$36,$O83),INDEX('حضور غبريال'!$I$7:$I$36,$O83),INDEX('حضور رفائيل'!$I$7:$I$36,$O83),INDEX('حضور ميخائيل'!$I$7:$I$36,$O83)),""))</f>
        <v>⏳ لسه مفيش حضور</v>
      </c>
      <c r="V83">
        <f>IF($O83="","",IFERROR(CHOOSE(MATCH($F83,الإعدادات!$B$4:$B$7,0),INDEX('حضور سوريال'!$BM$7:$BM$36,$O83),INDEX('حضور غبريال'!$BM$7:$BM$36,$O83),INDEX('حضور رفائيل'!$BM$7:$BM$36,$O83),INDEX('حضور ميخائيل'!$BM$7:$BM$36,$O83)),""))</f>
        <v>0</v>
      </c>
      <c r="W83" t="str">
        <f>IF(OR(V83=3,V83=4),COUNTIFS(V$6:V83,3)+COUNTIFS(V$6:V83,4),"")</f>
        <v/>
      </c>
    </row>
    <row r="84" spans="1:23" ht="25.5" customHeight="1">
      <c r="A84" s="13">
        <f t="shared" si="3"/>
        <v>79</v>
      </c>
      <c r="B84" s="14" t="str">
        <f t="shared" si="4"/>
        <v>B-079</v>
      </c>
      <c r="C84" s="15" t="s">
        <v>363</v>
      </c>
      <c r="D84" s="16"/>
      <c r="E84" s="16" t="s">
        <v>44</v>
      </c>
      <c r="F84" s="16" t="s">
        <v>50</v>
      </c>
      <c r="G84" s="16"/>
      <c r="H84" s="17" t="s">
        <v>377</v>
      </c>
      <c r="I84" s="17"/>
      <c r="J84" s="18" t="s">
        <v>398</v>
      </c>
      <c r="K84" s="16"/>
      <c r="L84" s="18"/>
      <c r="M84" s="16"/>
      <c r="N84" s="19" t="str">
        <f t="shared" si="5"/>
        <v>رفائيل|11</v>
      </c>
      <c r="O84" s="19">
        <f>IF(OR(C84="",F84=""),"",COUNTIFS(F$6:F84,F84,C$6:C84,"&lt;&gt;"))</f>
        <v>11</v>
      </c>
      <c r="P84" s="20">
        <f>IF($O84="","",IFERROR(CHOOSE(MATCH($F84,الإعدادات!$B$4:$B$7,0),INDEX('حضور سوريال'!$C$7:$C$36,$O84),INDEX('حضور غبريال'!$C$7:$C$36,$O84),INDEX('حضور رفائيل'!$C$7:$C$36,$O84),INDEX('حضور ميخائيل'!$C$7:$C$36,$O84)),""))</f>
        <v>0</v>
      </c>
      <c r="Q84" s="20">
        <f>IF($O84="","",IFERROR(CHOOSE(MATCH($F84,الإعدادات!$B$4:$B$7,0),INDEX('حضور سوريال'!$D$7:$D$36,$O84),INDEX('حضور غبريال'!$D$7:$D$36,$O84),INDEX('حضور رفائيل'!$D$7:$D$36,$O84),INDEX('حضور ميخائيل'!$D$7:$D$36,$O84)),""))</f>
        <v>0</v>
      </c>
      <c r="R84" s="21" t="str">
        <f>IF($O84="","",IFERROR(CHOOSE(MATCH($F84,الإعدادات!$B$4:$B$7,0),INDEX('حضور سوريال'!$F$7:$F$36,$O84),INDEX('حضور غبريال'!$F$7:$F$36,$O84),INDEX('حضور رفائيل'!$F$7:$F$36,$O84),INDEX('حضور ميخائيل'!$F$7:$F$36,$O84)),""))</f>
        <v/>
      </c>
      <c r="S84" s="20">
        <f>IF($O84="","",IFERROR(CHOOSE(MATCH($F84,الإعدادات!$B$4:$B$7,0),INDEX('حضور سوريال'!$G$7:$G$36,$O84),INDEX('حضور غبريال'!$G$7:$G$36,$O84),INDEX('حضور رفائيل'!$G$7:$G$36,$O84),INDEX('حضور ميخائيل'!$G$7:$G$36,$O84)),""))</f>
        <v>0</v>
      </c>
      <c r="T84" s="22" t="str">
        <f>IF($O84="","",IFERROR(CHOOSE(MATCH($F84,الإعدادات!$B$4:$B$7,0),INDEX('حضور سوريال'!$H$7:$H$36,$O84),INDEX('حضور غبريال'!$H$7:$H$36,$O84),INDEX('حضور رفائيل'!$H$7:$H$36,$O84),INDEX('حضور ميخائيل'!$H$7:$H$36,$O84)),""))</f>
        <v>—</v>
      </c>
      <c r="U84" s="23" t="str">
        <f>IF($O84="","",IFERROR(CHOOSE(MATCH($F84,الإعدادات!$B$4:$B$7,0),INDEX('حضور سوريال'!$I$7:$I$36,$O84),INDEX('حضور غبريال'!$I$7:$I$36,$O84),INDEX('حضور رفائيل'!$I$7:$I$36,$O84),INDEX('حضور ميخائيل'!$I$7:$I$36,$O84)),""))</f>
        <v>⏳ لسه مفيش حضور</v>
      </c>
      <c r="V84">
        <f>IF($O84="","",IFERROR(CHOOSE(MATCH($F84,الإعدادات!$B$4:$B$7,0),INDEX('حضور سوريال'!$BM$7:$BM$36,$O84),INDEX('حضور غبريال'!$BM$7:$BM$36,$O84),INDEX('حضور رفائيل'!$BM$7:$BM$36,$O84),INDEX('حضور ميخائيل'!$BM$7:$BM$36,$O84)),""))</f>
        <v>0</v>
      </c>
      <c r="W84" t="str">
        <f>IF(OR(V84=3,V84=4),COUNTIFS(V$6:V84,3)+COUNTIFS(V$6:V84,4),"")</f>
        <v/>
      </c>
    </row>
    <row r="85" spans="1:23" ht="25.5" customHeight="1">
      <c r="A85" s="13">
        <f t="shared" si="3"/>
        <v>80</v>
      </c>
      <c r="B85" s="14" t="str">
        <f t="shared" si="4"/>
        <v>B-080</v>
      </c>
      <c r="C85" s="15" t="s">
        <v>364</v>
      </c>
      <c r="D85" s="16"/>
      <c r="E85" s="16" t="s">
        <v>44</v>
      </c>
      <c r="F85" s="16" t="s">
        <v>50</v>
      </c>
      <c r="G85" s="16"/>
      <c r="H85" s="17" t="s">
        <v>378</v>
      </c>
      <c r="I85" s="17"/>
      <c r="J85" s="18" t="s">
        <v>399</v>
      </c>
      <c r="K85" s="16"/>
      <c r="L85" s="18"/>
      <c r="M85" s="16"/>
      <c r="N85" s="19" t="str">
        <f t="shared" si="5"/>
        <v>رفائيل|12</v>
      </c>
      <c r="O85" s="19">
        <f>IF(OR(C85="",F85=""),"",COUNTIFS(F$6:F85,F85,C$6:C85,"&lt;&gt;"))</f>
        <v>12</v>
      </c>
      <c r="P85" s="20">
        <f>IF($O85="","",IFERROR(CHOOSE(MATCH($F85,الإعدادات!$B$4:$B$7,0),INDEX('حضور سوريال'!$C$7:$C$36,$O85),INDEX('حضور غبريال'!$C$7:$C$36,$O85),INDEX('حضور رفائيل'!$C$7:$C$36,$O85),INDEX('حضور ميخائيل'!$C$7:$C$36,$O85)),""))</f>
        <v>0</v>
      </c>
      <c r="Q85" s="20">
        <f>IF($O85="","",IFERROR(CHOOSE(MATCH($F85,الإعدادات!$B$4:$B$7,0),INDEX('حضور سوريال'!$D$7:$D$36,$O85),INDEX('حضور غبريال'!$D$7:$D$36,$O85),INDEX('حضور رفائيل'!$D$7:$D$36,$O85),INDEX('حضور ميخائيل'!$D$7:$D$36,$O85)),""))</f>
        <v>0</v>
      </c>
      <c r="R85" s="21" t="str">
        <f>IF($O85="","",IFERROR(CHOOSE(MATCH($F85,الإعدادات!$B$4:$B$7,0),INDEX('حضور سوريال'!$F$7:$F$36,$O85),INDEX('حضور غبريال'!$F$7:$F$36,$O85),INDEX('حضور رفائيل'!$F$7:$F$36,$O85),INDEX('حضور ميخائيل'!$F$7:$F$36,$O85)),""))</f>
        <v/>
      </c>
      <c r="S85" s="20">
        <f>IF($O85="","",IFERROR(CHOOSE(MATCH($F85,الإعدادات!$B$4:$B$7,0),INDEX('حضور سوريال'!$G$7:$G$36,$O85),INDEX('حضور غبريال'!$G$7:$G$36,$O85),INDEX('حضور رفائيل'!$G$7:$G$36,$O85),INDEX('حضور ميخائيل'!$G$7:$G$36,$O85)),""))</f>
        <v>0</v>
      </c>
      <c r="T85" s="22" t="str">
        <f>IF($O85="","",IFERROR(CHOOSE(MATCH($F85,الإعدادات!$B$4:$B$7,0),INDEX('حضور سوريال'!$H$7:$H$36,$O85),INDEX('حضور غبريال'!$H$7:$H$36,$O85),INDEX('حضور رفائيل'!$H$7:$H$36,$O85),INDEX('حضور ميخائيل'!$H$7:$H$36,$O85)),""))</f>
        <v>—</v>
      </c>
      <c r="U85" s="23" t="str">
        <f>IF($O85="","",IFERROR(CHOOSE(MATCH($F85,الإعدادات!$B$4:$B$7,0),INDEX('حضور سوريال'!$I$7:$I$36,$O85),INDEX('حضور غبريال'!$I$7:$I$36,$O85),INDEX('حضور رفائيل'!$I$7:$I$36,$O85),INDEX('حضور ميخائيل'!$I$7:$I$36,$O85)),""))</f>
        <v>⏳ لسه مفيش حضور</v>
      </c>
      <c r="V85">
        <f>IF($O85="","",IFERROR(CHOOSE(MATCH($F85,الإعدادات!$B$4:$B$7,0),INDEX('حضور سوريال'!$BM$7:$BM$36,$O85),INDEX('حضور غبريال'!$BM$7:$BM$36,$O85),INDEX('حضور رفائيل'!$BM$7:$BM$36,$O85),INDEX('حضور ميخائيل'!$BM$7:$BM$36,$O85)),""))</f>
        <v>0</v>
      </c>
      <c r="W85" t="str">
        <f>IF(OR(V85=3,V85=4),COUNTIFS(V$6:V85,3)+COUNTIFS(V$6:V85,4),"")</f>
        <v/>
      </c>
    </row>
    <row r="86" spans="1:23" ht="25.5" customHeight="1">
      <c r="A86" s="13">
        <f t="shared" si="3"/>
        <v>81</v>
      </c>
      <c r="B86" s="14" t="str">
        <f t="shared" si="4"/>
        <v>B-081</v>
      </c>
      <c r="C86" s="15" t="s">
        <v>365</v>
      </c>
      <c r="D86" s="16"/>
      <c r="E86" s="16" t="s">
        <v>44</v>
      </c>
      <c r="F86" s="16" t="s">
        <v>50</v>
      </c>
      <c r="G86" s="16"/>
      <c r="H86" s="17" t="s">
        <v>379</v>
      </c>
      <c r="I86" s="17"/>
      <c r="J86" s="18" t="s">
        <v>400</v>
      </c>
      <c r="K86" s="16"/>
      <c r="L86" s="18"/>
      <c r="M86" s="16"/>
      <c r="N86" s="19" t="str">
        <f t="shared" si="5"/>
        <v>رفائيل|13</v>
      </c>
      <c r="O86" s="19">
        <f>IF(OR(C86="",F86=""),"",COUNTIFS(F$6:F86,F86,C$6:C86,"&lt;&gt;"))</f>
        <v>13</v>
      </c>
      <c r="P86" s="20">
        <f>IF($O86="","",IFERROR(CHOOSE(MATCH($F86,الإعدادات!$B$4:$B$7,0),INDEX('حضور سوريال'!$C$7:$C$36,$O86),INDEX('حضور غبريال'!$C$7:$C$36,$O86),INDEX('حضور رفائيل'!$C$7:$C$36,$O86),INDEX('حضور ميخائيل'!$C$7:$C$36,$O86)),""))</f>
        <v>0</v>
      </c>
      <c r="Q86" s="20">
        <f>IF($O86="","",IFERROR(CHOOSE(MATCH($F86,الإعدادات!$B$4:$B$7,0),INDEX('حضور سوريال'!$D$7:$D$36,$O86),INDEX('حضور غبريال'!$D$7:$D$36,$O86),INDEX('حضور رفائيل'!$D$7:$D$36,$O86),INDEX('حضور ميخائيل'!$D$7:$D$36,$O86)),""))</f>
        <v>0</v>
      </c>
      <c r="R86" s="21" t="str">
        <f>IF($O86="","",IFERROR(CHOOSE(MATCH($F86,الإعدادات!$B$4:$B$7,0),INDEX('حضور سوريال'!$F$7:$F$36,$O86),INDEX('حضور غبريال'!$F$7:$F$36,$O86),INDEX('حضور رفائيل'!$F$7:$F$36,$O86),INDEX('حضور ميخائيل'!$F$7:$F$36,$O86)),""))</f>
        <v/>
      </c>
      <c r="S86" s="20">
        <f>IF($O86="","",IFERROR(CHOOSE(MATCH($F86,الإعدادات!$B$4:$B$7,0),INDEX('حضور سوريال'!$G$7:$G$36,$O86),INDEX('حضور غبريال'!$G$7:$G$36,$O86),INDEX('حضور رفائيل'!$G$7:$G$36,$O86),INDEX('حضور ميخائيل'!$G$7:$G$36,$O86)),""))</f>
        <v>0</v>
      </c>
      <c r="T86" s="22" t="str">
        <f>IF($O86="","",IFERROR(CHOOSE(MATCH($F86,الإعدادات!$B$4:$B$7,0),INDEX('حضور سوريال'!$H$7:$H$36,$O86),INDEX('حضور غبريال'!$H$7:$H$36,$O86),INDEX('حضور رفائيل'!$H$7:$H$36,$O86),INDEX('حضور ميخائيل'!$H$7:$H$36,$O86)),""))</f>
        <v>—</v>
      </c>
      <c r="U86" s="23" t="str">
        <f>IF($O86="","",IFERROR(CHOOSE(MATCH($F86,الإعدادات!$B$4:$B$7,0),INDEX('حضور سوريال'!$I$7:$I$36,$O86),INDEX('حضور غبريال'!$I$7:$I$36,$O86),INDEX('حضور رفائيل'!$I$7:$I$36,$O86),INDEX('حضور ميخائيل'!$I$7:$I$36,$O86)),""))</f>
        <v>⏳ لسه مفيش حضور</v>
      </c>
      <c r="V86">
        <f>IF($O86="","",IFERROR(CHOOSE(MATCH($F86,الإعدادات!$B$4:$B$7,0),INDEX('حضور سوريال'!$BM$7:$BM$36,$O86),INDEX('حضور غبريال'!$BM$7:$BM$36,$O86),INDEX('حضور رفائيل'!$BM$7:$BM$36,$O86),INDEX('حضور ميخائيل'!$BM$7:$BM$36,$O86)),""))</f>
        <v>0</v>
      </c>
      <c r="W86" t="str">
        <f>IF(OR(V86=3,V86=4),COUNTIFS(V$6:V86,3)+COUNTIFS(V$6:V86,4),"")</f>
        <v/>
      </c>
    </row>
    <row r="87" spans="1:23" ht="25.5" customHeight="1">
      <c r="A87" s="13">
        <f t="shared" si="3"/>
        <v>82</v>
      </c>
      <c r="B87" s="14" t="str">
        <f t="shared" si="4"/>
        <v>B-082</v>
      </c>
      <c r="C87" s="15" t="s">
        <v>366</v>
      </c>
      <c r="D87" s="16"/>
      <c r="E87" s="16" t="s">
        <v>44</v>
      </c>
      <c r="F87" s="16" t="s">
        <v>50</v>
      </c>
      <c r="G87" s="16"/>
      <c r="H87" s="17" t="s">
        <v>380</v>
      </c>
      <c r="I87" s="17"/>
      <c r="J87" s="18" t="s">
        <v>401</v>
      </c>
      <c r="K87" s="16"/>
      <c r="L87" s="18"/>
      <c r="M87" s="16"/>
      <c r="N87" s="19" t="str">
        <f t="shared" si="5"/>
        <v>رفائيل|14</v>
      </c>
      <c r="O87" s="19">
        <f>IF(OR(C87="",F87=""),"",COUNTIFS(F$6:F87,F87,C$6:C87,"&lt;&gt;"))</f>
        <v>14</v>
      </c>
      <c r="P87" s="20">
        <f>IF($O87="","",IFERROR(CHOOSE(MATCH($F87,الإعدادات!$B$4:$B$7,0),INDEX('حضور سوريال'!$C$7:$C$36,$O87),INDEX('حضور غبريال'!$C$7:$C$36,$O87),INDEX('حضور رفائيل'!$C$7:$C$36,$O87),INDEX('حضور ميخائيل'!$C$7:$C$36,$O87)),""))</f>
        <v>0</v>
      </c>
      <c r="Q87" s="20">
        <f>IF($O87="","",IFERROR(CHOOSE(MATCH($F87,الإعدادات!$B$4:$B$7,0),INDEX('حضور سوريال'!$D$7:$D$36,$O87),INDEX('حضور غبريال'!$D$7:$D$36,$O87),INDEX('حضور رفائيل'!$D$7:$D$36,$O87),INDEX('حضور ميخائيل'!$D$7:$D$36,$O87)),""))</f>
        <v>0</v>
      </c>
      <c r="R87" s="21" t="str">
        <f>IF($O87="","",IFERROR(CHOOSE(MATCH($F87,الإعدادات!$B$4:$B$7,0),INDEX('حضور سوريال'!$F$7:$F$36,$O87),INDEX('حضور غبريال'!$F$7:$F$36,$O87),INDEX('حضور رفائيل'!$F$7:$F$36,$O87),INDEX('حضور ميخائيل'!$F$7:$F$36,$O87)),""))</f>
        <v/>
      </c>
      <c r="S87" s="20">
        <f>IF($O87="","",IFERROR(CHOOSE(MATCH($F87,الإعدادات!$B$4:$B$7,0),INDEX('حضور سوريال'!$G$7:$G$36,$O87),INDEX('حضور غبريال'!$G$7:$G$36,$O87),INDEX('حضور رفائيل'!$G$7:$G$36,$O87),INDEX('حضور ميخائيل'!$G$7:$G$36,$O87)),""))</f>
        <v>0</v>
      </c>
      <c r="T87" s="22" t="str">
        <f>IF($O87="","",IFERROR(CHOOSE(MATCH($F87,الإعدادات!$B$4:$B$7,0),INDEX('حضور سوريال'!$H$7:$H$36,$O87),INDEX('حضور غبريال'!$H$7:$H$36,$O87),INDEX('حضور رفائيل'!$H$7:$H$36,$O87),INDEX('حضور ميخائيل'!$H$7:$H$36,$O87)),""))</f>
        <v>—</v>
      </c>
      <c r="U87" s="23" t="str">
        <f>IF($O87="","",IFERROR(CHOOSE(MATCH($F87,الإعدادات!$B$4:$B$7,0),INDEX('حضور سوريال'!$I$7:$I$36,$O87),INDEX('حضور غبريال'!$I$7:$I$36,$O87),INDEX('حضور رفائيل'!$I$7:$I$36,$O87),INDEX('حضور ميخائيل'!$I$7:$I$36,$O87)),""))</f>
        <v>⏳ لسه مفيش حضور</v>
      </c>
      <c r="V87">
        <f>IF($O87="","",IFERROR(CHOOSE(MATCH($F87,الإعدادات!$B$4:$B$7,0),INDEX('حضور سوريال'!$BM$7:$BM$36,$O87),INDEX('حضور غبريال'!$BM$7:$BM$36,$O87),INDEX('حضور رفائيل'!$BM$7:$BM$36,$O87),INDEX('حضور ميخائيل'!$BM$7:$BM$36,$O87)),""))</f>
        <v>0</v>
      </c>
      <c r="W87" t="str">
        <f>IF(OR(V87=3,V87=4),COUNTIFS(V$6:V87,3)+COUNTIFS(V$6:V87,4),"")</f>
        <v/>
      </c>
    </row>
    <row r="88" spans="1:23" ht="25.5" customHeight="1">
      <c r="A88" s="13">
        <f t="shared" si="3"/>
        <v>83</v>
      </c>
      <c r="B88" s="14" t="str">
        <f t="shared" si="4"/>
        <v>B-083</v>
      </c>
      <c r="C88" s="15" t="s">
        <v>367</v>
      </c>
      <c r="D88" s="16"/>
      <c r="E88" s="16" t="s">
        <v>44</v>
      </c>
      <c r="F88" s="16" t="s">
        <v>50</v>
      </c>
      <c r="G88" s="16"/>
      <c r="H88" s="17" t="s">
        <v>381</v>
      </c>
      <c r="I88" s="17"/>
      <c r="J88" s="18" t="s">
        <v>402</v>
      </c>
      <c r="K88" s="16"/>
      <c r="L88" s="18"/>
      <c r="M88" s="16"/>
      <c r="N88" s="19" t="str">
        <f t="shared" si="5"/>
        <v>رفائيل|15</v>
      </c>
      <c r="O88" s="19">
        <f>IF(OR(C88="",F88=""),"",COUNTIFS(F$6:F88,F88,C$6:C88,"&lt;&gt;"))</f>
        <v>15</v>
      </c>
      <c r="P88" s="20">
        <f>IF($O88="","",IFERROR(CHOOSE(MATCH($F88,الإعدادات!$B$4:$B$7,0),INDEX('حضور سوريال'!$C$7:$C$36,$O88),INDEX('حضور غبريال'!$C$7:$C$36,$O88),INDEX('حضور رفائيل'!$C$7:$C$36,$O88),INDEX('حضور ميخائيل'!$C$7:$C$36,$O88)),""))</f>
        <v>0</v>
      </c>
      <c r="Q88" s="20">
        <f>IF($O88="","",IFERROR(CHOOSE(MATCH($F88,الإعدادات!$B$4:$B$7,0),INDEX('حضور سوريال'!$D$7:$D$36,$O88),INDEX('حضور غبريال'!$D$7:$D$36,$O88),INDEX('حضور رفائيل'!$D$7:$D$36,$O88),INDEX('حضور ميخائيل'!$D$7:$D$36,$O88)),""))</f>
        <v>0</v>
      </c>
      <c r="R88" s="21" t="str">
        <f>IF($O88="","",IFERROR(CHOOSE(MATCH($F88,الإعدادات!$B$4:$B$7,0),INDEX('حضور سوريال'!$F$7:$F$36,$O88),INDEX('حضور غبريال'!$F$7:$F$36,$O88),INDEX('حضور رفائيل'!$F$7:$F$36,$O88),INDEX('حضور ميخائيل'!$F$7:$F$36,$O88)),""))</f>
        <v/>
      </c>
      <c r="S88" s="20">
        <f>IF($O88="","",IFERROR(CHOOSE(MATCH($F88,الإعدادات!$B$4:$B$7,0),INDEX('حضور سوريال'!$G$7:$G$36,$O88),INDEX('حضور غبريال'!$G$7:$G$36,$O88),INDEX('حضور رفائيل'!$G$7:$G$36,$O88),INDEX('حضور ميخائيل'!$G$7:$G$36,$O88)),""))</f>
        <v>0</v>
      </c>
      <c r="T88" s="22" t="str">
        <f>IF($O88="","",IFERROR(CHOOSE(MATCH($F88,الإعدادات!$B$4:$B$7,0),INDEX('حضور سوريال'!$H$7:$H$36,$O88),INDEX('حضور غبريال'!$H$7:$H$36,$O88),INDEX('حضور رفائيل'!$H$7:$H$36,$O88),INDEX('حضور ميخائيل'!$H$7:$H$36,$O88)),""))</f>
        <v>—</v>
      </c>
      <c r="U88" s="23" t="str">
        <f>IF($O88="","",IFERROR(CHOOSE(MATCH($F88,الإعدادات!$B$4:$B$7,0),INDEX('حضور سوريال'!$I$7:$I$36,$O88),INDEX('حضور غبريال'!$I$7:$I$36,$O88),INDEX('حضور رفائيل'!$I$7:$I$36,$O88),INDEX('حضور ميخائيل'!$I$7:$I$36,$O88)),""))</f>
        <v>⏳ لسه مفيش حضور</v>
      </c>
      <c r="V88">
        <f>IF($O88="","",IFERROR(CHOOSE(MATCH($F88,الإعدادات!$B$4:$B$7,0),INDEX('حضور سوريال'!$BM$7:$BM$36,$O88),INDEX('حضور غبريال'!$BM$7:$BM$36,$O88),INDEX('حضور رفائيل'!$BM$7:$BM$36,$O88),INDEX('حضور ميخائيل'!$BM$7:$BM$36,$O88)),""))</f>
        <v>0</v>
      </c>
      <c r="W88" t="str">
        <f>IF(OR(V88=3,V88=4),COUNTIFS(V$6:V88,3)+COUNTIFS(V$6:V88,4),"")</f>
        <v/>
      </c>
    </row>
    <row r="89" spans="1:23" ht="25.5" customHeight="1">
      <c r="A89" s="13">
        <f t="shared" si="3"/>
        <v>84</v>
      </c>
      <c r="B89" s="14" t="str">
        <f t="shared" si="4"/>
        <v>B-084</v>
      </c>
      <c r="C89" s="15" t="s">
        <v>368</v>
      </c>
      <c r="D89" s="16"/>
      <c r="E89" s="16" t="s">
        <v>44</v>
      </c>
      <c r="F89" s="16" t="s">
        <v>50</v>
      </c>
      <c r="G89" s="16"/>
      <c r="H89" s="17" t="s">
        <v>382</v>
      </c>
      <c r="I89" s="17"/>
      <c r="J89" s="18" t="s">
        <v>403</v>
      </c>
      <c r="K89" s="16"/>
      <c r="L89" s="18"/>
      <c r="M89" s="16"/>
      <c r="N89" s="19" t="str">
        <f t="shared" si="5"/>
        <v>رفائيل|16</v>
      </c>
      <c r="O89" s="19">
        <f>IF(OR(C89="",F89=""),"",COUNTIFS(F$6:F89,F89,C$6:C89,"&lt;&gt;"))</f>
        <v>16</v>
      </c>
      <c r="P89" s="20">
        <f>IF($O89="","",IFERROR(CHOOSE(MATCH($F89,الإعدادات!$B$4:$B$7,0),INDEX('حضور سوريال'!$C$7:$C$36,$O89),INDEX('حضور غبريال'!$C$7:$C$36,$O89),INDEX('حضور رفائيل'!$C$7:$C$36,$O89),INDEX('حضور ميخائيل'!$C$7:$C$36,$O89)),""))</f>
        <v>0</v>
      </c>
      <c r="Q89" s="20">
        <f>IF($O89="","",IFERROR(CHOOSE(MATCH($F89,الإعدادات!$B$4:$B$7,0),INDEX('حضور سوريال'!$D$7:$D$36,$O89),INDEX('حضور غبريال'!$D$7:$D$36,$O89),INDEX('حضور رفائيل'!$D$7:$D$36,$O89),INDEX('حضور ميخائيل'!$D$7:$D$36,$O89)),""))</f>
        <v>0</v>
      </c>
      <c r="R89" s="21" t="str">
        <f>IF($O89="","",IFERROR(CHOOSE(MATCH($F89,الإعدادات!$B$4:$B$7,0),INDEX('حضور سوريال'!$F$7:$F$36,$O89),INDEX('حضور غبريال'!$F$7:$F$36,$O89),INDEX('حضور رفائيل'!$F$7:$F$36,$O89),INDEX('حضور ميخائيل'!$F$7:$F$36,$O89)),""))</f>
        <v/>
      </c>
      <c r="S89" s="20">
        <f>IF($O89="","",IFERROR(CHOOSE(MATCH($F89,الإعدادات!$B$4:$B$7,0),INDEX('حضور سوريال'!$G$7:$G$36,$O89),INDEX('حضور غبريال'!$G$7:$G$36,$O89),INDEX('حضور رفائيل'!$G$7:$G$36,$O89),INDEX('حضور ميخائيل'!$G$7:$G$36,$O89)),""))</f>
        <v>0</v>
      </c>
      <c r="T89" s="22" t="str">
        <f>IF($O89="","",IFERROR(CHOOSE(MATCH($F89,الإعدادات!$B$4:$B$7,0),INDEX('حضور سوريال'!$H$7:$H$36,$O89),INDEX('حضور غبريال'!$H$7:$H$36,$O89),INDEX('حضور رفائيل'!$H$7:$H$36,$O89),INDEX('حضور ميخائيل'!$H$7:$H$36,$O89)),""))</f>
        <v>—</v>
      </c>
      <c r="U89" s="23" t="str">
        <f>IF($O89="","",IFERROR(CHOOSE(MATCH($F89,الإعدادات!$B$4:$B$7,0),INDEX('حضور سوريال'!$I$7:$I$36,$O89),INDEX('حضور غبريال'!$I$7:$I$36,$O89),INDEX('حضور رفائيل'!$I$7:$I$36,$O89),INDEX('حضور ميخائيل'!$I$7:$I$36,$O89)),""))</f>
        <v>⏳ لسه مفيش حضور</v>
      </c>
      <c r="V89">
        <f>IF($O89="","",IFERROR(CHOOSE(MATCH($F89,الإعدادات!$B$4:$B$7,0),INDEX('حضور سوريال'!$BM$7:$BM$36,$O89),INDEX('حضور غبريال'!$BM$7:$BM$36,$O89),INDEX('حضور رفائيل'!$BM$7:$BM$36,$O89),INDEX('حضور ميخائيل'!$BM$7:$BM$36,$O89)),""))</f>
        <v>0</v>
      </c>
      <c r="W89" t="str">
        <f>IF(OR(V89=3,V89=4),COUNTIFS(V$6:V89,3)+COUNTIFS(V$6:V89,4),"")</f>
        <v/>
      </c>
    </row>
    <row r="90" spans="1:23" ht="25.5" customHeight="1">
      <c r="A90" s="13">
        <f t="shared" si="3"/>
        <v>85</v>
      </c>
      <c r="B90" s="14" t="str">
        <f t="shared" si="4"/>
        <v>B-085</v>
      </c>
      <c r="C90" s="15" t="s">
        <v>369</v>
      </c>
      <c r="D90" s="16"/>
      <c r="E90" s="16" t="s">
        <v>44</v>
      </c>
      <c r="F90" s="16" t="s">
        <v>50</v>
      </c>
      <c r="G90" s="16"/>
      <c r="H90" s="17" t="s">
        <v>383</v>
      </c>
      <c r="I90" s="17"/>
      <c r="J90" s="18" t="s">
        <v>404</v>
      </c>
      <c r="K90" s="16"/>
      <c r="L90" s="18"/>
      <c r="M90" s="16"/>
      <c r="N90" s="19" t="str">
        <f t="shared" si="5"/>
        <v>رفائيل|17</v>
      </c>
      <c r="O90" s="19">
        <f>IF(OR(C90="",F90=""),"",COUNTIFS(F$6:F90,F90,C$6:C90,"&lt;&gt;"))</f>
        <v>17</v>
      </c>
      <c r="P90" s="20">
        <f>IF($O90="","",IFERROR(CHOOSE(MATCH($F90,الإعدادات!$B$4:$B$7,0),INDEX('حضور سوريال'!$C$7:$C$36,$O90),INDEX('حضور غبريال'!$C$7:$C$36,$O90),INDEX('حضور رفائيل'!$C$7:$C$36,$O90),INDEX('حضور ميخائيل'!$C$7:$C$36,$O90)),""))</f>
        <v>0</v>
      </c>
      <c r="Q90" s="20">
        <f>IF($O90="","",IFERROR(CHOOSE(MATCH($F90,الإعدادات!$B$4:$B$7,0),INDEX('حضور سوريال'!$D$7:$D$36,$O90),INDEX('حضور غبريال'!$D$7:$D$36,$O90),INDEX('حضور رفائيل'!$D$7:$D$36,$O90),INDEX('حضور ميخائيل'!$D$7:$D$36,$O90)),""))</f>
        <v>0</v>
      </c>
      <c r="R90" s="21" t="str">
        <f>IF($O90="","",IFERROR(CHOOSE(MATCH($F90,الإعدادات!$B$4:$B$7,0),INDEX('حضور سوريال'!$F$7:$F$36,$O90),INDEX('حضور غبريال'!$F$7:$F$36,$O90),INDEX('حضور رفائيل'!$F$7:$F$36,$O90),INDEX('حضور ميخائيل'!$F$7:$F$36,$O90)),""))</f>
        <v/>
      </c>
      <c r="S90" s="20">
        <f>IF($O90="","",IFERROR(CHOOSE(MATCH($F90,الإعدادات!$B$4:$B$7,0),INDEX('حضور سوريال'!$G$7:$G$36,$O90),INDEX('حضور غبريال'!$G$7:$G$36,$O90),INDEX('حضور رفائيل'!$G$7:$G$36,$O90),INDEX('حضور ميخائيل'!$G$7:$G$36,$O90)),""))</f>
        <v>0</v>
      </c>
      <c r="T90" s="22" t="str">
        <f>IF($O90="","",IFERROR(CHOOSE(MATCH($F90,الإعدادات!$B$4:$B$7,0),INDEX('حضور سوريال'!$H$7:$H$36,$O90),INDEX('حضور غبريال'!$H$7:$H$36,$O90),INDEX('حضور رفائيل'!$H$7:$H$36,$O90),INDEX('حضور ميخائيل'!$H$7:$H$36,$O90)),""))</f>
        <v>—</v>
      </c>
      <c r="U90" s="23" t="str">
        <f>IF($O90="","",IFERROR(CHOOSE(MATCH($F90,الإعدادات!$B$4:$B$7,0),INDEX('حضور سوريال'!$I$7:$I$36,$O90),INDEX('حضور غبريال'!$I$7:$I$36,$O90),INDEX('حضور رفائيل'!$I$7:$I$36,$O90),INDEX('حضور ميخائيل'!$I$7:$I$36,$O90)),""))</f>
        <v>⏳ لسه مفيش حضور</v>
      </c>
      <c r="V90">
        <f>IF($O90="","",IFERROR(CHOOSE(MATCH($F90,الإعدادات!$B$4:$B$7,0),INDEX('حضور سوريال'!$BM$7:$BM$36,$O90),INDEX('حضور غبريال'!$BM$7:$BM$36,$O90),INDEX('حضور رفائيل'!$BM$7:$BM$36,$O90),INDEX('حضور ميخائيل'!$BM$7:$BM$36,$O90)),""))</f>
        <v>0</v>
      </c>
      <c r="W90" t="str">
        <f>IF(OR(V90=3,V90=4),COUNTIFS(V$6:V90,3)+COUNTIFS(V$6:V90,4),"")</f>
        <v/>
      </c>
    </row>
    <row r="91" spans="1:23" ht="25.5" customHeight="1">
      <c r="A91" s="13" t="str">
        <f t="shared" si="3"/>
        <v/>
      </c>
      <c r="B91" s="14" t="str">
        <f t="shared" si="4"/>
        <v/>
      </c>
      <c r="C91" s="15"/>
      <c r="D91" s="16"/>
      <c r="E91" s="16"/>
      <c r="F91" s="16"/>
      <c r="G91" s="16"/>
      <c r="H91" s="17"/>
      <c r="I91" s="17"/>
      <c r="J91" s="18"/>
      <c r="K91" s="16"/>
      <c r="L91" s="18"/>
      <c r="M91" s="16"/>
      <c r="N91" s="19" t="str">
        <f t="shared" si="5"/>
        <v/>
      </c>
      <c r="O91" s="19" t="str">
        <f>IF(OR(C91="",F91=""),"",COUNTIFS(F$6:F91,F91,C$6:C91,"&lt;&gt;"))</f>
        <v/>
      </c>
      <c r="P91" s="20" t="str">
        <f>IF($O91="","",IFERROR(CHOOSE(MATCH($F91,الإعدادات!$B$4:$B$7,0),INDEX('حضور سوريال'!$C$7:$C$36,$O91),INDEX('حضور غبريال'!$C$7:$C$36,$O91),INDEX('حضور رفائيل'!$C$7:$C$36,$O91),INDEX('حضور ميخائيل'!$C$7:$C$36,$O91)),""))</f>
        <v/>
      </c>
      <c r="Q91" s="20" t="str">
        <f>IF($O91="","",IFERROR(CHOOSE(MATCH($F91,الإعدادات!$B$4:$B$7,0),INDEX('حضور سوريال'!$D$7:$D$36,$O91),INDEX('حضور غبريال'!$D$7:$D$36,$O91),INDEX('حضور رفائيل'!$D$7:$D$36,$O91),INDEX('حضور ميخائيل'!$D$7:$D$36,$O91)),""))</f>
        <v/>
      </c>
      <c r="R91" s="21" t="str">
        <f>IF($O91="","",IFERROR(CHOOSE(MATCH($F91,الإعدادات!$B$4:$B$7,0),INDEX('حضور سوريال'!$F$7:$F$36,$O91),INDEX('حضور غبريال'!$F$7:$F$36,$O91),INDEX('حضور رفائيل'!$F$7:$F$36,$O91),INDEX('حضور ميخائيل'!$F$7:$F$36,$O91)),""))</f>
        <v/>
      </c>
      <c r="S91" s="20" t="str">
        <f>IF($O91="","",IFERROR(CHOOSE(MATCH($F91,الإعدادات!$B$4:$B$7,0),INDEX('حضور سوريال'!$G$7:$G$36,$O91),INDEX('حضور غبريال'!$G$7:$G$36,$O91),INDEX('حضور رفائيل'!$G$7:$G$36,$O91),INDEX('حضور ميخائيل'!$G$7:$G$36,$O91)),""))</f>
        <v/>
      </c>
      <c r="T91" s="22" t="str">
        <f>IF($O91="","",IFERROR(CHOOSE(MATCH($F91,الإعدادات!$B$4:$B$7,0),INDEX('حضور سوريال'!$H$7:$H$36,$O91),INDEX('حضور غبريال'!$H$7:$H$36,$O91),INDEX('حضور رفائيل'!$H$7:$H$36,$O91),INDEX('حضور ميخائيل'!$H$7:$H$36,$O91)),""))</f>
        <v/>
      </c>
      <c r="U91" s="23" t="str">
        <f>IF($O91="","",IFERROR(CHOOSE(MATCH($F91,الإعدادات!$B$4:$B$7,0),INDEX('حضور سوريال'!$I$7:$I$36,$O91),INDEX('حضور غبريال'!$I$7:$I$36,$O91),INDEX('حضور رفائيل'!$I$7:$I$36,$O91),INDEX('حضور ميخائيل'!$I$7:$I$36,$O91)),""))</f>
        <v/>
      </c>
      <c r="V91" t="str">
        <f>IF($O91="","",IFERROR(CHOOSE(MATCH($F91,الإعدادات!$B$4:$B$7,0),INDEX('حضور سوريال'!$BM$7:$BM$36,$O91),INDEX('حضور غبريال'!$BM$7:$BM$36,$O91),INDEX('حضور رفائيل'!$BM$7:$BM$36,$O91),INDEX('حضور ميخائيل'!$BM$7:$BM$36,$O91)),""))</f>
        <v/>
      </c>
      <c r="W91" t="str">
        <f>IF(OR(V91=3,V91=4),COUNTIFS(V$6:V91,3)+COUNTIFS(V$6:V91,4),"")</f>
        <v/>
      </c>
    </row>
    <row r="92" spans="1:23" ht="25.5" customHeight="1">
      <c r="A92" s="13" t="str">
        <f t="shared" si="3"/>
        <v/>
      </c>
      <c r="B92" s="14" t="str">
        <f t="shared" si="4"/>
        <v/>
      </c>
      <c r="C92" s="15"/>
      <c r="D92" s="16"/>
      <c r="E92" s="16"/>
      <c r="F92" s="16"/>
      <c r="G92" s="16"/>
      <c r="H92" s="17"/>
      <c r="I92" s="17"/>
      <c r="J92" s="18"/>
      <c r="K92" s="16"/>
      <c r="L92" s="18"/>
      <c r="M92" s="16"/>
      <c r="N92" s="19" t="str">
        <f t="shared" si="5"/>
        <v/>
      </c>
      <c r="O92" s="19" t="str">
        <f>IF(OR(C92="",F92=""),"",COUNTIFS(F$6:F92,F92,C$6:C92,"&lt;&gt;"))</f>
        <v/>
      </c>
      <c r="P92" s="20" t="str">
        <f>IF($O92="","",IFERROR(CHOOSE(MATCH($F92,الإعدادات!$B$4:$B$7,0),INDEX('حضور سوريال'!$C$7:$C$36,$O92),INDEX('حضور غبريال'!$C$7:$C$36,$O92),INDEX('حضور رفائيل'!$C$7:$C$36,$O92),INDEX('حضور ميخائيل'!$C$7:$C$36,$O92)),""))</f>
        <v/>
      </c>
      <c r="Q92" s="20" t="str">
        <f>IF($O92="","",IFERROR(CHOOSE(MATCH($F92,الإعدادات!$B$4:$B$7,0),INDEX('حضور سوريال'!$D$7:$D$36,$O92),INDEX('حضور غبريال'!$D$7:$D$36,$O92),INDEX('حضور رفائيل'!$D$7:$D$36,$O92),INDEX('حضور ميخائيل'!$D$7:$D$36,$O92)),""))</f>
        <v/>
      </c>
      <c r="R92" s="21" t="str">
        <f>IF($O92="","",IFERROR(CHOOSE(MATCH($F92,الإعدادات!$B$4:$B$7,0),INDEX('حضور سوريال'!$F$7:$F$36,$O92),INDEX('حضور غبريال'!$F$7:$F$36,$O92),INDEX('حضور رفائيل'!$F$7:$F$36,$O92),INDEX('حضور ميخائيل'!$F$7:$F$36,$O92)),""))</f>
        <v/>
      </c>
      <c r="S92" s="20" t="str">
        <f>IF($O92="","",IFERROR(CHOOSE(MATCH($F92,الإعدادات!$B$4:$B$7,0),INDEX('حضور سوريال'!$G$7:$G$36,$O92),INDEX('حضور غبريال'!$G$7:$G$36,$O92),INDEX('حضور رفائيل'!$G$7:$G$36,$O92),INDEX('حضور ميخائيل'!$G$7:$G$36,$O92)),""))</f>
        <v/>
      </c>
      <c r="T92" s="22" t="str">
        <f>IF($O92="","",IFERROR(CHOOSE(MATCH($F92,الإعدادات!$B$4:$B$7,0),INDEX('حضور سوريال'!$H$7:$H$36,$O92),INDEX('حضور غبريال'!$H$7:$H$36,$O92),INDEX('حضور رفائيل'!$H$7:$H$36,$O92),INDEX('حضور ميخائيل'!$H$7:$H$36,$O92)),""))</f>
        <v/>
      </c>
      <c r="U92" s="23" t="str">
        <f>IF($O92="","",IFERROR(CHOOSE(MATCH($F92,الإعدادات!$B$4:$B$7,0),INDEX('حضور سوريال'!$I$7:$I$36,$O92),INDEX('حضور غبريال'!$I$7:$I$36,$O92),INDEX('حضور رفائيل'!$I$7:$I$36,$O92),INDEX('حضور ميخائيل'!$I$7:$I$36,$O92)),""))</f>
        <v/>
      </c>
      <c r="V92" t="str">
        <f>IF($O92="","",IFERROR(CHOOSE(MATCH($F92,الإعدادات!$B$4:$B$7,0),INDEX('حضور سوريال'!$BM$7:$BM$36,$O92),INDEX('حضور غبريال'!$BM$7:$BM$36,$O92),INDEX('حضور رفائيل'!$BM$7:$BM$36,$O92),INDEX('حضور ميخائيل'!$BM$7:$BM$36,$O92)),""))</f>
        <v/>
      </c>
      <c r="W92" t="str">
        <f>IF(OR(V92=3,V92=4),COUNTIFS(V$6:V92,3)+COUNTIFS(V$6:V92,4),"")</f>
        <v/>
      </c>
    </row>
    <row r="93" spans="1:23" ht="25.5" customHeight="1">
      <c r="A93" s="13" t="str">
        <f t="shared" si="3"/>
        <v/>
      </c>
      <c r="B93" s="14" t="str">
        <f t="shared" si="4"/>
        <v/>
      </c>
      <c r="C93" s="15"/>
      <c r="D93" s="16"/>
      <c r="E93" s="16"/>
      <c r="F93" s="16"/>
      <c r="G93" s="16"/>
      <c r="H93" s="17"/>
      <c r="I93" s="17"/>
      <c r="J93" s="18"/>
      <c r="K93" s="16"/>
      <c r="L93" s="18"/>
      <c r="M93" s="16"/>
      <c r="N93" s="19" t="str">
        <f t="shared" si="5"/>
        <v/>
      </c>
      <c r="O93" s="19" t="str">
        <f>IF(OR(C93="",F93=""),"",COUNTIFS(F$6:F93,F93,C$6:C93,"&lt;&gt;"))</f>
        <v/>
      </c>
      <c r="P93" s="20" t="str">
        <f>IF($O93="","",IFERROR(CHOOSE(MATCH($F93,الإعدادات!$B$4:$B$7,0),INDEX('حضور سوريال'!$C$7:$C$36,$O93),INDEX('حضور غبريال'!$C$7:$C$36,$O93),INDEX('حضور رفائيل'!$C$7:$C$36,$O93),INDEX('حضور ميخائيل'!$C$7:$C$36,$O93)),""))</f>
        <v/>
      </c>
      <c r="Q93" s="20" t="str">
        <f>IF($O93="","",IFERROR(CHOOSE(MATCH($F93,الإعدادات!$B$4:$B$7,0),INDEX('حضور سوريال'!$D$7:$D$36,$O93),INDEX('حضور غبريال'!$D$7:$D$36,$O93),INDEX('حضور رفائيل'!$D$7:$D$36,$O93),INDEX('حضور ميخائيل'!$D$7:$D$36,$O93)),""))</f>
        <v/>
      </c>
      <c r="R93" s="21" t="str">
        <f>IF($O93="","",IFERROR(CHOOSE(MATCH($F93,الإعدادات!$B$4:$B$7,0),INDEX('حضور سوريال'!$F$7:$F$36,$O93),INDEX('حضور غبريال'!$F$7:$F$36,$O93),INDEX('حضور رفائيل'!$F$7:$F$36,$O93),INDEX('حضور ميخائيل'!$F$7:$F$36,$O93)),""))</f>
        <v/>
      </c>
      <c r="S93" s="20" t="str">
        <f>IF($O93="","",IFERROR(CHOOSE(MATCH($F93,الإعدادات!$B$4:$B$7,0),INDEX('حضور سوريال'!$G$7:$G$36,$O93),INDEX('حضور غبريال'!$G$7:$G$36,$O93),INDEX('حضور رفائيل'!$G$7:$G$36,$O93),INDEX('حضور ميخائيل'!$G$7:$G$36,$O93)),""))</f>
        <v/>
      </c>
      <c r="T93" s="22" t="str">
        <f>IF($O93="","",IFERROR(CHOOSE(MATCH($F93,الإعدادات!$B$4:$B$7,0),INDEX('حضور سوريال'!$H$7:$H$36,$O93),INDEX('حضور غبريال'!$H$7:$H$36,$O93),INDEX('حضور رفائيل'!$H$7:$H$36,$O93),INDEX('حضور ميخائيل'!$H$7:$H$36,$O93)),""))</f>
        <v/>
      </c>
      <c r="U93" s="23" t="str">
        <f>IF($O93="","",IFERROR(CHOOSE(MATCH($F93,الإعدادات!$B$4:$B$7,0),INDEX('حضور سوريال'!$I$7:$I$36,$O93),INDEX('حضور غبريال'!$I$7:$I$36,$O93),INDEX('حضور رفائيل'!$I$7:$I$36,$O93),INDEX('حضور ميخائيل'!$I$7:$I$36,$O93)),""))</f>
        <v/>
      </c>
      <c r="V93" t="str">
        <f>IF($O93="","",IFERROR(CHOOSE(MATCH($F93,الإعدادات!$B$4:$B$7,0),INDEX('حضور سوريال'!$BM$7:$BM$36,$O93),INDEX('حضور غبريال'!$BM$7:$BM$36,$O93),INDEX('حضور رفائيل'!$BM$7:$BM$36,$O93),INDEX('حضور ميخائيل'!$BM$7:$BM$36,$O93)),""))</f>
        <v/>
      </c>
      <c r="W93" t="str">
        <f>IF(OR(V93=3,V93=4),COUNTIFS(V$6:V93,3)+COUNTIFS(V$6:V93,4),"")</f>
        <v/>
      </c>
    </row>
    <row r="94" spans="1:23" ht="25.5" customHeight="1">
      <c r="A94" s="13" t="str">
        <f t="shared" si="3"/>
        <v/>
      </c>
      <c r="B94" s="14" t="str">
        <f t="shared" si="4"/>
        <v/>
      </c>
      <c r="C94" s="15"/>
      <c r="D94" s="16"/>
      <c r="E94" s="16"/>
      <c r="F94" s="16"/>
      <c r="G94" s="16"/>
      <c r="H94" s="17"/>
      <c r="I94" s="17"/>
      <c r="J94" s="18"/>
      <c r="K94" s="16"/>
      <c r="L94" s="18"/>
      <c r="M94" s="16"/>
      <c r="N94" s="19" t="str">
        <f t="shared" si="5"/>
        <v/>
      </c>
      <c r="O94" s="19" t="str">
        <f>IF(OR(C94="",F94=""),"",COUNTIFS(F$6:F94,F94,C$6:C94,"&lt;&gt;"))</f>
        <v/>
      </c>
      <c r="P94" s="20" t="str">
        <f>IF($O94="","",IFERROR(CHOOSE(MATCH($F94,الإعدادات!$B$4:$B$7,0),INDEX('حضور سوريال'!$C$7:$C$36,$O94),INDEX('حضور غبريال'!$C$7:$C$36,$O94),INDEX('حضور رفائيل'!$C$7:$C$36,$O94),INDEX('حضور ميخائيل'!$C$7:$C$36,$O94)),""))</f>
        <v/>
      </c>
      <c r="Q94" s="20" t="str">
        <f>IF($O94="","",IFERROR(CHOOSE(MATCH($F94,الإعدادات!$B$4:$B$7,0),INDEX('حضور سوريال'!$D$7:$D$36,$O94),INDEX('حضور غبريال'!$D$7:$D$36,$O94),INDEX('حضور رفائيل'!$D$7:$D$36,$O94),INDEX('حضور ميخائيل'!$D$7:$D$36,$O94)),""))</f>
        <v/>
      </c>
      <c r="R94" s="21" t="str">
        <f>IF($O94="","",IFERROR(CHOOSE(MATCH($F94,الإعدادات!$B$4:$B$7,0),INDEX('حضور سوريال'!$F$7:$F$36,$O94),INDEX('حضور غبريال'!$F$7:$F$36,$O94),INDEX('حضور رفائيل'!$F$7:$F$36,$O94),INDEX('حضور ميخائيل'!$F$7:$F$36,$O94)),""))</f>
        <v/>
      </c>
      <c r="S94" s="20" t="str">
        <f>IF($O94="","",IFERROR(CHOOSE(MATCH($F94,الإعدادات!$B$4:$B$7,0),INDEX('حضور سوريال'!$G$7:$G$36,$O94),INDEX('حضور غبريال'!$G$7:$G$36,$O94),INDEX('حضور رفائيل'!$G$7:$G$36,$O94),INDEX('حضور ميخائيل'!$G$7:$G$36,$O94)),""))</f>
        <v/>
      </c>
      <c r="T94" s="22" t="str">
        <f>IF($O94="","",IFERROR(CHOOSE(MATCH($F94,الإعدادات!$B$4:$B$7,0),INDEX('حضور سوريال'!$H$7:$H$36,$O94),INDEX('حضور غبريال'!$H$7:$H$36,$O94),INDEX('حضور رفائيل'!$H$7:$H$36,$O94),INDEX('حضور ميخائيل'!$H$7:$H$36,$O94)),""))</f>
        <v/>
      </c>
      <c r="U94" s="23" t="str">
        <f>IF($O94="","",IFERROR(CHOOSE(MATCH($F94,الإعدادات!$B$4:$B$7,0),INDEX('حضور سوريال'!$I$7:$I$36,$O94),INDEX('حضور غبريال'!$I$7:$I$36,$O94),INDEX('حضور رفائيل'!$I$7:$I$36,$O94),INDEX('حضور ميخائيل'!$I$7:$I$36,$O94)),""))</f>
        <v/>
      </c>
      <c r="V94" t="str">
        <f>IF($O94="","",IFERROR(CHOOSE(MATCH($F94,الإعدادات!$B$4:$B$7,0),INDEX('حضور سوريال'!$BM$7:$BM$36,$O94),INDEX('حضور غبريال'!$BM$7:$BM$36,$O94),INDEX('حضور رفائيل'!$BM$7:$BM$36,$O94),INDEX('حضور ميخائيل'!$BM$7:$BM$36,$O94)),""))</f>
        <v/>
      </c>
      <c r="W94" t="str">
        <f>IF(OR(V94=3,V94=4),COUNTIFS(V$6:V94,3)+COUNTIFS(V$6:V94,4),"")</f>
        <v/>
      </c>
    </row>
    <row r="95" spans="1:23" ht="25.5" customHeight="1">
      <c r="A95" s="13" t="str">
        <f t="shared" si="3"/>
        <v/>
      </c>
      <c r="B95" s="14" t="str">
        <f t="shared" si="4"/>
        <v/>
      </c>
      <c r="C95" s="15"/>
      <c r="D95" s="16"/>
      <c r="E95" s="16"/>
      <c r="F95" s="16"/>
      <c r="G95" s="16"/>
      <c r="H95" s="17"/>
      <c r="I95" s="17"/>
      <c r="J95" s="18"/>
      <c r="K95" s="16"/>
      <c r="L95" s="18"/>
      <c r="M95" s="16"/>
      <c r="N95" s="19" t="str">
        <f t="shared" si="5"/>
        <v/>
      </c>
      <c r="O95" s="19" t="str">
        <f>IF(OR(C95="",F95=""),"",COUNTIFS(F$6:F95,F95,C$6:C95,"&lt;&gt;"))</f>
        <v/>
      </c>
      <c r="P95" s="20" t="str">
        <f>IF($O95="","",IFERROR(CHOOSE(MATCH($F95,الإعدادات!$B$4:$B$7,0),INDEX('حضور سوريال'!$C$7:$C$36,$O95),INDEX('حضور غبريال'!$C$7:$C$36,$O95),INDEX('حضور رفائيل'!$C$7:$C$36,$O95),INDEX('حضور ميخائيل'!$C$7:$C$36,$O95)),""))</f>
        <v/>
      </c>
      <c r="Q95" s="20" t="str">
        <f>IF($O95="","",IFERROR(CHOOSE(MATCH($F95,الإعدادات!$B$4:$B$7,0),INDEX('حضور سوريال'!$D$7:$D$36,$O95),INDEX('حضور غبريال'!$D$7:$D$36,$O95),INDEX('حضور رفائيل'!$D$7:$D$36,$O95),INDEX('حضور ميخائيل'!$D$7:$D$36,$O95)),""))</f>
        <v/>
      </c>
      <c r="R95" s="21" t="str">
        <f>IF($O95="","",IFERROR(CHOOSE(MATCH($F95,الإعدادات!$B$4:$B$7,0),INDEX('حضور سوريال'!$F$7:$F$36,$O95),INDEX('حضور غبريال'!$F$7:$F$36,$O95),INDEX('حضور رفائيل'!$F$7:$F$36,$O95),INDEX('حضور ميخائيل'!$F$7:$F$36,$O95)),""))</f>
        <v/>
      </c>
      <c r="S95" s="20" t="str">
        <f>IF($O95="","",IFERROR(CHOOSE(MATCH($F95,الإعدادات!$B$4:$B$7,0),INDEX('حضور سوريال'!$G$7:$G$36,$O95),INDEX('حضور غبريال'!$G$7:$G$36,$O95),INDEX('حضور رفائيل'!$G$7:$G$36,$O95),INDEX('حضور ميخائيل'!$G$7:$G$36,$O95)),""))</f>
        <v/>
      </c>
      <c r="T95" s="22" t="str">
        <f>IF($O95="","",IFERROR(CHOOSE(MATCH($F95,الإعدادات!$B$4:$B$7,0),INDEX('حضور سوريال'!$H$7:$H$36,$O95),INDEX('حضور غبريال'!$H$7:$H$36,$O95),INDEX('حضور رفائيل'!$H$7:$H$36,$O95),INDEX('حضور ميخائيل'!$H$7:$H$36,$O95)),""))</f>
        <v/>
      </c>
      <c r="U95" s="23" t="str">
        <f>IF($O95="","",IFERROR(CHOOSE(MATCH($F95,الإعدادات!$B$4:$B$7,0),INDEX('حضور سوريال'!$I$7:$I$36,$O95),INDEX('حضور غبريال'!$I$7:$I$36,$O95),INDEX('حضور رفائيل'!$I$7:$I$36,$O95),INDEX('حضور ميخائيل'!$I$7:$I$36,$O95)),""))</f>
        <v/>
      </c>
      <c r="V95" t="str">
        <f>IF($O95="","",IFERROR(CHOOSE(MATCH($F95,الإعدادات!$B$4:$B$7,0),INDEX('حضور سوريال'!$BM$7:$BM$36,$O95),INDEX('حضور غبريال'!$BM$7:$BM$36,$O95),INDEX('حضور رفائيل'!$BM$7:$BM$36,$O95),INDEX('حضور ميخائيل'!$BM$7:$BM$36,$O95)),""))</f>
        <v/>
      </c>
      <c r="W95" t="str">
        <f>IF(OR(V95=3,V95=4),COUNTIFS(V$6:V95,3)+COUNTIFS(V$6:V95,4),"")</f>
        <v/>
      </c>
    </row>
    <row r="96" spans="1:23" ht="25.5" customHeight="1">
      <c r="A96" s="13" t="str">
        <f t="shared" si="3"/>
        <v/>
      </c>
      <c r="B96" s="14" t="str">
        <f t="shared" si="4"/>
        <v/>
      </c>
      <c r="C96" s="15"/>
      <c r="D96" s="16"/>
      <c r="E96" s="16"/>
      <c r="F96" s="16"/>
      <c r="G96" s="16"/>
      <c r="H96" s="17"/>
      <c r="I96" s="17"/>
      <c r="J96" s="18"/>
      <c r="K96" s="16"/>
      <c r="L96" s="18"/>
      <c r="M96" s="16"/>
      <c r="N96" s="19" t="str">
        <f t="shared" si="5"/>
        <v/>
      </c>
      <c r="O96" s="19" t="str">
        <f>IF(OR(C96="",F96=""),"",COUNTIFS(F$6:F96,F96,C$6:C96,"&lt;&gt;"))</f>
        <v/>
      </c>
      <c r="P96" s="20" t="str">
        <f>IF($O96="","",IFERROR(CHOOSE(MATCH($F96,الإعدادات!$B$4:$B$7,0),INDEX('حضور سوريال'!$C$7:$C$36,$O96),INDEX('حضور غبريال'!$C$7:$C$36,$O96),INDEX('حضور رفائيل'!$C$7:$C$36,$O96),INDEX('حضور ميخائيل'!$C$7:$C$36,$O96)),""))</f>
        <v/>
      </c>
      <c r="Q96" s="20" t="str">
        <f>IF($O96="","",IFERROR(CHOOSE(MATCH($F96,الإعدادات!$B$4:$B$7,0),INDEX('حضور سوريال'!$D$7:$D$36,$O96),INDEX('حضور غبريال'!$D$7:$D$36,$O96),INDEX('حضور رفائيل'!$D$7:$D$36,$O96),INDEX('حضور ميخائيل'!$D$7:$D$36,$O96)),""))</f>
        <v/>
      </c>
      <c r="R96" s="21" t="str">
        <f>IF($O96="","",IFERROR(CHOOSE(MATCH($F96,الإعدادات!$B$4:$B$7,0),INDEX('حضور سوريال'!$F$7:$F$36,$O96),INDEX('حضور غبريال'!$F$7:$F$36,$O96),INDEX('حضور رفائيل'!$F$7:$F$36,$O96),INDEX('حضور ميخائيل'!$F$7:$F$36,$O96)),""))</f>
        <v/>
      </c>
      <c r="S96" s="20" t="str">
        <f>IF($O96="","",IFERROR(CHOOSE(MATCH($F96,الإعدادات!$B$4:$B$7,0),INDEX('حضور سوريال'!$G$7:$G$36,$O96),INDEX('حضور غبريال'!$G$7:$G$36,$O96),INDEX('حضور رفائيل'!$G$7:$G$36,$O96),INDEX('حضور ميخائيل'!$G$7:$G$36,$O96)),""))</f>
        <v/>
      </c>
      <c r="T96" s="22" t="str">
        <f>IF($O96="","",IFERROR(CHOOSE(MATCH($F96,الإعدادات!$B$4:$B$7,0),INDEX('حضور سوريال'!$H$7:$H$36,$O96),INDEX('حضور غبريال'!$H$7:$H$36,$O96),INDEX('حضور رفائيل'!$H$7:$H$36,$O96),INDEX('حضور ميخائيل'!$H$7:$H$36,$O96)),""))</f>
        <v/>
      </c>
      <c r="U96" s="23" t="str">
        <f>IF($O96="","",IFERROR(CHOOSE(MATCH($F96,الإعدادات!$B$4:$B$7,0),INDEX('حضور سوريال'!$I$7:$I$36,$O96),INDEX('حضور غبريال'!$I$7:$I$36,$O96),INDEX('حضور رفائيل'!$I$7:$I$36,$O96),INDEX('حضور ميخائيل'!$I$7:$I$36,$O96)),""))</f>
        <v/>
      </c>
      <c r="V96" t="str">
        <f>IF($O96="","",IFERROR(CHOOSE(MATCH($F96,الإعدادات!$B$4:$B$7,0),INDEX('حضور سوريال'!$BM$7:$BM$36,$O96),INDEX('حضور غبريال'!$BM$7:$BM$36,$O96),INDEX('حضور رفائيل'!$BM$7:$BM$36,$O96),INDEX('حضور ميخائيل'!$BM$7:$BM$36,$O96)),""))</f>
        <v/>
      </c>
      <c r="W96" t="str">
        <f>IF(OR(V96=3,V96=4),COUNTIFS(V$6:V96,3)+COUNTIFS(V$6:V96,4),"")</f>
        <v/>
      </c>
    </row>
    <row r="97" spans="1:23" ht="25.5" customHeight="1">
      <c r="A97" s="13" t="str">
        <f t="shared" si="3"/>
        <v/>
      </c>
      <c r="B97" s="14" t="str">
        <f t="shared" si="4"/>
        <v/>
      </c>
      <c r="C97" s="15"/>
      <c r="D97" s="16"/>
      <c r="E97" s="16"/>
      <c r="F97" s="16"/>
      <c r="G97" s="16"/>
      <c r="H97" s="17"/>
      <c r="I97" s="17"/>
      <c r="J97" s="18"/>
      <c r="K97" s="16"/>
      <c r="L97" s="18"/>
      <c r="M97" s="16"/>
      <c r="N97" s="19" t="str">
        <f t="shared" si="5"/>
        <v/>
      </c>
      <c r="O97" s="19" t="str">
        <f>IF(OR(C97="",F97=""),"",COUNTIFS(F$6:F97,F97,C$6:C97,"&lt;&gt;"))</f>
        <v/>
      </c>
      <c r="P97" s="20" t="str">
        <f>IF($O97="","",IFERROR(CHOOSE(MATCH($F97,الإعدادات!$B$4:$B$7,0),INDEX('حضور سوريال'!$C$7:$C$36,$O97),INDEX('حضور غبريال'!$C$7:$C$36,$O97),INDEX('حضور رفائيل'!$C$7:$C$36,$O97),INDEX('حضور ميخائيل'!$C$7:$C$36,$O97)),""))</f>
        <v/>
      </c>
      <c r="Q97" s="20" t="str">
        <f>IF($O97="","",IFERROR(CHOOSE(MATCH($F97,الإعدادات!$B$4:$B$7,0),INDEX('حضور سوريال'!$D$7:$D$36,$O97),INDEX('حضور غبريال'!$D$7:$D$36,$O97),INDEX('حضور رفائيل'!$D$7:$D$36,$O97),INDEX('حضور ميخائيل'!$D$7:$D$36,$O97)),""))</f>
        <v/>
      </c>
      <c r="R97" s="21" t="str">
        <f>IF($O97="","",IFERROR(CHOOSE(MATCH($F97,الإعدادات!$B$4:$B$7,0),INDEX('حضور سوريال'!$F$7:$F$36,$O97),INDEX('حضور غبريال'!$F$7:$F$36,$O97),INDEX('حضور رفائيل'!$F$7:$F$36,$O97),INDEX('حضور ميخائيل'!$F$7:$F$36,$O97)),""))</f>
        <v/>
      </c>
      <c r="S97" s="20" t="str">
        <f>IF($O97="","",IFERROR(CHOOSE(MATCH($F97,الإعدادات!$B$4:$B$7,0),INDEX('حضور سوريال'!$G$7:$G$36,$O97),INDEX('حضور غبريال'!$G$7:$G$36,$O97),INDEX('حضور رفائيل'!$G$7:$G$36,$O97),INDEX('حضور ميخائيل'!$G$7:$G$36,$O97)),""))</f>
        <v/>
      </c>
      <c r="T97" s="22" t="str">
        <f>IF($O97="","",IFERROR(CHOOSE(MATCH($F97,الإعدادات!$B$4:$B$7,0),INDEX('حضور سوريال'!$H$7:$H$36,$O97),INDEX('حضور غبريال'!$H$7:$H$36,$O97),INDEX('حضور رفائيل'!$H$7:$H$36,$O97),INDEX('حضور ميخائيل'!$H$7:$H$36,$O97)),""))</f>
        <v/>
      </c>
      <c r="U97" s="23" t="str">
        <f>IF($O97="","",IFERROR(CHOOSE(MATCH($F97,الإعدادات!$B$4:$B$7,0),INDEX('حضور سوريال'!$I$7:$I$36,$O97),INDEX('حضور غبريال'!$I$7:$I$36,$O97),INDEX('حضور رفائيل'!$I$7:$I$36,$O97),INDEX('حضور ميخائيل'!$I$7:$I$36,$O97)),""))</f>
        <v/>
      </c>
      <c r="V97" t="str">
        <f>IF($O97="","",IFERROR(CHOOSE(MATCH($F97,الإعدادات!$B$4:$B$7,0),INDEX('حضور سوريال'!$BM$7:$BM$36,$O97),INDEX('حضور غبريال'!$BM$7:$BM$36,$O97),INDEX('حضور رفائيل'!$BM$7:$BM$36,$O97),INDEX('حضور ميخائيل'!$BM$7:$BM$36,$O97)),""))</f>
        <v/>
      </c>
      <c r="W97" t="str">
        <f>IF(OR(V97=3,V97=4),COUNTIFS(V$6:V97,3)+COUNTIFS(V$6:V97,4),"")</f>
        <v/>
      </c>
    </row>
    <row r="98" spans="1:23" ht="25.5" customHeight="1">
      <c r="A98" s="13" t="str">
        <f t="shared" si="3"/>
        <v/>
      </c>
      <c r="B98" s="14" t="str">
        <f t="shared" si="4"/>
        <v/>
      </c>
      <c r="C98" s="15"/>
      <c r="D98" s="16"/>
      <c r="E98" s="16"/>
      <c r="F98" s="16"/>
      <c r="G98" s="16"/>
      <c r="H98" s="17"/>
      <c r="I98" s="17"/>
      <c r="J98" s="18"/>
      <c r="K98" s="16"/>
      <c r="L98" s="18"/>
      <c r="M98" s="16"/>
      <c r="N98" s="19" t="str">
        <f t="shared" si="5"/>
        <v/>
      </c>
      <c r="O98" s="19" t="str">
        <f>IF(OR(C98="",F98=""),"",COUNTIFS(F$6:F98,F98,C$6:C98,"&lt;&gt;"))</f>
        <v/>
      </c>
      <c r="P98" s="20" t="str">
        <f>IF($O98="","",IFERROR(CHOOSE(MATCH($F98,الإعدادات!$B$4:$B$7,0),INDEX('حضور سوريال'!$C$7:$C$36,$O98),INDEX('حضور غبريال'!$C$7:$C$36,$O98),INDEX('حضور رفائيل'!$C$7:$C$36,$O98),INDEX('حضور ميخائيل'!$C$7:$C$36,$O98)),""))</f>
        <v/>
      </c>
      <c r="Q98" s="20" t="str">
        <f>IF($O98="","",IFERROR(CHOOSE(MATCH($F98,الإعدادات!$B$4:$B$7,0),INDEX('حضور سوريال'!$D$7:$D$36,$O98),INDEX('حضور غبريال'!$D$7:$D$36,$O98),INDEX('حضور رفائيل'!$D$7:$D$36,$O98),INDEX('حضور ميخائيل'!$D$7:$D$36,$O98)),""))</f>
        <v/>
      </c>
      <c r="R98" s="21" t="str">
        <f>IF($O98="","",IFERROR(CHOOSE(MATCH($F98,الإعدادات!$B$4:$B$7,0),INDEX('حضور سوريال'!$F$7:$F$36,$O98),INDEX('حضور غبريال'!$F$7:$F$36,$O98),INDEX('حضور رفائيل'!$F$7:$F$36,$O98),INDEX('حضور ميخائيل'!$F$7:$F$36,$O98)),""))</f>
        <v/>
      </c>
      <c r="S98" s="20" t="str">
        <f>IF($O98="","",IFERROR(CHOOSE(MATCH($F98,الإعدادات!$B$4:$B$7,0),INDEX('حضور سوريال'!$G$7:$G$36,$O98),INDEX('حضور غبريال'!$G$7:$G$36,$O98),INDEX('حضور رفائيل'!$G$7:$G$36,$O98),INDEX('حضور ميخائيل'!$G$7:$G$36,$O98)),""))</f>
        <v/>
      </c>
      <c r="T98" s="22" t="str">
        <f>IF($O98="","",IFERROR(CHOOSE(MATCH($F98,الإعدادات!$B$4:$B$7,0),INDEX('حضور سوريال'!$H$7:$H$36,$O98),INDEX('حضور غبريال'!$H$7:$H$36,$O98),INDEX('حضور رفائيل'!$H$7:$H$36,$O98),INDEX('حضور ميخائيل'!$H$7:$H$36,$O98)),""))</f>
        <v/>
      </c>
      <c r="U98" s="23" t="str">
        <f>IF($O98="","",IFERROR(CHOOSE(MATCH($F98,الإعدادات!$B$4:$B$7,0),INDEX('حضور سوريال'!$I$7:$I$36,$O98),INDEX('حضور غبريال'!$I$7:$I$36,$O98),INDEX('حضور رفائيل'!$I$7:$I$36,$O98),INDEX('حضور ميخائيل'!$I$7:$I$36,$O98)),""))</f>
        <v/>
      </c>
      <c r="V98" t="str">
        <f>IF($O98="","",IFERROR(CHOOSE(MATCH($F98,الإعدادات!$B$4:$B$7,0),INDEX('حضور سوريال'!$BM$7:$BM$36,$O98),INDEX('حضور غبريال'!$BM$7:$BM$36,$O98),INDEX('حضور رفائيل'!$BM$7:$BM$36,$O98),INDEX('حضور ميخائيل'!$BM$7:$BM$36,$O98)),""))</f>
        <v/>
      </c>
      <c r="W98" t="str">
        <f>IF(OR(V98=3,V98=4),COUNTIFS(V$6:V98,3)+COUNTIFS(V$6:V98,4),"")</f>
        <v/>
      </c>
    </row>
    <row r="99" spans="1:23" ht="25.5" customHeight="1">
      <c r="A99" s="13" t="str">
        <f t="shared" si="3"/>
        <v/>
      </c>
      <c r="B99" s="14" t="str">
        <f t="shared" si="4"/>
        <v/>
      </c>
      <c r="C99" s="15"/>
      <c r="D99" s="16"/>
      <c r="E99" s="16"/>
      <c r="F99" s="16"/>
      <c r="G99" s="16"/>
      <c r="H99" s="17"/>
      <c r="I99" s="17"/>
      <c r="J99" s="18"/>
      <c r="K99" s="16"/>
      <c r="L99" s="18"/>
      <c r="M99" s="16"/>
      <c r="N99" s="19" t="str">
        <f t="shared" si="5"/>
        <v/>
      </c>
      <c r="O99" s="19" t="str">
        <f>IF(OR(C99="",F99=""),"",COUNTIFS(F$6:F99,F99,C$6:C99,"&lt;&gt;"))</f>
        <v/>
      </c>
      <c r="P99" s="20" t="str">
        <f>IF($O99="","",IFERROR(CHOOSE(MATCH($F99,الإعدادات!$B$4:$B$7,0),INDEX('حضور سوريال'!$C$7:$C$36,$O99),INDEX('حضور غبريال'!$C$7:$C$36,$O99),INDEX('حضور رفائيل'!$C$7:$C$36,$O99),INDEX('حضور ميخائيل'!$C$7:$C$36,$O99)),""))</f>
        <v/>
      </c>
      <c r="Q99" s="20" t="str">
        <f>IF($O99="","",IFERROR(CHOOSE(MATCH($F99,الإعدادات!$B$4:$B$7,0),INDEX('حضور سوريال'!$D$7:$D$36,$O99),INDEX('حضور غبريال'!$D$7:$D$36,$O99),INDEX('حضور رفائيل'!$D$7:$D$36,$O99),INDEX('حضور ميخائيل'!$D$7:$D$36,$O99)),""))</f>
        <v/>
      </c>
      <c r="R99" s="21" t="str">
        <f>IF($O99="","",IFERROR(CHOOSE(MATCH($F99,الإعدادات!$B$4:$B$7,0),INDEX('حضور سوريال'!$F$7:$F$36,$O99),INDEX('حضور غبريال'!$F$7:$F$36,$O99),INDEX('حضور رفائيل'!$F$7:$F$36,$O99),INDEX('حضور ميخائيل'!$F$7:$F$36,$O99)),""))</f>
        <v/>
      </c>
      <c r="S99" s="20" t="str">
        <f>IF($O99="","",IFERROR(CHOOSE(MATCH($F99,الإعدادات!$B$4:$B$7,0),INDEX('حضور سوريال'!$G$7:$G$36,$O99),INDEX('حضور غبريال'!$G$7:$G$36,$O99),INDEX('حضور رفائيل'!$G$7:$G$36,$O99),INDEX('حضور ميخائيل'!$G$7:$G$36,$O99)),""))</f>
        <v/>
      </c>
      <c r="T99" s="22" t="str">
        <f>IF($O99="","",IFERROR(CHOOSE(MATCH($F99,الإعدادات!$B$4:$B$7,0),INDEX('حضور سوريال'!$H$7:$H$36,$O99),INDEX('حضور غبريال'!$H$7:$H$36,$O99),INDEX('حضور رفائيل'!$H$7:$H$36,$O99),INDEX('حضور ميخائيل'!$H$7:$H$36,$O99)),""))</f>
        <v/>
      </c>
      <c r="U99" s="23" t="str">
        <f>IF($O99="","",IFERROR(CHOOSE(MATCH($F99,الإعدادات!$B$4:$B$7,0),INDEX('حضور سوريال'!$I$7:$I$36,$O99),INDEX('حضور غبريال'!$I$7:$I$36,$O99),INDEX('حضور رفائيل'!$I$7:$I$36,$O99),INDEX('حضور ميخائيل'!$I$7:$I$36,$O99)),""))</f>
        <v/>
      </c>
      <c r="V99" t="str">
        <f>IF($O99="","",IFERROR(CHOOSE(MATCH($F99,الإعدادات!$B$4:$B$7,0),INDEX('حضور سوريال'!$BM$7:$BM$36,$O99),INDEX('حضور غبريال'!$BM$7:$BM$36,$O99),INDEX('حضور رفائيل'!$BM$7:$BM$36,$O99),INDEX('حضور ميخائيل'!$BM$7:$BM$36,$O99)),""))</f>
        <v/>
      </c>
      <c r="W99" t="str">
        <f>IF(OR(V99=3,V99=4),COUNTIFS(V$6:V99,3)+COUNTIFS(V$6:V99,4),"")</f>
        <v/>
      </c>
    </row>
    <row r="100" spans="1:23" ht="25.5" customHeight="1">
      <c r="A100" s="13" t="str">
        <f t="shared" si="3"/>
        <v/>
      </c>
      <c r="B100" s="14" t="str">
        <f t="shared" si="4"/>
        <v/>
      </c>
      <c r="C100" s="15"/>
      <c r="D100" s="16"/>
      <c r="E100" s="16"/>
      <c r="F100" s="16"/>
      <c r="G100" s="16"/>
      <c r="H100" s="17"/>
      <c r="I100" s="17"/>
      <c r="J100" s="18"/>
      <c r="K100" s="16"/>
      <c r="L100" s="18"/>
      <c r="M100" s="16"/>
      <c r="N100" s="19" t="str">
        <f t="shared" si="5"/>
        <v/>
      </c>
      <c r="O100" s="19" t="str">
        <f>IF(OR(C100="",F100=""),"",COUNTIFS(F$6:F100,F100,C$6:C100,"&lt;&gt;"))</f>
        <v/>
      </c>
      <c r="P100" s="20" t="str">
        <f>IF($O100="","",IFERROR(CHOOSE(MATCH($F100,الإعدادات!$B$4:$B$7,0),INDEX('حضور سوريال'!$C$7:$C$36,$O100),INDEX('حضور غبريال'!$C$7:$C$36,$O100),INDEX('حضور رفائيل'!$C$7:$C$36,$O100),INDEX('حضور ميخائيل'!$C$7:$C$36,$O100)),""))</f>
        <v/>
      </c>
      <c r="Q100" s="20" t="str">
        <f>IF($O100="","",IFERROR(CHOOSE(MATCH($F100,الإعدادات!$B$4:$B$7,0),INDEX('حضور سوريال'!$D$7:$D$36,$O100),INDEX('حضور غبريال'!$D$7:$D$36,$O100),INDEX('حضور رفائيل'!$D$7:$D$36,$O100),INDEX('حضور ميخائيل'!$D$7:$D$36,$O100)),""))</f>
        <v/>
      </c>
      <c r="R100" s="21" t="str">
        <f>IF($O100="","",IFERROR(CHOOSE(MATCH($F100,الإعدادات!$B$4:$B$7,0),INDEX('حضور سوريال'!$F$7:$F$36,$O100),INDEX('حضور غبريال'!$F$7:$F$36,$O100),INDEX('حضور رفائيل'!$F$7:$F$36,$O100),INDEX('حضور ميخائيل'!$F$7:$F$36,$O100)),""))</f>
        <v/>
      </c>
      <c r="S100" s="20" t="str">
        <f>IF($O100="","",IFERROR(CHOOSE(MATCH($F100,الإعدادات!$B$4:$B$7,0),INDEX('حضور سوريال'!$G$7:$G$36,$O100),INDEX('حضور غبريال'!$G$7:$G$36,$O100),INDEX('حضور رفائيل'!$G$7:$G$36,$O100),INDEX('حضور ميخائيل'!$G$7:$G$36,$O100)),""))</f>
        <v/>
      </c>
      <c r="T100" s="22" t="str">
        <f>IF($O100="","",IFERROR(CHOOSE(MATCH($F100,الإعدادات!$B$4:$B$7,0),INDEX('حضور سوريال'!$H$7:$H$36,$O100),INDEX('حضور غبريال'!$H$7:$H$36,$O100),INDEX('حضور رفائيل'!$H$7:$H$36,$O100),INDEX('حضور ميخائيل'!$H$7:$H$36,$O100)),""))</f>
        <v/>
      </c>
      <c r="U100" s="23" t="str">
        <f>IF($O100="","",IFERROR(CHOOSE(MATCH($F100,الإعدادات!$B$4:$B$7,0),INDEX('حضور سوريال'!$I$7:$I$36,$O100),INDEX('حضور غبريال'!$I$7:$I$36,$O100),INDEX('حضور رفائيل'!$I$7:$I$36,$O100),INDEX('حضور ميخائيل'!$I$7:$I$36,$O100)),""))</f>
        <v/>
      </c>
      <c r="V100" t="str">
        <f>IF($O100="","",IFERROR(CHOOSE(MATCH($F100,الإعدادات!$B$4:$B$7,0),INDEX('حضور سوريال'!$BM$7:$BM$36,$O100),INDEX('حضور غبريال'!$BM$7:$BM$36,$O100),INDEX('حضور رفائيل'!$BM$7:$BM$36,$O100),INDEX('حضور ميخائيل'!$BM$7:$BM$36,$O100)),""))</f>
        <v/>
      </c>
      <c r="W100" t="str">
        <f>IF(OR(V100=3,V100=4),COUNTIFS(V$6:V100,3)+COUNTIFS(V$6:V100,4),"")</f>
        <v/>
      </c>
    </row>
    <row r="101" spans="1:23" ht="25.5" customHeight="1">
      <c r="A101" s="13" t="str">
        <f t="shared" si="3"/>
        <v/>
      </c>
      <c r="B101" s="14" t="str">
        <f t="shared" si="4"/>
        <v/>
      </c>
      <c r="C101" s="15"/>
      <c r="D101" s="16"/>
      <c r="E101" s="16"/>
      <c r="F101" s="16"/>
      <c r="G101" s="16"/>
      <c r="H101" s="17"/>
      <c r="I101" s="17"/>
      <c r="J101" s="18"/>
      <c r="K101" s="16"/>
      <c r="L101" s="18"/>
      <c r="M101" s="16"/>
      <c r="N101" s="19" t="str">
        <f t="shared" si="5"/>
        <v/>
      </c>
      <c r="O101" s="19" t="str">
        <f>IF(OR(C101="",F101=""),"",COUNTIFS(F$6:F101,F101,C$6:C101,"&lt;&gt;"))</f>
        <v/>
      </c>
      <c r="P101" s="20" t="str">
        <f>IF($O101="","",IFERROR(CHOOSE(MATCH($F101,الإعدادات!$B$4:$B$7,0),INDEX('حضور سوريال'!$C$7:$C$36,$O101),INDEX('حضور غبريال'!$C$7:$C$36,$O101),INDEX('حضور رفائيل'!$C$7:$C$36,$O101),INDEX('حضور ميخائيل'!$C$7:$C$36,$O101)),""))</f>
        <v/>
      </c>
      <c r="Q101" s="20" t="str">
        <f>IF($O101="","",IFERROR(CHOOSE(MATCH($F101,الإعدادات!$B$4:$B$7,0),INDEX('حضور سوريال'!$D$7:$D$36,$O101),INDEX('حضور غبريال'!$D$7:$D$36,$O101),INDEX('حضور رفائيل'!$D$7:$D$36,$O101),INDEX('حضور ميخائيل'!$D$7:$D$36,$O101)),""))</f>
        <v/>
      </c>
      <c r="R101" s="21" t="str">
        <f>IF($O101="","",IFERROR(CHOOSE(MATCH($F101,الإعدادات!$B$4:$B$7,0),INDEX('حضور سوريال'!$F$7:$F$36,$O101),INDEX('حضور غبريال'!$F$7:$F$36,$O101),INDEX('حضور رفائيل'!$F$7:$F$36,$O101),INDEX('حضور ميخائيل'!$F$7:$F$36,$O101)),""))</f>
        <v/>
      </c>
      <c r="S101" s="20" t="str">
        <f>IF($O101="","",IFERROR(CHOOSE(MATCH($F101,الإعدادات!$B$4:$B$7,0),INDEX('حضور سوريال'!$G$7:$G$36,$O101),INDEX('حضور غبريال'!$G$7:$G$36,$O101),INDEX('حضور رفائيل'!$G$7:$G$36,$O101),INDEX('حضور ميخائيل'!$G$7:$G$36,$O101)),""))</f>
        <v/>
      </c>
      <c r="T101" s="22" t="str">
        <f>IF($O101="","",IFERROR(CHOOSE(MATCH($F101,الإعدادات!$B$4:$B$7,0),INDEX('حضور سوريال'!$H$7:$H$36,$O101),INDEX('حضور غبريال'!$H$7:$H$36,$O101),INDEX('حضور رفائيل'!$H$7:$H$36,$O101),INDEX('حضور ميخائيل'!$H$7:$H$36,$O101)),""))</f>
        <v/>
      </c>
      <c r="U101" s="23" t="str">
        <f>IF($O101="","",IFERROR(CHOOSE(MATCH($F101,الإعدادات!$B$4:$B$7,0),INDEX('حضور سوريال'!$I$7:$I$36,$O101),INDEX('حضور غبريال'!$I$7:$I$36,$O101),INDEX('حضور رفائيل'!$I$7:$I$36,$O101),INDEX('حضور ميخائيل'!$I$7:$I$36,$O101)),""))</f>
        <v/>
      </c>
      <c r="V101" t="str">
        <f>IF($O101="","",IFERROR(CHOOSE(MATCH($F101,الإعدادات!$B$4:$B$7,0),INDEX('حضور سوريال'!$BM$7:$BM$36,$O101),INDEX('حضور غبريال'!$BM$7:$BM$36,$O101),INDEX('حضور رفائيل'!$BM$7:$BM$36,$O101),INDEX('حضور ميخائيل'!$BM$7:$BM$36,$O101)),""))</f>
        <v/>
      </c>
      <c r="W101" t="str">
        <f>IF(OR(V101=3,V101=4),COUNTIFS(V$6:V101,3)+COUNTIFS(V$6:V101,4),"")</f>
        <v/>
      </c>
    </row>
    <row r="102" spans="1:23" ht="25.5" customHeight="1">
      <c r="A102" s="13" t="str">
        <f t="shared" si="3"/>
        <v/>
      </c>
      <c r="B102" s="14" t="str">
        <f t="shared" si="4"/>
        <v/>
      </c>
      <c r="C102" s="15"/>
      <c r="D102" s="16"/>
      <c r="E102" s="16"/>
      <c r="F102" s="16"/>
      <c r="G102" s="16"/>
      <c r="H102" s="17"/>
      <c r="I102" s="17"/>
      <c r="J102" s="18"/>
      <c r="K102" s="16"/>
      <c r="L102" s="18"/>
      <c r="M102" s="16"/>
      <c r="N102" s="19" t="str">
        <f t="shared" si="5"/>
        <v/>
      </c>
      <c r="O102" s="19" t="str">
        <f>IF(OR(C102="",F102=""),"",COUNTIFS(F$6:F102,F102,C$6:C102,"&lt;&gt;"))</f>
        <v/>
      </c>
      <c r="P102" s="20" t="str">
        <f>IF($O102="","",IFERROR(CHOOSE(MATCH($F102,الإعدادات!$B$4:$B$7,0),INDEX('حضور سوريال'!$C$7:$C$36,$O102),INDEX('حضور غبريال'!$C$7:$C$36,$O102),INDEX('حضور رفائيل'!$C$7:$C$36,$O102),INDEX('حضور ميخائيل'!$C$7:$C$36,$O102)),""))</f>
        <v/>
      </c>
      <c r="Q102" s="20" t="str">
        <f>IF($O102="","",IFERROR(CHOOSE(MATCH($F102,الإعدادات!$B$4:$B$7,0),INDEX('حضور سوريال'!$D$7:$D$36,$O102),INDEX('حضور غبريال'!$D$7:$D$36,$O102),INDEX('حضور رفائيل'!$D$7:$D$36,$O102),INDEX('حضور ميخائيل'!$D$7:$D$36,$O102)),""))</f>
        <v/>
      </c>
      <c r="R102" s="21" t="str">
        <f>IF($O102="","",IFERROR(CHOOSE(MATCH($F102,الإعدادات!$B$4:$B$7,0),INDEX('حضور سوريال'!$F$7:$F$36,$O102),INDEX('حضور غبريال'!$F$7:$F$36,$O102),INDEX('حضور رفائيل'!$F$7:$F$36,$O102),INDEX('حضور ميخائيل'!$F$7:$F$36,$O102)),""))</f>
        <v/>
      </c>
      <c r="S102" s="20" t="str">
        <f>IF($O102="","",IFERROR(CHOOSE(MATCH($F102,الإعدادات!$B$4:$B$7,0),INDEX('حضور سوريال'!$G$7:$G$36,$O102),INDEX('حضور غبريال'!$G$7:$G$36,$O102),INDEX('حضور رفائيل'!$G$7:$G$36,$O102),INDEX('حضور ميخائيل'!$G$7:$G$36,$O102)),""))</f>
        <v/>
      </c>
      <c r="T102" s="22" t="str">
        <f>IF($O102="","",IFERROR(CHOOSE(MATCH($F102,الإعدادات!$B$4:$B$7,0),INDEX('حضور سوريال'!$H$7:$H$36,$O102),INDEX('حضور غبريال'!$H$7:$H$36,$O102),INDEX('حضور رفائيل'!$H$7:$H$36,$O102),INDEX('حضور ميخائيل'!$H$7:$H$36,$O102)),""))</f>
        <v/>
      </c>
      <c r="U102" s="23" t="str">
        <f>IF($O102="","",IFERROR(CHOOSE(MATCH($F102,الإعدادات!$B$4:$B$7,0),INDEX('حضور سوريال'!$I$7:$I$36,$O102),INDEX('حضور غبريال'!$I$7:$I$36,$O102),INDEX('حضور رفائيل'!$I$7:$I$36,$O102),INDEX('حضور ميخائيل'!$I$7:$I$36,$O102)),""))</f>
        <v/>
      </c>
      <c r="V102" t="str">
        <f>IF($O102="","",IFERROR(CHOOSE(MATCH($F102,الإعدادات!$B$4:$B$7,0),INDEX('حضور سوريال'!$BM$7:$BM$36,$O102),INDEX('حضور غبريال'!$BM$7:$BM$36,$O102),INDEX('حضور رفائيل'!$BM$7:$BM$36,$O102),INDEX('حضور ميخائيل'!$BM$7:$BM$36,$O102)),""))</f>
        <v/>
      </c>
      <c r="W102" t="str">
        <f>IF(OR(V102=3,V102=4),COUNTIFS(V$6:V102,3)+COUNTIFS(V$6:V102,4),"")</f>
        <v/>
      </c>
    </row>
    <row r="103" spans="1:23" ht="25.5" customHeight="1">
      <c r="A103" s="13" t="str">
        <f t="shared" si="3"/>
        <v/>
      </c>
      <c r="B103" s="14" t="str">
        <f t="shared" si="4"/>
        <v/>
      </c>
      <c r="C103" s="15"/>
      <c r="D103" s="16"/>
      <c r="E103" s="16"/>
      <c r="F103" s="16"/>
      <c r="G103" s="16"/>
      <c r="H103" s="17"/>
      <c r="I103" s="17"/>
      <c r="J103" s="18"/>
      <c r="K103" s="16"/>
      <c r="L103" s="18"/>
      <c r="M103" s="16"/>
      <c r="N103" s="19" t="str">
        <f t="shared" si="5"/>
        <v/>
      </c>
      <c r="O103" s="19" t="str">
        <f>IF(OR(C103="",F103=""),"",COUNTIFS(F$6:F103,F103,C$6:C103,"&lt;&gt;"))</f>
        <v/>
      </c>
      <c r="P103" s="20" t="str">
        <f>IF($O103="","",IFERROR(CHOOSE(MATCH($F103,الإعدادات!$B$4:$B$7,0),INDEX('حضور سوريال'!$C$7:$C$36,$O103),INDEX('حضور غبريال'!$C$7:$C$36,$O103),INDEX('حضور رفائيل'!$C$7:$C$36,$O103),INDEX('حضور ميخائيل'!$C$7:$C$36,$O103)),""))</f>
        <v/>
      </c>
      <c r="Q103" s="20" t="str">
        <f>IF($O103="","",IFERROR(CHOOSE(MATCH($F103,الإعدادات!$B$4:$B$7,0),INDEX('حضور سوريال'!$D$7:$D$36,$O103),INDEX('حضور غبريال'!$D$7:$D$36,$O103),INDEX('حضور رفائيل'!$D$7:$D$36,$O103),INDEX('حضور ميخائيل'!$D$7:$D$36,$O103)),""))</f>
        <v/>
      </c>
      <c r="R103" s="21" t="str">
        <f>IF($O103="","",IFERROR(CHOOSE(MATCH($F103,الإعدادات!$B$4:$B$7,0),INDEX('حضور سوريال'!$F$7:$F$36,$O103),INDEX('حضور غبريال'!$F$7:$F$36,$O103),INDEX('حضور رفائيل'!$F$7:$F$36,$O103),INDEX('حضور ميخائيل'!$F$7:$F$36,$O103)),""))</f>
        <v/>
      </c>
      <c r="S103" s="20" t="str">
        <f>IF($O103="","",IFERROR(CHOOSE(MATCH($F103,الإعدادات!$B$4:$B$7,0),INDEX('حضور سوريال'!$G$7:$G$36,$O103),INDEX('حضور غبريال'!$G$7:$G$36,$O103),INDEX('حضور رفائيل'!$G$7:$G$36,$O103),INDEX('حضور ميخائيل'!$G$7:$G$36,$O103)),""))</f>
        <v/>
      </c>
      <c r="T103" s="22" t="str">
        <f>IF($O103="","",IFERROR(CHOOSE(MATCH($F103,الإعدادات!$B$4:$B$7,0),INDEX('حضور سوريال'!$H$7:$H$36,$O103),INDEX('حضور غبريال'!$H$7:$H$36,$O103),INDEX('حضور رفائيل'!$H$7:$H$36,$O103),INDEX('حضور ميخائيل'!$H$7:$H$36,$O103)),""))</f>
        <v/>
      </c>
      <c r="U103" s="23" t="str">
        <f>IF($O103="","",IFERROR(CHOOSE(MATCH($F103,الإعدادات!$B$4:$B$7,0),INDEX('حضور سوريال'!$I$7:$I$36,$O103),INDEX('حضور غبريال'!$I$7:$I$36,$O103),INDEX('حضور رفائيل'!$I$7:$I$36,$O103),INDEX('حضور ميخائيل'!$I$7:$I$36,$O103)),""))</f>
        <v/>
      </c>
      <c r="V103" t="str">
        <f>IF($O103="","",IFERROR(CHOOSE(MATCH($F103,الإعدادات!$B$4:$B$7,0),INDEX('حضور سوريال'!$BM$7:$BM$36,$O103),INDEX('حضور غبريال'!$BM$7:$BM$36,$O103),INDEX('حضور رفائيل'!$BM$7:$BM$36,$O103),INDEX('حضور ميخائيل'!$BM$7:$BM$36,$O103)),""))</f>
        <v/>
      </c>
      <c r="W103" t="str">
        <f>IF(OR(V103=3,V103=4),COUNTIFS(V$6:V103,3)+COUNTIFS(V$6:V103,4),"")</f>
        <v/>
      </c>
    </row>
    <row r="104" spans="1:23" ht="25.5" customHeight="1">
      <c r="A104" s="13" t="str">
        <f t="shared" si="3"/>
        <v/>
      </c>
      <c r="B104" s="14" t="str">
        <f t="shared" si="4"/>
        <v/>
      </c>
      <c r="C104" s="15"/>
      <c r="D104" s="16"/>
      <c r="E104" s="16"/>
      <c r="F104" s="16"/>
      <c r="G104" s="16"/>
      <c r="H104" s="17"/>
      <c r="I104" s="17"/>
      <c r="J104" s="18"/>
      <c r="K104" s="16"/>
      <c r="L104" s="18"/>
      <c r="M104" s="16"/>
      <c r="N104" s="19" t="str">
        <f t="shared" si="5"/>
        <v/>
      </c>
      <c r="O104" s="19" t="str">
        <f>IF(OR(C104="",F104=""),"",COUNTIFS(F$6:F104,F104,C$6:C104,"&lt;&gt;"))</f>
        <v/>
      </c>
      <c r="P104" s="20" t="str">
        <f>IF($O104="","",IFERROR(CHOOSE(MATCH($F104,الإعدادات!$B$4:$B$7,0),INDEX('حضور سوريال'!$C$7:$C$36,$O104),INDEX('حضور غبريال'!$C$7:$C$36,$O104),INDEX('حضور رفائيل'!$C$7:$C$36,$O104),INDEX('حضور ميخائيل'!$C$7:$C$36,$O104)),""))</f>
        <v/>
      </c>
      <c r="Q104" s="20" t="str">
        <f>IF($O104="","",IFERROR(CHOOSE(MATCH($F104,الإعدادات!$B$4:$B$7,0),INDEX('حضور سوريال'!$D$7:$D$36,$O104),INDEX('حضور غبريال'!$D$7:$D$36,$O104),INDEX('حضور رفائيل'!$D$7:$D$36,$O104),INDEX('حضور ميخائيل'!$D$7:$D$36,$O104)),""))</f>
        <v/>
      </c>
      <c r="R104" s="21" t="str">
        <f>IF($O104="","",IFERROR(CHOOSE(MATCH($F104,الإعدادات!$B$4:$B$7,0),INDEX('حضور سوريال'!$F$7:$F$36,$O104),INDEX('حضور غبريال'!$F$7:$F$36,$O104),INDEX('حضور رفائيل'!$F$7:$F$36,$O104),INDEX('حضور ميخائيل'!$F$7:$F$36,$O104)),""))</f>
        <v/>
      </c>
      <c r="S104" s="20" t="str">
        <f>IF($O104="","",IFERROR(CHOOSE(MATCH($F104,الإعدادات!$B$4:$B$7,0),INDEX('حضور سوريال'!$G$7:$G$36,$O104),INDEX('حضور غبريال'!$G$7:$G$36,$O104),INDEX('حضور رفائيل'!$G$7:$G$36,$O104),INDEX('حضور ميخائيل'!$G$7:$G$36,$O104)),""))</f>
        <v/>
      </c>
      <c r="T104" s="22" t="str">
        <f>IF($O104="","",IFERROR(CHOOSE(MATCH($F104,الإعدادات!$B$4:$B$7,0),INDEX('حضور سوريال'!$H$7:$H$36,$O104),INDEX('حضور غبريال'!$H$7:$H$36,$O104),INDEX('حضور رفائيل'!$H$7:$H$36,$O104),INDEX('حضور ميخائيل'!$H$7:$H$36,$O104)),""))</f>
        <v/>
      </c>
      <c r="U104" s="23" t="str">
        <f>IF($O104="","",IFERROR(CHOOSE(MATCH($F104,الإعدادات!$B$4:$B$7,0),INDEX('حضور سوريال'!$I$7:$I$36,$O104),INDEX('حضور غبريال'!$I$7:$I$36,$O104),INDEX('حضور رفائيل'!$I$7:$I$36,$O104),INDEX('حضور ميخائيل'!$I$7:$I$36,$O104)),""))</f>
        <v/>
      </c>
      <c r="V104" t="str">
        <f>IF($O104="","",IFERROR(CHOOSE(MATCH($F104,الإعدادات!$B$4:$B$7,0),INDEX('حضور سوريال'!$BM$7:$BM$36,$O104),INDEX('حضور غبريال'!$BM$7:$BM$36,$O104),INDEX('حضور رفائيل'!$BM$7:$BM$36,$O104),INDEX('حضور ميخائيل'!$BM$7:$BM$36,$O104)),""))</f>
        <v/>
      </c>
      <c r="W104" t="str">
        <f>IF(OR(V104=3,V104=4),COUNTIFS(V$6:V104,3)+COUNTIFS(V$6:V104,4),"")</f>
        <v/>
      </c>
    </row>
    <row r="105" spans="1:23" ht="25.5" customHeight="1">
      <c r="A105" s="13" t="str">
        <f t="shared" si="3"/>
        <v/>
      </c>
      <c r="B105" s="14" t="str">
        <f t="shared" si="4"/>
        <v/>
      </c>
      <c r="C105" s="15"/>
      <c r="D105" s="16"/>
      <c r="E105" s="16"/>
      <c r="F105" s="16"/>
      <c r="G105" s="16"/>
      <c r="H105" s="17"/>
      <c r="I105" s="17"/>
      <c r="J105" s="18"/>
      <c r="K105" s="16"/>
      <c r="L105" s="18"/>
      <c r="M105" s="16"/>
      <c r="N105" s="19" t="str">
        <f t="shared" si="5"/>
        <v/>
      </c>
      <c r="O105" s="19" t="str">
        <f>IF(OR(C105="",F105=""),"",COUNTIFS(F$6:F105,F105,C$6:C105,"&lt;&gt;"))</f>
        <v/>
      </c>
      <c r="P105" s="20" t="str">
        <f>IF($O105="","",IFERROR(CHOOSE(MATCH($F105,الإعدادات!$B$4:$B$7,0),INDEX('حضور سوريال'!$C$7:$C$36,$O105),INDEX('حضور غبريال'!$C$7:$C$36,$O105),INDEX('حضور رفائيل'!$C$7:$C$36,$O105),INDEX('حضور ميخائيل'!$C$7:$C$36,$O105)),""))</f>
        <v/>
      </c>
      <c r="Q105" s="20" t="str">
        <f>IF($O105="","",IFERROR(CHOOSE(MATCH($F105,الإعدادات!$B$4:$B$7,0),INDEX('حضور سوريال'!$D$7:$D$36,$O105),INDEX('حضور غبريال'!$D$7:$D$36,$O105),INDEX('حضور رفائيل'!$D$7:$D$36,$O105),INDEX('حضور ميخائيل'!$D$7:$D$36,$O105)),""))</f>
        <v/>
      </c>
      <c r="R105" s="21" t="str">
        <f>IF($O105="","",IFERROR(CHOOSE(MATCH($F105,الإعدادات!$B$4:$B$7,0),INDEX('حضور سوريال'!$F$7:$F$36,$O105),INDEX('حضور غبريال'!$F$7:$F$36,$O105),INDEX('حضور رفائيل'!$F$7:$F$36,$O105),INDEX('حضور ميخائيل'!$F$7:$F$36,$O105)),""))</f>
        <v/>
      </c>
      <c r="S105" s="20" t="str">
        <f>IF($O105="","",IFERROR(CHOOSE(MATCH($F105,الإعدادات!$B$4:$B$7,0),INDEX('حضور سوريال'!$G$7:$G$36,$O105),INDEX('حضور غبريال'!$G$7:$G$36,$O105),INDEX('حضور رفائيل'!$G$7:$G$36,$O105),INDEX('حضور ميخائيل'!$G$7:$G$36,$O105)),""))</f>
        <v/>
      </c>
      <c r="T105" s="22" t="str">
        <f>IF($O105="","",IFERROR(CHOOSE(MATCH($F105,الإعدادات!$B$4:$B$7,0),INDEX('حضور سوريال'!$H$7:$H$36,$O105),INDEX('حضور غبريال'!$H$7:$H$36,$O105),INDEX('حضور رفائيل'!$H$7:$H$36,$O105),INDEX('حضور ميخائيل'!$H$7:$H$36,$O105)),""))</f>
        <v/>
      </c>
      <c r="U105" s="23" t="str">
        <f>IF($O105="","",IFERROR(CHOOSE(MATCH($F105,الإعدادات!$B$4:$B$7,0),INDEX('حضور سوريال'!$I$7:$I$36,$O105),INDEX('حضور غبريال'!$I$7:$I$36,$O105),INDEX('حضور رفائيل'!$I$7:$I$36,$O105),INDEX('حضور ميخائيل'!$I$7:$I$36,$O105)),""))</f>
        <v/>
      </c>
      <c r="V105" t="str">
        <f>IF($O105="","",IFERROR(CHOOSE(MATCH($F105,الإعدادات!$B$4:$B$7,0),INDEX('حضور سوريال'!$BM$7:$BM$36,$O105),INDEX('حضور غبريال'!$BM$7:$BM$36,$O105),INDEX('حضور رفائيل'!$BM$7:$BM$36,$O105),INDEX('حضور ميخائيل'!$BM$7:$BM$36,$O105)),""))</f>
        <v/>
      </c>
      <c r="W105" t="str">
        <f>IF(OR(V105=3,V105=4),COUNTIFS(V$6:V105,3)+COUNTIFS(V$6:V105,4),"")</f>
        <v/>
      </c>
    </row>
    <row r="106" spans="1:23" ht="25.5" customHeight="1">
      <c r="A106" s="13" t="str">
        <f t="shared" si="3"/>
        <v/>
      </c>
      <c r="B106" s="14" t="str">
        <f t="shared" si="4"/>
        <v/>
      </c>
      <c r="C106" s="15"/>
      <c r="D106" s="16"/>
      <c r="E106" s="16"/>
      <c r="F106" s="16"/>
      <c r="G106" s="16"/>
      <c r="H106" s="17"/>
      <c r="I106" s="17"/>
      <c r="J106" s="18"/>
      <c r="K106" s="16"/>
      <c r="L106" s="18"/>
      <c r="M106" s="16"/>
      <c r="N106" s="19" t="str">
        <f t="shared" si="5"/>
        <v/>
      </c>
      <c r="O106" s="19" t="str">
        <f>IF(OR(C106="",F106=""),"",COUNTIFS(F$6:F106,F106,C$6:C106,"&lt;&gt;"))</f>
        <v/>
      </c>
      <c r="P106" s="20" t="str">
        <f>IF($O106="","",IFERROR(CHOOSE(MATCH($F106,الإعدادات!$B$4:$B$7,0),INDEX('حضور سوريال'!$C$7:$C$36,$O106),INDEX('حضور غبريال'!$C$7:$C$36,$O106),INDEX('حضور رفائيل'!$C$7:$C$36,$O106),INDEX('حضور ميخائيل'!$C$7:$C$36,$O106)),""))</f>
        <v/>
      </c>
      <c r="Q106" s="20" t="str">
        <f>IF($O106="","",IFERROR(CHOOSE(MATCH($F106,الإعدادات!$B$4:$B$7,0),INDEX('حضور سوريال'!$D$7:$D$36,$O106),INDEX('حضور غبريال'!$D$7:$D$36,$O106),INDEX('حضور رفائيل'!$D$7:$D$36,$O106),INDEX('حضور ميخائيل'!$D$7:$D$36,$O106)),""))</f>
        <v/>
      </c>
      <c r="R106" s="21" t="str">
        <f>IF($O106="","",IFERROR(CHOOSE(MATCH($F106,الإعدادات!$B$4:$B$7,0),INDEX('حضور سوريال'!$F$7:$F$36,$O106),INDEX('حضور غبريال'!$F$7:$F$36,$O106),INDEX('حضور رفائيل'!$F$7:$F$36,$O106),INDEX('حضور ميخائيل'!$F$7:$F$36,$O106)),""))</f>
        <v/>
      </c>
      <c r="S106" s="20" t="str">
        <f>IF($O106="","",IFERROR(CHOOSE(MATCH($F106,الإعدادات!$B$4:$B$7,0),INDEX('حضور سوريال'!$G$7:$G$36,$O106),INDEX('حضور غبريال'!$G$7:$G$36,$O106),INDEX('حضور رفائيل'!$G$7:$G$36,$O106),INDEX('حضور ميخائيل'!$G$7:$G$36,$O106)),""))</f>
        <v/>
      </c>
      <c r="T106" s="22" t="str">
        <f>IF($O106="","",IFERROR(CHOOSE(MATCH($F106,الإعدادات!$B$4:$B$7,0),INDEX('حضور سوريال'!$H$7:$H$36,$O106),INDEX('حضور غبريال'!$H$7:$H$36,$O106),INDEX('حضور رفائيل'!$H$7:$H$36,$O106),INDEX('حضور ميخائيل'!$H$7:$H$36,$O106)),""))</f>
        <v/>
      </c>
      <c r="U106" s="23" t="str">
        <f>IF($O106="","",IFERROR(CHOOSE(MATCH($F106,الإعدادات!$B$4:$B$7,0),INDEX('حضور سوريال'!$I$7:$I$36,$O106),INDEX('حضور غبريال'!$I$7:$I$36,$O106),INDEX('حضور رفائيل'!$I$7:$I$36,$O106),INDEX('حضور ميخائيل'!$I$7:$I$36,$O106)),""))</f>
        <v/>
      </c>
      <c r="V106" t="str">
        <f>IF($O106="","",IFERROR(CHOOSE(MATCH($F106,الإعدادات!$B$4:$B$7,0),INDEX('حضور سوريال'!$BM$7:$BM$36,$O106),INDEX('حضور غبريال'!$BM$7:$BM$36,$O106),INDEX('حضور رفائيل'!$BM$7:$BM$36,$O106),INDEX('حضور ميخائيل'!$BM$7:$BM$36,$O106)),""))</f>
        <v/>
      </c>
      <c r="W106" t="str">
        <f>IF(OR(V106=3,V106=4),COUNTIFS(V$6:V106,3)+COUNTIFS(V$6:V106,4),"")</f>
        <v/>
      </c>
    </row>
    <row r="107" spans="1:23" ht="25.5" customHeight="1">
      <c r="A107" s="13" t="str">
        <f t="shared" si="3"/>
        <v/>
      </c>
      <c r="B107" s="14" t="str">
        <f t="shared" si="4"/>
        <v/>
      </c>
      <c r="C107" s="15"/>
      <c r="D107" s="16"/>
      <c r="E107" s="16"/>
      <c r="F107" s="16"/>
      <c r="G107" s="16"/>
      <c r="H107" s="17"/>
      <c r="I107" s="17"/>
      <c r="J107" s="18"/>
      <c r="K107" s="16"/>
      <c r="L107" s="18"/>
      <c r="M107" s="16"/>
      <c r="N107" s="19" t="str">
        <f t="shared" si="5"/>
        <v/>
      </c>
      <c r="O107" s="19" t="str">
        <f>IF(OR(C107="",F107=""),"",COUNTIFS(F$6:F107,F107,C$6:C107,"&lt;&gt;"))</f>
        <v/>
      </c>
      <c r="P107" s="20" t="str">
        <f>IF($O107="","",IFERROR(CHOOSE(MATCH($F107,الإعدادات!$B$4:$B$7,0),INDEX('حضور سوريال'!$C$7:$C$36,$O107),INDEX('حضور غبريال'!$C$7:$C$36,$O107),INDEX('حضور رفائيل'!$C$7:$C$36,$O107),INDEX('حضور ميخائيل'!$C$7:$C$36,$O107)),""))</f>
        <v/>
      </c>
      <c r="Q107" s="20" t="str">
        <f>IF($O107="","",IFERROR(CHOOSE(MATCH($F107,الإعدادات!$B$4:$B$7,0),INDEX('حضور سوريال'!$D$7:$D$36,$O107),INDEX('حضور غبريال'!$D$7:$D$36,$O107),INDEX('حضور رفائيل'!$D$7:$D$36,$O107),INDEX('حضور ميخائيل'!$D$7:$D$36,$O107)),""))</f>
        <v/>
      </c>
      <c r="R107" s="21" t="str">
        <f>IF($O107="","",IFERROR(CHOOSE(MATCH($F107,الإعدادات!$B$4:$B$7,0),INDEX('حضور سوريال'!$F$7:$F$36,$O107),INDEX('حضور غبريال'!$F$7:$F$36,$O107),INDEX('حضور رفائيل'!$F$7:$F$36,$O107),INDEX('حضور ميخائيل'!$F$7:$F$36,$O107)),""))</f>
        <v/>
      </c>
      <c r="S107" s="20" t="str">
        <f>IF($O107="","",IFERROR(CHOOSE(MATCH($F107,الإعدادات!$B$4:$B$7,0),INDEX('حضور سوريال'!$G$7:$G$36,$O107),INDEX('حضور غبريال'!$G$7:$G$36,$O107),INDEX('حضور رفائيل'!$G$7:$G$36,$O107),INDEX('حضور ميخائيل'!$G$7:$G$36,$O107)),""))</f>
        <v/>
      </c>
      <c r="T107" s="22" t="str">
        <f>IF($O107="","",IFERROR(CHOOSE(MATCH($F107,الإعدادات!$B$4:$B$7,0),INDEX('حضور سوريال'!$H$7:$H$36,$O107),INDEX('حضور غبريال'!$H$7:$H$36,$O107),INDEX('حضور رفائيل'!$H$7:$H$36,$O107),INDEX('حضور ميخائيل'!$H$7:$H$36,$O107)),""))</f>
        <v/>
      </c>
      <c r="U107" s="23" t="str">
        <f>IF($O107="","",IFERROR(CHOOSE(MATCH($F107,الإعدادات!$B$4:$B$7,0),INDEX('حضور سوريال'!$I$7:$I$36,$O107),INDEX('حضور غبريال'!$I$7:$I$36,$O107),INDEX('حضور رفائيل'!$I$7:$I$36,$O107),INDEX('حضور ميخائيل'!$I$7:$I$36,$O107)),""))</f>
        <v/>
      </c>
      <c r="V107" t="str">
        <f>IF($O107="","",IFERROR(CHOOSE(MATCH($F107,الإعدادات!$B$4:$B$7,0),INDEX('حضور سوريال'!$BM$7:$BM$36,$O107),INDEX('حضور غبريال'!$BM$7:$BM$36,$O107),INDEX('حضور رفائيل'!$BM$7:$BM$36,$O107),INDEX('حضور ميخائيل'!$BM$7:$BM$36,$O107)),""))</f>
        <v/>
      </c>
      <c r="W107" t="str">
        <f>IF(OR(V107=3,V107=4),COUNTIFS(V$6:V107,3)+COUNTIFS(V$6:V107,4),"")</f>
        <v/>
      </c>
    </row>
    <row r="108" spans="1:23" ht="25.5" customHeight="1">
      <c r="A108" s="13" t="str">
        <f t="shared" si="3"/>
        <v/>
      </c>
      <c r="B108" s="14" t="str">
        <f t="shared" si="4"/>
        <v/>
      </c>
      <c r="C108" s="15"/>
      <c r="D108" s="16"/>
      <c r="E108" s="16"/>
      <c r="F108" s="16"/>
      <c r="G108" s="16"/>
      <c r="H108" s="17"/>
      <c r="I108" s="17"/>
      <c r="J108" s="18"/>
      <c r="K108" s="16"/>
      <c r="L108" s="18"/>
      <c r="M108" s="16"/>
      <c r="N108" s="19" t="str">
        <f t="shared" si="5"/>
        <v/>
      </c>
      <c r="O108" s="19" t="str">
        <f>IF(OR(C108="",F108=""),"",COUNTIFS(F$6:F108,F108,C$6:C108,"&lt;&gt;"))</f>
        <v/>
      </c>
      <c r="P108" s="20" t="str">
        <f>IF($O108="","",IFERROR(CHOOSE(MATCH($F108,الإعدادات!$B$4:$B$7,0),INDEX('حضور سوريال'!$C$7:$C$36,$O108),INDEX('حضور غبريال'!$C$7:$C$36,$O108),INDEX('حضور رفائيل'!$C$7:$C$36,$O108),INDEX('حضور ميخائيل'!$C$7:$C$36,$O108)),""))</f>
        <v/>
      </c>
      <c r="Q108" s="20" t="str">
        <f>IF($O108="","",IFERROR(CHOOSE(MATCH($F108,الإعدادات!$B$4:$B$7,0),INDEX('حضور سوريال'!$D$7:$D$36,$O108),INDEX('حضور غبريال'!$D$7:$D$36,$O108),INDEX('حضور رفائيل'!$D$7:$D$36,$O108),INDEX('حضور ميخائيل'!$D$7:$D$36,$O108)),""))</f>
        <v/>
      </c>
      <c r="R108" s="21" t="str">
        <f>IF($O108="","",IFERROR(CHOOSE(MATCH($F108,الإعدادات!$B$4:$B$7,0),INDEX('حضور سوريال'!$F$7:$F$36,$O108),INDEX('حضور غبريال'!$F$7:$F$36,$O108),INDEX('حضور رفائيل'!$F$7:$F$36,$O108),INDEX('حضور ميخائيل'!$F$7:$F$36,$O108)),""))</f>
        <v/>
      </c>
      <c r="S108" s="20" t="str">
        <f>IF($O108="","",IFERROR(CHOOSE(MATCH($F108,الإعدادات!$B$4:$B$7,0),INDEX('حضور سوريال'!$G$7:$G$36,$O108),INDEX('حضور غبريال'!$G$7:$G$36,$O108),INDEX('حضور رفائيل'!$G$7:$G$36,$O108),INDEX('حضور ميخائيل'!$G$7:$G$36,$O108)),""))</f>
        <v/>
      </c>
      <c r="T108" s="22" t="str">
        <f>IF($O108="","",IFERROR(CHOOSE(MATCH($F108,الإعدادات!$B$4:$B$7,0),INDEX('حضور سوريال'!$H$7:$H$36,$O108),INDEX('حضور غبريال'!$H$7:$H$36,$O108),INDEX('حضور رفائيل'!$H$7:$H$36,$O108),INDEX('حضور ميخائيل'!$H$7:$H$36,$O108)),""))</f>
        <v/>
      </c>
      <c r="U108" s="23" t="str">
        <f>IF($O108="","",IFERROR(CHOOSE(MATCH($F108,الإعدادات!$B$4:$B$7,0),INDEX('حضور سوريال'!$I$7:$I$36,$O108),INDEX('حضور غبريال'!$I$7:$I$36,$O108),INDEX('حضور رفائيل'!$I$7:$I$36,$O108),INDEX('حضور ميخائيل'!$I$7:$I$36,$O108)),""))</f>
        <v/>
      </c>
      <c r="V108" t="str">
        <f>IF($O108="","",IFERROR(CHOOSE(MATCH($F108,الإعدادات!$B$4:$B$7,0),INDEX('حضور سوريال'!$BM$7:$BM$36,$O108),INDEX('حضور غبريال'!$BM$7:$BM$36,$O108),INDEX('حضور رفائيل'!$BM$7:$BM$36,$O108),INDEX('حضور ميخائيل'!$BM$7:$BM$36,$O108)),""))</f>
        <v/>
      </c>
      <c r="W108" t="str">
        <f>IF(OR(V108=3,V108=4),COUNTIFS(V$6:V108,3)+COUNTIFS(V$6:V108,4),"")</f>
        <v/>
      </c>
    </row>
    <row r="109" spans="1:23" ht="25.5" customHeight="1">
      <c r="A109" s="13" t="str">
        <f t="shared" si="3"/>
        <v/>
      </c>
      <c r="B109" s="14" t="str">
        <f t="shared" si="4"/>
        <v/>
      </c>
      <c r="C109" s="15"/>
      <c r="D109" s="16"/>
      <c r="E109" s="16"/>
      <c r="F109" s="16"/>
      <c r="G109" s="16"/>
      <c r="H109" s="17"/>
      <c r="I109" s="17"/>
      <c r="J109" s="18"/>
      <c r="K109" s="16"/>
      <c r="L109" s="18"/>
      <c r="M109" s="16"/>
      <c r="N109" s="19" t="str">
        <f t="shared" si="5"/>
        <v/>
      </c>
      <c r="O109" s="19" t="str">
        <f>IF(OR(C109="",F109=""),"",COUNTIFS(F$6:F109,F109,C$6:C109,"&lt;&gt;"))</f>
        <v/>
      </c>
      <c r="P109" s="20" t="str">
        <f>IF($O109="","",IFERROR(CHOOSE(MATCH($F109,الإعدادات!$B$4:$B$7,0),INDEX('حضور سوريال'!$C$7:$C$36,$O109),INDEX('حضور غبريال'!$C$7:$C$36,$O109),INDEX('حضور رفائيل'!$C$7:$C$36,$O109),INDEX('حضور ميخائيل'!$C$7:$C$36,$O109)),""))</f>
        <v/>
      </c>
      <c r="Q109" s="20" t="str">
        <f>IF($O109="","",IFERROR(CHOOSE(MATCH($F109,الإعدادات!$B$4:$B$7,0),INDEX('حضور سوريال'!$D$7:$D$36,$O109),INDEX('حضور غبريال'!$D$7:$D$36,$O109),INDEX('حضور رفائيل'!$D$7:$D$36,$O109),INDEX('حضور ميخائيل'!$D$7:$D$36,$O109)),""))</f>
        <v/>
      </c>
      <c r="R109" s="21" t="str">
        <f>IF($O109="","",IFERROR(CHOOSE(MATCH($F109,الإعدادات!$B$4:$B$7,0),INDEX('حضور سوريال'!$F$7:$F$36,$O109),INDEX('حضور غبريال'!$F$7:$F$36,$O109),INDEX('حضور رفائيل'!$F$7:$F$36,$O109),INDEX('حضور ميخائيل'!$F$7:$F$36,$O109)),""))</f>
        <v/>
      </c>
      <c r="S109" s="20" t="str">
        <f>IF($O109="","",IFERROR(CHOOSE(MATCH($F109,الإعدادات!$B$4:$B$7,0),INDEX('حضور سوريال'!$G$7:$G$36,$O109),INDEX('حضور غبريال'!$G$7:$G$36,$O109),INDEX('حضور رفائيل'!$G$7:$G$36,$O109),INDEX('حضور ميخائيل'!$G$7:$G$36,$O109)),""))</f>
        <v/>
      </c>
      <c r="T109" s="22" t="str">
        <f>IF($O109="","",IFERROR(CHOOSE(MATCH($F109,الإعدادات!$B$4:$B$7,0),INDEX('حضور سوريال'!$H$7:$H$36,$O109),INDEX('حضور غبريال'!$H$7:$H$36,$O109),INDEX('حضور رفائيل'!$H$7:$H$36,$O109),INDEX('حضور ميخائيل'!$H$7:$H$36,$O109)),""))</f>
        <v/>
      </c>
      <c r="U109" s="23" t="str">
        <f>IF($O109="","",IFERROR(CHOOSE(MATCH($F109,الإعدادات!$B$4:$B$7,0),INDEX('حضور سوريال'!$I$7:$I$36,$O109),INDEX('حضور غبريال'!$I$7:$I$36,$O109),INDEX('حضور رفائيل'!$I$7:$I$36,$O109),INDEX('حضور ميخائيل'!$I$7:$I$36,$O109)),""))</f>
        <v/>
      </c>
      <c r="V109" t="str">
        <f>IF($O109="","",IFERROR(CHOOSE(MATCH($F109,الإعدادات!$B$4:$B$7,0),INDEX('حضور سوريال'!$BM$7:$BM$36,$O109),INDEX('حضور غبريال'!$BM$7:$BM$36,$O109),INDEX('حضور رفائيل'!$BM$7:$BM$36,$O109),INDEX('حضور ميخائيل'!$BM$7:$BM$36,$O109)),""))</f>
        <v/>
      </c>
      <c r="W109" t="str">
        <f>IF(OR(V109=3,V109=4),COUNTIFS(V$6:V109,3)+COUNTIFS(V$6:V109,4),"")</f>
        <v/>
      </c>
    </row>
    <row r="110" spans="1:23" ht="25.5" customHeight="1">
      <c r="A110" s="13" t="str">
        <f t="shared" si="3"/>
        <v/>
      </c>
      <c r="B110" s="14" t="str">
        <f t="shared" si="4"/>
        <v/>
      </c>
      <c r="C110" s="15"/>
      <c r="D110" s="16"/>
      <c r="E110" s="16"/>
      <c r="F110" s="16"/>
      <c r="G110" s="16"/>
      <c r="H110" s="17"/>
      <c r="I110" s="17"/>
      <c r="J110" s="18"/>
      <c r="K110" s="16"/>
      <c r="L110" s="18"/>
      <c r="M110" s="16"/>
      <c r="N110" s="19" t="str">
        <f t="shared" si="5"/>
        <v/>
      </c>
      <c r="O110" s="19" t="str">
        <f>IF(OR(C110="",F110=""),"",COUNTIFS(F$6:F110,F110,C$6:C110,"&lt;&gt;"))</f>
        <v/>
      </c>
      <c r="P110" s="20" t="str">
        <f>IF($O110="","",IFERROR(CHOOSE(MATCH($F110,الإعدادات!$B$4:$B$7,0),INDEX('حضور سوريال'!$C$7:$C$36,$O110),INDEX('حضور غبريال'!$C$7:$C$36,$O110),INDEX('حضور رفائيل'!$C$7:$C$36,$O110),INDEX('حضور ميخائيل'!$C$7:$C$36,$O110)),""))</f>
        <v/>
      </c>
      <c r="Q110" s="20" t="str">
        <f>IF($O110="","",IFERROR(CHOOSE(MATCH($F110,الإعدادات!$B$4:$B$7,0),INDEX('حضور سوريال'!$D$7:$D$36,$O110),INDEX('حضور غبريال'!$D$7:$D$36,$O110),INDEX('حضور رفائيل'!$D$7:$D$36,$O110),INDEX('حضور ميخائيل'!$D$7:$D$36,$O110)),""))</f>
        <v/>
      </c>
      <c r="R110" s="21" t="str">
        <f>IF($O110="","",IFERROR(CHOOSE(MATCH($F110,الإعدادات!$B$4:$B$7,0),INDEX('حضور سوريال'!$F$7:$F$36,$O110),INDEX('حضور غبريال'!$F$7:$F$36,$O110),INDEX('حضور رفائيل'!$F$7:$F$36,$O110),INDEX('حضور ميخائيل'!$F$7:$F$36,$O110)),""))</f>
        <v/>
      </c>
      <c r="S110" s="20" t="str">
        <f>IF($O110="","",IFERROR(CHOOSE(MATCH($F110,الإعدادات!$B$4:$B$7,0),INDEX('حضور سوريال'!$G$7:$G$36,$O110),INDEX('حضور غبريال'!$G$7:$G$36,$O110),INDEX('حضور رفائيل'!$G$7:$G$36,$O110),INDEX('حضور ميخائيل'!$G$7:$G$36,$O110)),""))</f>
        <v/>
      </c>
      <c r="T110" s="22" t="str">
        <f>IF($O110="","",IFERROR(CHOOSE(MATCH($F110,الإعدادات!$B$4:$B$7,0),INDEX('حضور سوريال'!$H$7:$H$36,$O110),INDEX('حضور غبريال'!$H$7:$H$36,$O110),INDEX('حضور رفائيل'!$H$7:$H$36,$O110),INDEX('حضور ميخائيل'!$H$7:$H$36,$O110)),""))</f>
        <v/>
      </c>
      <c r="U110" s="23" t="str">
        <f>IF($O110="","",IFERROR(CHOOSE(MATCH($F110,الإعدادات!$B$4:$B$7,0),INDEX('حضور سوريال'!$I$7:$I$36,$O110),INDEX('حضور غبريال'!$I$7:$I$36,$O110),INDEX('حضور رفائيل'!$I$7:$I$36,$O110),INDEX('حضور ميخائيل'!$I$7:$I$36,$O110)),""))</f>
        <v/>
      </c>
      <c r="V110" t="str">
        <f>IF($O110="","",IFERROR(CHOOSE(MATCH($F110,الإعدادات!$B$4:$B$7,0),INDEX('حضور سوريال'!$BM$7:$BM$36,$O110),INDEX('حضور غبريال'!$BM$7:$BM$36,$O110),INDEX('حضور رفائيل'!$BM$7:$BM$36,$O110),INDEX('حضور ميخائيل'!$BM$7:$BM$36,$O110)),""))</f>
        <v/>
      </c>
      <c r="W110" t="str">
        <f>IF(OR(V110=3,V110=4),COUNTIFS(V$6:V110,3)+COUNTIFS(V$6:V110,4),"")</f>
        <v/>
      </c>
    </row>
    <row r="111" spans="1:23" ht="25.5" customHeight="1">
      <c r="A111" s="13" t="str">
        <f t="shared" si="3"/>
        <v/>
      </c>
      <c r="B111" s="14" t="str">
        <f t="shared" si="4"/>
        <v/>
      </c>
      <c r="C111" s="15"/>
      <c r="D111" s="16"/>
      <c r="E111" s="16"/>
      <c r="F111" s="16"/>
      <c r="G111" s="16"/>
      <c r="H111" s="17"/>
      <c r="I111" s="17"/>
      <c r="J111" s="18"/>
      <c r="K111" s="16"/>
      <c r="L111" s="18"/>
      <c r="M111" s="16"/>
      <c r="N111" s="19" t="str">
        <f t="shared" si="5"/>
        <v/>
      </c>
      <c r="O111" s="19" t="str">
        <f>IF(OR(C111="",F111=""),"",COUNTIFS(F$6:F111,F111,C$6:C111,"&lt;&gt;"))</f>
        <v/>
      </c>
      <c r="P111" s="20" t="str">
        <f>IF($O111="","",IFERROR(CHOOSE(MATCH($F111,الإعدادات!$B$4:$B$7,0),INDEX('حضور سوريال'!$C$7:$C$36,$O111),INDEX('حضور غبريال'!$C$7:$C$36,$O111),INDEX('حضور رفائيل'!$C$7:$C$36,$O111),INDEX('حضور ميخائيل'!$C$7:$C$36,$O111)),""))</f>
        <v/>
      </c>
      <c r="Q111" s="20" t="str">
        <f>IF($O111="","",IFERROR(CHOOSE(MATCH($F111,الإعدادات!$B$4:$B$7,0),INDEX('حضور سوريال'!$D$7:$D$36,$O111),INDEX('حضور غبريال'!$D$7:$D$36,$O111),INDEX('حضور رفائيل'!$D$7:$D$36,$O111),INDEX('حضور ميخائيل'!$D$7:$D$36,$O111)),""))</f>
        <v/>
      </c>
      <c r="R111" s="21" t="str">
        <f>IF($O111="","",IFERROR(CHOOSE(MATCH($F111,الإعدادات!$B$4:$B$7,0),INDEX('حضور سوريال'!$F$7:$F$36,$O111),INDEX('حضور غبريال'!$F$7:$F$36,$O111),INDEX('حضور رفائيل'!$F$7:$F$36,$O111),INDEX('حضور ميخائيل'!$F$7:$F$36,$O111)),""))</f>
        <v/>
      </c>
      <c r="S111" s="20" t="str">
        <f>IF($O111="","",IFERROR(CHOOSE(MATCH($F111,الإعدادات!$B$4:$B$7,0),INDEX('حضور سوريال'!$G$7:$G$36,$O111),INDEX('حضور غبريال'!$G$7:$G$36,$O111),INDEX('حضور رفائيل'!$G$7:$G$36,$O111),INDEX('حضور ميخائيل'!$G$7:$G$36,$O111)),""))</f>
        <v/>
      </c>
      <c r="T111" s="22" t="str">
        <f>IF($O111="","",IFERROR(CHOOSE(MATCH($F111,الإعدادات!$B$4:$B$7,0),INDEX('حضور سوريال'!$H$7:$H$36,$O111),INDEX('حضور غبريال'!$H$7:$H$36,$O111),INDEX('حضور رفائيل'!$H$7:$H$36,$O111),INDEX('حضور ميخائيل'!$H$7:$H$36,$O111)),""))</f>
        <v/>
      </c>
      <c r="U111" s="23" t="str">
        <f>IF($O111="","",IFERROR(CHOOSE(MATCH($F111,الإعدادات!$B$4:$B$7,0),INDEX('حضور سوريال'!$I$7:$I$36,$O111),INDEX('حضور غبريال'!$I$7:$I$36,$O111),INDEX('حضور رفائيل'!$I$7:$I$36,$O111),INDEX('حضور ميخائيل'!$I$7:$I$36,$O111)),""))</f>
        <v/>
      </c>
      <c r="V111" t="str">
        <f>IF($O111="","",IFERROR(CHOOSE(MATCH($F111,الإعدادات!$B$4:$B$7,0),INDEX('حضور سوريال'!$BM$7:$BM$36,$O111),INDEX('حضور غبريال'!$BM$7:$BM$36,$O111),INDEX('حضور رفائيل'!$BM$7:$BM$36,$O111),INDEX('حضور ميخائيل'!$BM$7:$BM$36,$O111)),""))</f>
        <v/>
      </c>
      <c r="W111" t="str">
        <f>IF(OR(V111=3,V111=4),COUNTIFS(V$6:V111,3)+COUNTIFS(V$6:V111,4),"")</f>
        <v/>
      </c>
    </row>
    <row r="112" spans="1:23" ht="25.5" customHeight="1">
      <c r="A112" s="13" t="str">
        <f t="shared" si="3"/>
        <v/>
      </c>
      <c r="B112" s="14" t="str">
        <f t="shared" si="4"/>
        <v/>
      </c>
      <c r="C112" s="15"/>
      <c r="D112" s="16"/>
      <c r="E112" s="16"/>
      <c r="F112" s="16"/>
      <c r="G112" s="16"/>
      <c r="H112" s="17"/>
      <c r="I112" s="17"/>
      <c r="J112" s="18"/>
      <c r="K112" s="16"/>
      <c r="L112" s="18"/>
      <c r="M112" s="16"/>
      <c r="N112" s="19" t="str">
        <f t="shared" si="5"/>
        <v/>
      </c>
      <c r="O112" s="19" t="str">
        <f>IF(OR(C112="",F112=""),"",COUNTIFS(F$6:F112,F112,C$6:C112,"&lt;&gt;"))</f>
        <v/>
      </c>
      <c r="P112" s="20" t="str">
        <f>IF($O112="","",IFERROR(CHOOSE(MATCH($F112,الإعدادات!$B$4:$B$7,0),INDEX('حضور سوريال'!$C$7:$C$36,$O112),INDEX('حضور غبريال'!$C$7:$C$36,$O112),INDEX('حضور رفائيل'!$C$7:$C$36,$O112),INDEX('حضور ميخائيل'!$C$7:$C$36,$O112)),""))</f>
        <v/>
      </c>
      <c r="Q112" s="20" t="str">
        <f>IF($O112="","",IFERROR(CHOOSE(MATCH($F112,الإعدادات!$B$4:$B$7,0),INDEX('حضور سوريال'!$D$7:$D$36,$O112),INDEX('حضور غبريال'!$D$7:$D$36,$O112),INDEX('حضور رفائيل'!$D$7:$D$36,$O112),INDEX('حضور ميخائيل'!$D$7:$D$36,$O112)),""))</f>
        <v/>
      </c>
      <c r="R112" s="21" t="str">
        <f>IF($O112="","",IFERROR(CHOOSE(MATCH($F112,الإعدادات!$B$4:$B$7,0),INDEX('حضور سوريال'!$F$7:$F$36,$O112),INDEX('حضور غبريال'!$F$7:$F$36,$O112),INDEX('حضور رفائيل'!$F$7:$F$36,$O112),INDEX('حضور ميخائيل'!$F$7:$F$36,$O112)),""))</f>
        <v/>
      </c>
      <c r="S112" s="20" t="str">
        <f>IF($O112="","",IFERROR(CHOOSE(MATCH($F112,الإعدادات!$B$4:$B$7,0),INDEX('حضور سوريال'!$G$7:$G$36,$O112),INDEX('حضور غبريال'!$G$7:$G$36,$O112),INDEX('حضور رفائيل'!$G$7:$G$36,$O112),INDEX('حضور ميخائيل'!$G$7:$G$36,$O112)),""))</f>
        <v/>
      </c>
      <c r="T112" s="22" t="str">
        <f>IF($O112="","",IFERROR(CHOOSE(MATCH($F112,الإعدادات!$B$4:$B$7,0),INDEX('حضور سوريال'!$H$7:$H$36,$O112),INDEX('حضور غبريال'!$H$7:$H$36,$O112),INDEX('حضور رفائيل'!$H$7:$H$36,$O112),INDEX('حضور ميخائيل'!$H$7:$H$36,$O112)),""))</f>
        <v/>
      </c>
      <c r="U112" s="23" t="str">
        <f>IF($O112="","",IFERROR(CHOOSE(MATCH($F112,الإعدادات!$B$4:$B$7,0),INDEX('حضور سوريال'!$I$7:$I$36,$O112),INDEX('حضور غبريال'!$I$7:$I$36,$O112),INDEX('حضور رفائيل'!$I$7:$I$36,$O112),INDEX('حضور ميخائيل'!$I$7:$I$36,$O112)),""))</f>
        <v/>
      </c>
      <c r="V112" t="str">
        <f>IF($O112="","",IFERROR(CHOOSE(MATCH($F112,الإعدادات!$B$4:$B$7,0),INDEX('حضور سوريال'!$BM$7:$BM$36,$O112),INDEX('حضور غبريال'!$BM$7:$BM$36,$O112),INDEX('حضور رفائيل'!$BM$7:$BM$36,$O112),INDEX('حضور ميخائيل'!$BM$7:$BM$36,$O112)),""))</f>
        <v/>
      </c>
      <c r="W112" t="str">
        <f>IF(OR(V112=3,V112=4),COUNTIFS(V$6:V112,3)+COUNTIFS(V$6:V112,4),"")</f>
        <v/>
      </c>
    </row>
    <row r="113" spans="1:23" ht="25.5" customHeight="1">
      <c r="A113" s="13" t="str">
        <f t="shared" si="3"/>
        <v/>
      </c>
      <c r="B113" s="14" t="str">
        <f t="shared" si="4"/>
        <v/>
      </c>
      <c r="C113" s="15"/>
      <c r="D113" s="16"/>
      <c r="E113" s="16"/>
      <c r="F113" s="16"/>
      <c r="G113" s="16"/>
      <c r="H113" s="17"/>
      <c r="I113" s="17"/>
      <c r="J113" s="18"/>
      <c r="K113" s="16"/>
      <c r="L113" s="18"/>
      <c r="M113" s="16"/>
      <c r="N113" s="19" t="str">
        <f t="shared" si="5"/>
        <v/>
      </c>
      <c r="O113" s="19" t="str">
        <f>IF(OR(C113="",F113=""),"",COUNTIFS(F$6:F113,F113,C$6:C113,"&lt;&gt;"))</f>
        <v/>
      </c>
      <c r="P113" s="20" t="str">
        <f>IF($O113="","",IFERROR(CHOOSE(MATCH($F113,الإعدادات!$B$4:$B$7,0),INDEX('حضور سوريال'!$C$7:$C$36,$O113),INDEX('حضور غبريال'!$C$7:$C$36,$O113),INDEX('حضور رفائيل'!$C$7:$C$36,$O113),INDEX('حضور ميخائيل'!$C$7:$C$36,$O113)),""))</f>
        <v/>
      </c>
      <c r="Q113" s="20" t="str">
        <f>IF($O113="","",IFERROR(CHOOSE(MATCH($F113,الإعدادات!$B$4:$B$7,0),INDEX('حضور سوريال'!$D$7:$D$36,$O113),INDEX('حضور غبريال'!$D$7:$D$36,$O113),INDEX('حضور رفائيل'!$D$7:$D$36,$O113),INDEX('حضور ميخائيل'!$D$7:$D$36,$O113)),""))</f>
        <v/>
      </c>
      <c r="R113" s="21" t="str">
        <f>IF($O113="","",IFERROR(CHOOSE(MATCH($F113,الإعدادات!$B$4:$B$7,0),INDEX('حضور سوريال'!$F$7:$F$36,$O113),INDEX('حضور غبريال'!$F$7:$F$36,$O113),INDEX('حضور رفائيل'!$F$7:$F$36,$O113),INDEX('حضور ميخائيل'!$F$7:$F$36,$O113)),""))</f>
        <v/>
      </c>
      <c r="S113" s="20" t="str">
        <f>IF($O113="","",IFERROR(CHOOSE(MATCH($F113,الإعدادات!$B$4:$B$7,0),INDEX('حضور سوريال'!$G$7:$G$36,$O113),INDEX('حضور غبريال'!$G$7:$G$36,$O113),INDEX('حضور رفائيل'!$G$7:$G$36,$O113),INDEX('حضور ميخائيل'!$G$7:$G$36,$O113)),""))</f>
        <v/>
      </c>
      <c r="T113" s="22" t="str">
        <f>IF($O113="","",IFERROR(CHOOSE(MATCH($F113,الإعدادات!$B$4:$B$7,0),INDEX('حضور سوريال'!$H$7:$H$36,$O113),INDEX('حضور غبريال'!$H$7:$H$36,$O113),INDEX('حضور رفائيل'!$H$7:$H$36,$O113),INDEX('حضور ميخائيل'!$H$7:$H$36,$O113)),""))</f>
        <v/>
      </c>
      <c r="U113" s="23" t="str">
        <f>IF($O113="","",IFERROR(CHOOSE(MATCH($F113,الإعدادات!$B$4:$B$7,0),INDEX('حضور سوريال'!$I$7:$I$36,$O113),INDEX('حضور غبريال'!$I$7:$I$36,$O113),INDEX('حضور رفائيل'!$I$7:$I$36,$O113),INDEX('حضور ميخائيل'!$I$7:$I$36,$O113)),""))</f>
        <v/>
      </c>
      <c r="V113" t="str">
        <f>IF($O113="","",IFERROR(CHOOSE(MATCH($F113,الإعدادات!$B$4:$B$7,0),INDEX('حضور سوريال'!$BM$7:$BM$36,$O113),INDEX('حضور غبريال'!$BM$7:$BM$36,$O113),INDEX('حضور رفائيل'!$BM$7:$BM$36,$O113),INDEX('حضور ميخائيل'!$BM$7:$BM$36,$O113)),""))</f>
        <v/>
      </c>
      <c r="W113" t="str">
        <f>IF(OR(V113=3,V113=4),COUNTIFS(V$6:V113,3)+COUNTIFS(V$6:V113,4),"")</f>
        <v/>
      </c>
    </row>
    <row r="114" spans="1:23" ht="25.5" customHeight="1">
      <c r="A114" s="13" t="str">
        <f t="shared" si="3"/>
        <v/>
      </c>
      <c r="B114" s="14" t="str">
        <f t="shared" si="4"/>
        <v/>
      </c>
      <c r="C114" s="15"/>
      <c r="D114" s="16"/>
      <c r="E114" s="16"/>
      <c r="F114" s="16"/>
      <c r="G114" s="16"/>
      <c r="H114" s="17"/>
      <c r="I114" s="17"/>
      <c r="J114" s="18"/>
      <c r="K114" s="16"/>
      <c r="L114" s="18"/>
      <c r="M114" s="16"/>
      <c r="N114" s="19" t="str">
        <f t="shared" si="5"/>
        <v/>
      </c>
      <c r="O114" s="19" t="str">
        <f>IF(OR(C114="",F114=""),"",COUNTIFS(F$6:F114,F114,C$6:C114,"&lt;&gt;"))</f>
        <v/>
      </c>
      <c r="P114" s="20" t="str">
        <f>IF($O114="","",IFERROR(CHOOSE(MATCH($F114,الإعدادات!$B$4:$B$7,0),INDEX('حضور سوريال'!$C$7:$C$36,$O114),INDEX('حضور غبريال'!$C$7:$C$36,$O114),INDEX('حضور رفائيل'!$C$7:$C$36,$O114),INDEX('حضور ميخائيل'!$C$7:$C$36,$O114)),""))</f>
        <v/>
      </c>
      <c r="Q114" s="20" t="str">
        <f>IF($O114="","",IFERROR(CHOOSE(MATCH($F114,الإعدادات!$B$4:$B$7,0),INDEX('حضور سوريال'!$D$7:$D$36,$O114),INDEX('حضور غبريال'!$D$7:$D$36,$O114),INDEX('حضور رفائيل'!$D$7:$D$36,$O114),INDEX('حضور ميخائيل'!$D$7:$D$36,$O114)),""))</f>
        <v/>
      </c>
      <c r="R114" s="21" t="str">
        <f>IF($O114="","",IFERROR(CHOOSE(MATCH($F114,الإعدادات!$B$4:$B$7,0),INDEX('حضور سوريال'!$F$7:$F$36,$O114),INDEX('حضور غبريال'!$F$7:$F$36,$O114),INDEX('حضور رفائيل'!$F$7:$F$36,$O114),INDEX('حضور ميخائيل'!$F$7:$F$36,$O114)),""))</f>
        <v/>
      </c>
      <c r="S114" s="20" t="str">
        <f>IF($O114="","",IFERROR(CHOOSE(MATCH($F114,الإعدادات!$B$4:$B$7,0),INDEX('حضور سوريال'!$G$7:$G$36,$O114),INDEX('حضور غبريال'!$G$7:$G$36,$O114),INDEX('حضور رفائيل'!$G$7:$G$36,$O114),INDEX('حضور ميخائيل'!$G$7:$G$36,$O114)),""))</f>
        <v/>
      </c>
      <c r="T114" s="22" t="str">
        <f>IF($O114="","",IFERROR(CHOOSE(MATCH($F114,الإعدادات!$B$4:$B$7,0),INDEX('حضور سوريال'!$H$7:$H$36,$O114),INDEX('حضور غبريال'!$H$7:$H$36,$O114),INDEX('حضور رفائيل'!$H$7:$H$36,$O114),INDEX('حضور ميخائيل'!$H$7:$H$36,$O114)),""))</f>
        <v/>
      </c>
      <c r="U114" s="23" t="str">
        <f>IF($O114="","",IFERROR(CHOOSE(MATCH($F114,الإعدادات!$B$4:$B$7,0),INDEX('حضور سوريال'!$I$7:$I$36,$O114),INDEX('حضور غبريال'!$I$7:$I$36,$O114),INDEX('حضور رفائيل'!$I$7:$I$36,$O114),INDEX('حضور ميخائيل'!$I$7:$I$36,$O114)),""))</f>
        <v/>
      </c>
      <c r="V114" t="str">
        <f>IF($O114="","",IFERROR(CHOOSE(MATCH($F114,الإعدادات!$B$4:$B$7,0),INDEX('حضور سوريال'!$BM$7:$BM$36,$O114),INDEX('حضور غبريال'!$BM$7:$BM$36,$O114),INDEX('حضور رفائيل'!$BM$7:$BM$36,$O114),INDEX('حضور ميخائيل'!$BM$7:$BM$36,$O114)),""))</f>
        <v/>
      </c>
      <c r="W114" t="str">
        <f>IF(OR(V114=3,V114=4),COUNTIFS(V$6:V114,3)+COUNTIFS(V$6:V114,4),"")</f>
        <v/>
      </c>
    </row>
    <row r="115" spans="1:23" ht="25.5" customHeight="1">
      <c r="A115" s="13" t="str">
        <f t="shared" si="3"/>
        <v/>
      </c>
      <c r="B115" s="14" t="str">
        <f t="shared" si="4"/>
        <v/>
      </c>
      <c r="C115" s="15"/>
      <c r="D115" s="16"/>
      <c r="E115" s="16"/>
      <c r="F115" s="16"/>
      <c r="G115" s="16"/>
      <c r="H115" s="17"/>
      <c r="I115" s="17"/>
      <c r="J115" s="18"/>
      <c r="K115" s="16"/>
      <c r="L115" s="18"/>
      <c r="M115" s="16"/>
      <c r="N115" s="19" t="str">
        <f t="shared" si="5"/>
        <v/>
      </c>
      <c r="O115" s="19" t="str">
        <f>IF(OR(C115="",F115=""),"",COUNTIFS(F$6:F115,F115,C$6:C115,"&lt;&gt;"))</f>
        <v/>
      </c>
      <c r="P115" s="20" t="str">
        <f>IF($O115="","",IFERROR(CHOOSE(MATCH($F115,الإعدادات!$B$4:$B$7,0),INDEX('حضور سوريال'!$C$7:$C$36,$O115),INDEX('حضور غبريال'!$C$7:$C$36,$O115),INDEX('حضور رفائيل'!$C$7:$C$36,$O115),INDEX('حضور ميخائيل'!$C$7:$C$36,$O115)),""))</f>
        <v/>
      </c>
      <c r="Q115" s="20" t="str">
        <f>IF($O115="","",IFERROR(CHOOSE(MATCH($F115,الإعدادات!$B$4:$B$7,0),INDEX('حضور سوريال'!$D$7:$D$36,$O115),INDEX('حضور غبريال'!$D$7:$D$36,$O115),INDEX('حضور رفائيل'!$D$7:$D$36,$O115),INDEX('حضور ميخائيل'!$D$7:$D$36,$O115)),""))</f>
        <v/>
      </c>
      <c r="R115" s="21" t="str">
        <f>IF($O115="","",IFERROR(CHOOSE(MATCH($F115,الإعدادات!$B$4:$B$7,0),INDEX('حضور سوريال'!$F$7:$F$36,$O115),INDEX('حضور غبريال'!$F$7:$F$36,$O115),INDEX('حضور رفائيل'!$F$7:$F$36,$O115),INDEX('حضور ميخائيل'!$F$7:$F$36,$O115)),""))</f>
        <v/>
      </c>
      <c r="S115" s="20" t="str">
        <f>IF($O115="","",IFERROR(CHOOSE(MATCH($F115,الإعدادات!$B$4:$B$7,0),INDEX('حضور سوريال'!$G$7:$G$36,$O115),INDEX('حضور غبريال'!$G$7:$G$36,$O115),INDEX('حضور رفائيل'!$G$7:$G$36,$O115),INDEX('حضور ميخائيل'!$G$7:$G$36,$O115)),""))</f>
        <v/>
      </c>
      <c r="T115" s="22" t="str">
        <f>IF($O115="","",IFERROR(CHOOSE(MATCH($F115,الإعدادات!$B$4:$B$7,0),INDEX('حضور سوريال'!$H$7:$H$36,$O115),INDEX('حضور غبريال'!$H$7:$H$36,$O115),INDEX('حضور رفائيل'!$H$7:$H$36,$O115),INDEX('حضور ميخائيل'!$H$7:$H$36,$O115)),""))</f>
        <v/>
      </c>
      <c r="U115" s="23" t="str">
        <f>IF($O115="","",IFERROR(CHOOSE(MATCH($F115,الإعدادات!$B$4:$B$7,0),INDEX('حضور سوريال'!$I$7:$I$36,$O115),INDEX('حضور غبريال'!$I$7:$I$36,$O115),INDEX('حضور رفائيل'!$I$7:$I$36,$O115),INDEX('حضور ميخائيل'!$I$7:$I$36,$O115)),""))</f>
        <v/>
      </c>
      <c r="V115" t="str">
        <f>IF($O115="","",IFERROR(CHOOSE(MATCH($F115,الإعدادات!$B$4:$B$7,0),INDEX('حضور سوريال'!$BM$7:$BM$36,$O115),INDEX('حضور غبريال'!$BM$7:$BM$36,$O115),INDEX('حضور رفائيل'!$BM$7:$BM$36,$O115),INDEX('حضور ميخائيل'!$BM$7:$BM$36,$O115)),""))</f>
        <v/>
      </c>
      <c r="W115" t="str">
        <f>IF(OR(V115=3,V115=4),COUNTIFS(V$6:V115,3)+COUNTIFS(V$6:V115,4),"")</f>
        <v/>
      </c>
    </row>
    <row r="116" spans="1:23" ht="25.5" customHeight="1">
      <c r="A116" s="13" t="str">
        <f t="shared" si="3"/>
        <v/>
      </c>
      <c r="B116" s="14" t="str">
        <f t="shared" si="4"/>
        <v/>
      </c>
      <c r="C116" s="15"/>
      <c r="D116" s="16"/>
      <c r="E116" s="16"/>
      <c r="F116" s="16"/>
      <c r="G116" s="16"/>
      <c r="H116" s="17"/>
      <c r="I116" s="17"/>
      <c r="J116" s="18"/>
      <c r="K116" s="16"/>
      <c r="L116" s="18"/>
      <c r="M116" s="16"/>
      <c r="N116" s="19" t="str">
        <f t="shared" si="5"/>
        <v/>
      </c>
      <c r="O116" s="19" t="str">
        <f>IF(OR(C116="",F116=""),"",COUNTIFS(F$6:F116,F116,C$6:C116,"&lt;&gt;"))</f>
        <v/>
      </c>
      <c r="P116" s="20" t="str">
        <f>IF($O116="","",IFERROR(CHOOSE(MATCH($F116,الإعدادات!$B$4:$B$7,0),INDEX('حضور سوريال'!$C$7:$C$36,$O116),INDEX('حضور غبريال'!$C$7:$C$36,$O116),INDEX('حضور رفائيل'!$C$7:$C$36,$O116),INDEX('حضور ميخائيل'!$C$7:$C$36,$O116)),""))</f>
        <v/>
      </c>
      <c r="Q116" s="20" t="str">
        <f>IF($O116="","",IFERROR(CHOOSE(MATCH($F116,الإعدادات!$B$4:$B$7,0),INDEX('حضور سوريال'!$D$7:$D$36,$O116),INDEX('حضور غبريال'!$D$7:$D$36,$O116),INDEX('حضور رفائيل'!$D$7:$D$36,$O116),INDEX('حضور ميخائيل'!$D$7:$D$36,$O116)),""))</f>
        <v/>
      </c>
      <c r="R116" s="21" t="str">
        <f>IF($O116="","",IFERROR(CHOOSE(MATCH($F116,الإعدادات!$B$4:$B$7,0),INDEX('حضور سوريال'!$F$7:$F$36,$O116),INDEX('حضور غبريال'!$F$7:$F$36,$O116),INDEX('حضور رفائيل'!$F$7:$F$36,$O116),INDEX('حضور ميخائيل'!$F$7:$F$36,$O116)),""))</f>
        <v/>
      </c>
      <c r="S116" s="20" t="str">
        <f>IF($O116="","",IFERROR(CHOOSE(MATCH($F116,الإعدادات!$B$4:$B$7,0),INDEX('حضور سوريال'!$G$7:$G$36,$O116),INDEX('حضور غبريال'!$G$7:$G$36,$O116),INDEX('حضور رفائيل'!$G$7:$G$36,$O116),INDEX('حضور ميخائيل'!$G$7:$G$36,$O116)),""))</f>
        <v/>
      </c>
      <c r="T116" s="22" t="str">
        <f>IF($O116="","",IFERROR(CHOOSE(MATCH($F116,الإعدادات!$B$4:$B$7,0),INDEX('حضور سوريال'!$H$7:$H$36,$O116),INDEX('حضور غبريال'!$H$7:$H$36,$O116),INDEX('حضور رفائيل'!$H$7:$H$36,$O116),INDEX('حضور ميخائيل'!$H$7:$H$36,$O116)),""))</f>
        <v/>
      </c>
      <c r="U116" s="23" t="str">
        <f>IF($O116="","",IFERROR(CHOOSE(MATCH($F116,الإعدادات!$B$4:$B$7,0),INDEX('حضور سوريال'!$I$7:$I$36,$O116),INDEX('حضور غبريال'!$I$7:$I$36,$O116),INDEX('حضور رفائيل'!$I$7:$I$36,$O116),INDEX('حضور ميخائيل'!$I$7:$I$36,$O116)),""))</f>
        <v/>
      </c>
      <c r="V116" t="str">
        <f>IF($O116="","",IFERROR(CHOOSE(MATCH($F116,الإعدادات!$B$4:$B$7,0),INDEX('حضور سوريال'!$BM$7:$BM$36,$O116),INDEX('حضور غبريال'!$BM$7:$BM$36,$O116),INDEX('حضور رفائيل'!$BM$7:$BM$36,$O116),INDEX('حضور ميخائيل'!$BM$7:$BM$36,$O116)),""))</f>
        <v/>
      </c>
      <c r="W116" t="str">
        <f>IF(OR(V116=3,V116=4),COUNTIFS(V$6:V116,3)+COUNTIFS(V$6:V116,4),"")</f>
        <v/>
      </c>
    </row>
    <row r="117" spans="1:23" ht="25.5" customHeight="1">
      <c r="A117" s="13" t="str">
        <f t="shared" si="3"/>
        <v/>
      </c>
      <c r="B117" s="14" t="str">
        <f t="shared" si="4"/>
        <v/>
      </c>
      <c r="C117" s="15"/>
      <c r="D117" s="16"/>
      <c r="E117" s="16"/>
      <c r="F117" s="16"/>
      <c r="G117" s="16"/>
      <c r="H117" s="17"/>
      <c r="I117" s="17"/>
      <c r="J117" s="18"/>
      <c r="K117" s="16"/>
      <c r="L117" s="18"/>
      <c r="M117" s="16"/>
      <c r="N117" s="19" t="str">
        <f t="shared" si="5"/>
        <v/>
      </c>
      <c r="O117" s="19" t="str">
        <f>IF(OR(C117="",F117=""),"",COUNTIFS(F$6:F117,F117,C$6:C117,"&lt;&gt;"))</f>
        <v/>
      </c>
      <c r="P117" s="20" t="str">
        <f>IF($O117="","",IFERROR(CHOOSE(MATCH($F117,الإعدادات!$B$4:$B$7,0),INDEX('حضور سوريال'!$C$7:$C$36,$O117),INDEX('حضور غبريال'!$C$7:$C$36,$O117),INDEX('حضور رفائيل'!$C$7:$C$36,$O117),INDEX('حضور ميخائيل'!$C$7:$C$36,$O117)),""))</f>
        <v/>
      </c>
      <c r="Q117" s="20" t="str">
        <f>IF($O117="","",IFERROR(CHOOSE(MATCH($F117,الإعدادات!$B$4:$B$7,0),INDEX('حضور سوريال'!$D$7:$D$36,$O117),INDEX('حضور غبريال'!$D$7:$D$36,$O117),INDEX('حضور رفائيل'!$D$7:$D$36,$O117),INDEX('حضور ميخائيل'!$D$7:$D$36,$O117)),""))</f>
        <v/>
      </c>
      <c r="R117" s="21" t="str">
        <f>IF($O117="","",IFERROR(CHOOSE(MATCH($F117,الإعدادات!$B$4:$B$7,0),INDEX('حضور سوريال'!$F$7:$F$36,$O117),INDEX('حضور غبريال'!$F$7:$F$36,$O117),INDEX('حضور رفائيل'!$F$7:$F$36,$O117),INDEX('حضور ميخائيل'!$F$7:$F$36,$O117)),""))</f>
        <v/>
      </c>
      <c r="S117" s="20" t="str">
        <f>IF($O117="","",IFERROR(CHOOSE(MATCH($F117,الإعدادات!$B$4:$B$7,0),INDEX('حضور سوريال'!$G$7:$G$36,$O117),INDEX('حضور غبريال'!$G$7:$G$36,$O117),INDEX('حضور رفائيل'!$G$7:$G$36,$O117),INDEX('حضور ميخائيل'!$G$7:$G$36,$O117)),""))</f>
        <v/>
      </c>
      <c r="T117" s="22" t="str">
        <f>IF($O117="","",IFERROR(CHOOSE(MATCH($F117,الإعدادات!$B$4:$B$7,0),INDEX('حضور سوريال'!$H$7:$H$36,$O117),INDEX('حضور غبريال'!$H$7:$H$36,$O117),INDEX('حضور رفائيل'!$H$7:$H$36,$O117),INDEX('حضور ميخائيل'!$H$7:$H$36,$O117)),""))</f>
        <v/>
      </c>
      <c r="U117" s="23" t="str">
        <f>IF($O117="","",IFERROR(CHOOSE(MATCH($F117,الإعدادات!$B$4:$B$7,0),INDEX('حضور سوريال'!$I$7:$I$36,$O117),INDEX('حضور غبريال'!$I$7:$I$36,$O117),INDEX('حضور رفائيل'!$I$7:$I$36,$O117),INDEX('حضور ميخائيل'!$I$7:$I$36,$O117)),""))</f>
        <v/>
      </c>
      <c r="V117" t="str">
        <f>IF($O117="","",IFERROR(CHOOSE(MATCH($F117,الإعدادات!$B$4:$B$7,0),INDEX('حضور سوريال'!$BM$7:$BM$36,$O117),INDEX('حضور غبريال'!$BM$7:$BM$36,$O117),INDEX('حضور رفائيل'!$BM$7:$BM$36,$O117),INDEX('حضور ميخائيل'!$BM$7:$BM$36,$O117)),""))</f>
        <v/>
      </c>
      <c r="W117" t="str">
        <f>IF(OR(V117=3,V117=4),COUNTIFS(V$6:V117,3)+COUNTIFS(V$6:V117,4),"")</f>
        <v/>
      </c>
    </row>
    <row r="118" spans="1:23" ht="25.5" customHeight="1">
      <c r="A118" s="13" t="str">
        <f t="shared" si="3"/>
        <v/>
      </c>
      <c r="B118" s="14" t="str">
        <f t="shared" si="4"/>
        <v/>
      </c>
      <c r="C118" s="15"/>
      <c r="D118" s="16"/>
      <c r="E118" s="16"/>
      <c r="F118" s="16"/>
      <c r="G118" s="16"/>
      <c r="H118" s="17"/>
      <c r="I118" s="17"/>
      <c r="J118" s="18"/>
      <c r="K118" s="16"/>
      <c r="L118" s="18"/>
      <c r="M118" s="16"/>
      <c r="N118" s="19" t="str">
        <f t="shared" si="5"/>
        <v/>
      </c>
      <c r="O118" s="19" t="str">
        <f>IF(OR(C118="",F118=""),"",COUNTIFS(F$6:F118,F118,C$6:C118,"&lt;&gt;"))</f>
        <v/>
      </c>
      <c r="P118" s="20" t="str">
        <f>IF($O118="","",IFERROR(CHOOSE(MATCH($F118,الإعدادات!$B$4:$B$7,0),INDEX('حضور سوريال'!$C$7:$C$36,$O118),INDEX('حضور غبريال'!$C$7:$C$36,$O118),INDEX('حضور رفائيل'!$C$7:$C$36,$O118),INDEX('حضور ميخائيل'!$C$7:$C$36,$O118)),""))</f>
        <v/>
      </c>
      <c r="Q118" s="20" t="str">
        <f>IF($O118="","",IFERROR(CHOOSE(MATCH($F118,الإعدادات!$B$4:$B$7,0),INDEX('حضور سوريال'!$D$7:$D$36,$O118),INDEX('حضور غبريال'!$D$7:$D$36,$O118),INDEX('حضور رفائيل'!$D$7:$D$36,$O118),INDEX('حضور ميخائيل'!$D$7:$D$36,$O118)),""))</f>
        <v/>
      </c>
      <c r="R118" s="21" t="str">
        <f>IF($O118="","",IFERROR(CHOOSE(MATCH($F118,الإعدادات!$B$4:$B$7,0),INDEX('حضور سوريال'!$F$7:$F$36,$O118),INDEX('حضور غبريال'!$F$7:$F$36,$O118),INDEX('حضور رفائيل'!$F$7:$F$36,$O118),INDEX('حضور ميخائيل'!$F$7:$F$36,$O118)),""))</f>
        <v/>
      </c>
      <c r="S118" s="20" t="str">
        <f>IF($O118="","",IFERROR(CHOOSE(MATCH($F118,الإعدادات!$B$4:$B$7,0),INDEX('حضور سوريال'!$G$7:$G$36,$O118),INDEX('حضور غبريال'!$G$7:$G$36,$O118),INDEX('حضور رفائيل'!$G$7:$G$36,$O118),INDEX('حضور ميخائيل'!$G$7:$G$36,$O118)),""))</f>
        <v/>
      </c>
      <c r="T118" s="22" t="str">
        <f>IF($O118="","",IFERROR(CHOOSE(MATCH($F118,الإعدادات!$B$4:$B$7,0),INDEX('حضور سوريال'!$H$7:$H$36,$O118),INDEX('حضور غبريال'!$H$7:$H$36,$O118),INDEX('حضور رفائيل'!$H$7:$H$36,$O118),INDEX('حضور ميخائيل'!$H$7:$H$36,$O118)),""))</f>
        <v/>
      </c>
      <c r="U118" s="23" t="str">
        <f>IF($O118="","",IFERROR(CHOOSE(MATCH($F118,الإعدادات!$B$4:$B$7,0),INDEX('حضور سوريال'!$I$7:$I$36,$O118),INDEX('حضور غبريال'!$I$7:$I$36,$O118),INDEX('حضور رفائيل'!$I$7:$I$36,$O118),INDEX('حضور ميخائيل'!$I$7:$I$36,$O118)),""))</f>
        <v/>
      </c>
      <c r="V118" t="str">
        <f>IF($O118="","",IFERROR(CHOOSE(MATCH($F118,الإعدادات!$B$4:$B$7,0),INDEX('حضور سوريال'!$BM$7:$BM$36,$O118),INDEX('حضور غبريال'!$BM$7:$BM$36,$O118),INDEX('حضور رفائيل'!$BM$7:$BM$36,$O118),INDEX('حضور ميخائيل'!$BM$7:$BM$36,$O118)),""))</f>
        <v/>
      </c>
      <c r="W118" t="str">
        <f>IF(OR(V118=3,V118=4),COUNTIFS(V$6:V118,3)+COUNTIFS(V$6:V118,4),"")</f>
        <v/>
      </c>
    </row>
    <row r="119" spans="1:23" ht="25.5" customHeight="1">
      <c r="A119" s="13" t="str">
        <f t="shared" si="3"/>
        <v/>
      </c>
      <c r="B119" s="14" t="str">
        <f t="shared" si="4"/>
        <v/>
      </c>
      <c r="C119" s="15"/>
      <c r="D119" s="16"/>
      <c r="E119" s="16"/>
      <c r="F119" s="16"/>
      <c r="G119" s="16"/>
      <c r="H119" s="17"/>
      <c r="I119" s="17"/>
      <c r="J119" s="18"/>
      <c r="K119" s="16"/>
      <c r="L119" s="18"/>
      <c r="M119" s="16"/>
      <c r="N119" s="19" t="str">
        <f t="shared" si="5"/>
        <v/>
      </c>
      <c r="O119" s="19" t="str">
        <f>IF(OR(C119="",F119=""),"",COUNTIFS(F$6:F119,F119,C$6:C119,"&lt;&gt;"))</f>
        <v/>
      </c>
      <c r="P119" s="20" t="str">
        <f>IF($O119="","",IFERROR(CHOOSE(MATCH($F119,الإعدادات!$B$4:$B$7,0),INDEX('حضور سوريال'!$C$7:$C$36,$O119),INDEX('حضور غبريال'!$C$7:$C$36,$O119),INDEX('حضور رفائيل'!$C$7:$C$36,$O119),INDEX('حضور ميخائيل'!$C$7:$C$36,$O119)),""))</f>
        <v/>
      </c>
      <c r="Q119" s="20" t="str">
        <f>IF($O119="","",IFERROR(CHOOSE(MATCH($F119,الإعدادات!$B$4:$B$7,0),INDEX('حضور سوريال'!$D$7:$D$36,$O119),INDEX('حضور غبريال'!$D$7:$D$36,$O119),INDEX('حضور رفائيل'!$D$7:$D$36,$O119),INDEX('حضور ميخائيل'!$D$7:$D$36,$O119)),""))</f>
        <v/>
      </c>
      <c r="R119" s="21" t="str">
        <f>IF($O119="","",IFERROR(CHOOSE(MATCH($F119,الإعدادات!$B$4:$B$7,0),INDEX('حضور سوريال'!$F$7:$F$36,$O119),INDEX('حضور غبريال'!$F$7:$F$36,$O119),INDEX('حضور رفائيل'!$F$7:$F$36,$O119),INDEX('حضور ميخائيل'!$F$7:$F$36,$O119)),""))</f>
        <v/>
      </c>
      <c r="S119" s="20" t="str">
        <f>IF($O119="","",IFERROR(CHOOSE(MATCH($F119,الإعدادات!$B$4:$B$7,0),INDEX('حضور سوريال'!$G$7:$G$36,$O119),INDEX('حضور غبريال'!$G$7:$G$36,$O119),INDEX('حضور رفائيل'!$G$7:$G$36,$O119),INDEX('حضور ميخائيل'!$G$7:$G$36,$O119)),""))</f>
        <v/>
      </c>
      <c r="T119" s="22" t="str">
        <f>IF($O119="","",IFERROR(CHOOSE(MATCH($F119,الإعدادات!$B$4:$B$7,0),INDEX('حضور سوريال'!$H$7:$H$36,$O119),INDEX('حضور غبريال'!$H$7:$H$36,$O119),INDEX('حضور رفائيل'!$H$7:$H$36,$O119),INDEX('حضور ميخائيل'!$H$7:$H$36,$O119)),""))</f>
        <v/>
      </c>
      <c r="U119" s="23" t="str">
        <f>IF($O119="","",IFERROR(CHOOSE(MATCH($F119,الإعدادات!$B$4:$B$7,0),INDEX('حضور سوريال'!$I$7:$I$36,$O119),INDEX('حضور غبريال'!$I$7:$I$36,$O119),INDEX('حضور رفائيل'!$I$7:$I$36,$O119),INDEX('حضور ميخائيل'!$I$7:$I$36,$O119)),""))</f>
        <v/>
      </c>
      <c r="V119" t="str">
        <f>IF($O119="","",IFERROR(CHOOSE(MATCH($F119,الإعدادات!$B$4:$B$7,0),INDEX('حضور سوريال'!$BM$7:$BM$36,$O119),INDEX('حضور غبريال'!$BM$7:$BM$36,$O119),INDEX('حضور رفائيل'!$BM$7:$BM$36,$O119),INDEX('حضور ميخائيل'!$BM$7:$BM$36,$O119)),""))</f>
        <v/>
      </c>
      <c r="W119" t="str">
        <f>IF(OR(V119=3,V119=4),COUNTIFS(V$6:V119,3)+COUNTIFS(V$6:V119,4),"")</f>
        <v/>
      </c>
    </row>
    <row r="120" spans="1:23" ht="25.5" customHeight="1">
      <c r="A120" s="13" t="str">
        <f t="shared" si="3"/>
        <v/>
      </c>
      <c r="B120" s="14" t="str">
        <f t="shared" si="4"/>
        <v/>
      </c>
      <c r="C120" s="15"/>
      <c r="D120" s="16"/>
      <c r="E120" s="16"/>
      <c r="F120" s="16"/>
      <c r="G120" s="16"/>
      <c r="H120" s="17"/>
      <c r="I120" s="17"/>
      <c r="J120" s="18"/>
      <c r="K120" s="16"/>
      <c r="L120" s="18"/>
      <c r="M120" s="16"/>
      <c r="N120" s="19" t="str">
        <f t="shared" si="5"/>
        <v/>
      </c>
      <c r="O120" s="19" t="str">
        <f>IF(OR(C120="",F120=""),"",COUNTIFS(F$6:F120,F120,C$6:C120,"&lt;&gt;"))</f>
        <v/>
      </c>
      <c r="P120" s="20" t="str">
        <f>IF($O120="","",IFERROR(CHOOSE(MATCH($F120,الإعدادات!$B$4:$B$7,0),INDEX('حضور سوريال'!$C$7:$C$36,$O120),INDEX('حضور غبريال'!$C$7:$C$36,$O120),INDEX('حضور رفائيل'!$C$7:$C$36,$O120),INDEX('حضور ميخائيل'!$C$7:$C$36,$O120)),""))</f>
        <v/>
      </c>
      <c r="Q120" s="20" t="str">
        <f>IF($O120="","",IFERROR(CHOOSE(MATCH($F120,الإعدادات!$B$4:$B$7,0),INDEX('حضور سوريال'!$D$7:$D$36,$O120),INDEX('حضور غبريال'!$D$7:$D$36,$O120),INDEX('حضور رفائيل'!$D$7:$D$36,$O120),INDEX('حضور ميخائيل'!$D$7:$D$36,$O120)),""))</f>
        <v/>
      </c>
      <c r="R120" s="21" t="str">
        <f>IF($O120="","",IFERROR(CHOOSE(MATCH($F120,الإعدادات!$B$4:$B$7,0),INDEX('حضور سوريال'!$F$7:$F$36,$O120),INDEX('حضور غبريال'!$F$7:$F$36,$O120),INDEX('حضور رفائيل'!$F$7:$F$36,$O120),INDEX('حضور ميخائيل'!$F$7:$F$36,$O120)),""))</f>
        <v/>
      </c>
      <c r="S120" s="20" t="str">
        <f>IF($O120="","",IFERROR(CHOOSE(MATCH($F120,الإعدادات!$B$4:$B$7,0),INDEX('حضور سوريال'!$G$7:$G$36,$O120),INDEX('حضور غبريال'!$G$7:$G$36,$O120),INDEX('حضور رفائيل'!$G$7:$G$36,$O120),INDEX('حضور ميخائيل'!$G$7:$G$36,$O120)),""))</f>
        <v/>
      </c>
      <c r="T120" s="22" t="str">
        <f>IF($O120="","",IFERROR(CHOOSE(MATCH($F120,الإعدادات!$B$4:$B$7,0),INDEX('حضور سوريال'!$H$7:$H$36,$O120),INDEX('حضور غبريال'!$H$7:$H$36,$O120),INDEX('حضور رفائيل'!$H$7:$H$36,$O120),INDEX('حضور ميخائيل'!$H$7:$H$36,$O120)),""))</f>
        <v/>
      </c>
      <c r="U120" s="23" t="str">
        <f>IF($O120="","",IFERROR(CHOOSE(MATCH($F120,الإعدادات!$B$4:$B$7,0),INDEX('حضور سوريال'!$I$7:$I$36,$O120),INDEX('حضور غبريال'!$I$7:$I$36,$O120),INDEX('حضور رفائيل'!$I$7:$I$36,$O120),INDEX('حضور ميخائيل'!$I$7:$I$36,$O120)),""))</f>
        <v/>
      </c>
      <c r="V120" t="str">
        <f>IF($O120="","",IFERROR(CHOOSE(MATCH($F120,الإعدادات!$B$4:$B$7,0),INDEX('حضور سوريال'!$BM$7:$BM$36,$O120),INDEX('حضور غبريال'!$BM$7:$BM$36,$O120),INDEX('حضور رفائيل'!$BM$7:$BM$36,$O120),INDEX('حضور ميخائيل'!$BM$7:$BM$36,$O120)),""))</f>
        <v/>
      </c>
      <c r="W120" t="str">
        <f>IF(OR(V120=3,V120=4),COUNTIFS(V$6:V120,3)+COUNTIFS(V$6:V120,4),"")</f>
        <v/>
      </c>
    </row>
    <row r="121" spans="1:23" ht="25.5" customHeight="1">
      <c r="A121" s="13" t="str">
        <f t="shared" si="3"/>
        <v/>
      </c>
      <c r="B121" s="14" t="str">
        <f t="shared" si="4"/>
        <v/>
      </c>
      <c r="C121" s="15"/>
      <c r="D121" s="16"/>
      <c r="E121" s="16"/>
      <c r="F121" s="16"/>
      <c r="G121" s="16"/>
      <c r="H121" s="17"/>
      <c r="I121" s="17"/>
      <c r="J121" s="18"/>
      <c r="K121" s="16"/>
      <c r="L121" s="18"/>
      <c r="M121" s="16"/>
      <c r="N121" s="19" t="str">
        <f t="shared" si="5"/>
        <v/>
      </c>
      <c r="O121" s="19" t="str">
        <f>IF(OR(C121="",F121=""),"",COUNTIFS(F$6:F121,F121,C$6:C121,"&lt;&gt;"))</f>
        <v/>
      </c>
      <c r="P121" s="20" t="str">
        <f>IF($O121="","",IFERROR(CHOOSE(MATCH($F121,الإعدادات!$B$4:$B$7,0),INDEX('حضور سوريال'!$C$7:$C$36,$O121),INDEX('حضور غبريال'!$C$7:$C$36,$O121),INDEX('حضور رفائيل'!$C$7:$C$36,$O121),INDEX('حضور ميخائيل'!$C$7:$C$36,$O121)),""))</f>
        <v/>
      </c>
      <c r="Q121" s="20" t="str">
        <f>IF($O121="","",IFERROR(CHOOSE(MATCH($F121,الإعدادات!$B$4:$B$7,0),INDEX('حضور سوريال'!$D$7:$D$36,$O121),INDEX('حضور غبريال'!$D$7:$D$36,$O121),INDEX('حضور رفائيل'!$D$7:$D$36,$O121),INDEX('حضور ميخائيل'!$D$7:$D$36,$O121)),""))</f>
        <v/>
      </c>
      <c r="R121" s="21" t="str">
        <f>IF($O121="","",IFERROR(CHOOSE(MATCH($F121,الإعدادات!$B$4:$B$7,0),INDEX('حضور سوريال'!$F$7:$F$36,$O121),INDEX('حضور غبريال'!$F$7:$F$36,$O121),INDEX('حضور رفائيل'!$F$7:$F$36,$O121),INDEX('حضور ميخائيل'!$F$7:$F$36,$O121)),""))</f>
        <v/>
      </c>
      <c r="S121" s="20" t="str">
        <f>IF($O121="","",IFERROR(CHOOSE(MATCH($F121,الإعدادات!$B$4:$B$7,0),INDEX('حضور سوريال'!$G$7:$G$36,$O121),INDEX('حضور غبريال'!$G$7:$G$36,$O121),INDEX('حضور رفائيل'!$G$7:$G$36,$O121),INDEX('حضور ميخائيل'!$G$7:$G$36,$O121)),""))</f>
        <v/>
      </c>
      <c r="T121" s="22" t="str">
        <f>IF($O121="","",IFERROR(CHOOSE(MATCH($F121,الإعدادات!$B$4:$B$7,0),INDEX('حضور سوريال'!$H$7:$H$36,$O121),INDEX('حضور غبريال'!$H$7:$H$36,$O121),INDEX('حضور رفائيل'!$H$7:$H$36,$O121),INDEX('حضور ميخائيل'!$H$7:$H$36,$O121)),""))</f>
        <v/>
      </c>
      <c r="U121" s="23" t="str">
        <f>IF($O121="","",IFERROR(CHOOSE(MATCH($F121,الإعدادات!$B$4:$B$7,0),INDEX('حضور سوريال'!$I$7:$I$36,$O121),INDEX('حضور غبريال'!$I$7:$I$36,$O121),INDEX('حضور رفائيل'!$I$7:$I$36,$O121),INDEX('حضور ميخائيل'!$I$7:$I$36,$O121)),""))</f>
        <v/>
      </c>
      <c r="V121" t="str">
        <f>IF($O121="","",IFERROR(CHOOSE(MATCH($F121,الإعدادات!$B$4:$B$7,0),INDEX('حضور سوريال'!$BM$7:$BM$36,$O121),INDEX('حضور غبريال'!$BM$7:$BM$36,$O121),INDEX('حضور رفائيل'!$BM$7:$BM$36,$O121),INDEX('حضور ميخائيل'!$BM$7:$BM$36,$O121)),""))</f>
        <v/>
      </c>
      <c r="W121" t="str">
        <f>IF(OR(V121=3,V121=4),COUNTIFS(V$6:V121,3)+COUNTIFS(V$6:V121,4),"")</f>
        <v/>
      </c>
    </row>
    <row r="122" spans="1:23" ht="25.5" customHeight="1">
      <c r="A122" s="13" t="str">
        <f t="shared" si="3"/>
        <v/>
      </c>
      <c r="B122" s="14" t="str">
        <f t="shared" si="4"/>
        <v/>
      </c>
      <c r="C122" s="15"/>
      <c r="D122" s="16"/>
      <c r="E122" s="16"/>
      <c r="F122" s="16"/>
      <c r="G122" s="16"/>
      <c r="H122" s="17"/>
      <c r="I122" s="17"/>
      <c r="J122" s="18"/>
      <c r="K122" s="16"/>
      <c r="L122" s="18"/>
      <c r="M122" s="16"/>
      <c r="N122" s="19" t="str">
        <f t="shared" si="5"/>
        <v/>
      </c>
      <c r="O122" s="19" t="str">
        <f>IF(OR(C122="",F122=""),"",COUNTIFS(F$6:F122,F122,C$6:C122,"&lt;&gt;"))</f>
        <v/>
      </c>
      <c r="P122" s="20" t="str">
        <f>IF($O122="","",IFERROR(CHOOSE(MATCH($F122,الإعدادات!$B$4:$B$7,0),INDEX('حضور سوريال'!$C$7:$C$36,$O122),INDEX('حضور غبريال'!$C$7:$C$36,$O122),INDEX('حضور رفائيل'!$C$7:$C$36,$O122),INDEX('حضور ميخائيل'!$C$7:$C$36,$O122)),""))</f>
        <v/>
      </c>
      <c r="Q122" s="20" t="str">
        <f>IF($O122="","",IFERROR(CHOOSE(MATCH($F122,الإعدادات!$B$4:$B$7,0),INDEX('حضور سوريال'!$D$7:$D$36,$O122),INDEX('حضور غبريال'!$D$7:$D$36,$O122),INDEX('حضور رفائيل'!$D$7:$D$36,$O122),INDEX('حضور ميخائيل'!$D$7:$D$36,$O122)),""))</f>
        <v/>
      </c>
      <c r="R122" s="21" t="str">
        <f>IF($O122="","",IFERROR(CHOOSE(MATCH($F122,الإعدادات!$B$4:$B$7,0),INDEX('حضور سوريال'!$F$7:$F$36,$O122),INDEX('حضور غبريال'!$F$7:$F$36,$O122),INDEX('حضور رفائيل'!$F$7:$F$36,$O122),INDEX('حضور ميخائيل'!$F$7:$F$36,$O122)),""))</f>
        <v/>
      </c>
      <c r="S122" s="20" t="str">
        <f>IF($O122="","",IFERROR(CHOOSE(MATCH($F122,الإعدادات!$B$4:$B$7,0),INDEX('حضور سوريال'!$G$7:$G$36,$O122),INDEX('حضور غبريال'!$G$7:$G$36,$O122),INDEX('حضور رفائيل'!$G$7:$G$36,$O122),INDEX('حضور ميخائيل'!$G$7:$G$36,$O122)),""))</f>
        <v/>
      </c>
      <c r="T122" s="22" t="str">
        <f>IF($O122="","",IFERROR(CHOOSE(MATCH($F122,الإعدادات!$B$4:$B$7,0),INDEX('حضور سوريال'!$H$7:$H$36,$O122),INDEX('حضور غبريال'!$H$7:$H$36,$O122),INDEX('حضور رفائيل'!$H$7:$H$36,$O122),INDEX('حضور ميخائيل'!$H$7:$H$36,$O122)),""))</f>
        <v/>
      </c>
      <c r="U122" s="23" t="str">
        <f>IF($O122="","",IFERROR(CHOOSE(MATCH($F122,الإعدادات!$B$4:$B$7,0),INDEX('حضور سوريال'!$I$7:$I$36,$O122),INDEX('حضور غبريال'!$I$7:$I$36,$O122),INDEX('حضور رفائيل'!$I$7:$I$36,$O122),INDEX('حضور ميخائيل'!$I$7:$I$36,$O122)),""))</f>
        <v/>
      </c>
      <c r="V122" t="str">
        <f>IF($O122="","",IFERROR(CHOOSE(MATCH($F122,الإعدادات!$B$4:$B$7,0),INDEX('حضور سوريال'!$BM$7:$BM$36,$O122),INDEX('حضور غبريال'!$BM$7:$BM$36,$O122),INDEX('حضور رفائيل'!$BM$7:$BM$36,$O122),INDEX('حضور ميخائيل'!$BM$7:$BM$36,$O122)),""))</f>
        <v/>
      </c>
      <c r="W122" t="str">
        <f>IF(OR(V122=3,V122=4),COUNTIFS(V$6:V122,3)+COUNTIFS(V$6:V122,4),"")</f>
        <v/>
      </c>
    </row>
    <row r="123" spans="1:23" ht="25.5" customHeight="1">
      <c r="A123" s="13" t="str">
        <f t="shared" si="3"/>
        <v/>
      </c>
      <c r="B123" s="14" t="str">
        <f t="shared" si="4"/>
        <v/>
      </c>
      <c r="C123" s="15"/>
      <c r="D123" s="16"/>
      <c r="E123" s="16"/>
      <c r="F123" s="16"/>
      <c r="G123" s="16"/>
      <c r="H123" s="17"/>
      <c r="I123" s="17"/>
      <c r="J123" s="18"/>
      <c r="K123" s="16"/>
      <c r="L123" s="18"/>
      <c r="M123" s="16"/>
      <c r="N123" s="19" t="str">
        <f t="shared" si="5"/>
        <v/>
      </c>
      <c r="O123" s="19" t="str">
        <f>IF(OR(C123="",F123=""),"",COUNTIFS(F$6:F123,F123,C$6:C123,"&lt;&gt;"))</f>
        <v/>
      </c>
      <c r="P123" s="20" t="str">
        <f>IF($O123="","",IFERROR(CHOOSE(MATCH($F123,الإعدادات!$B$4:$B$7,0),INDEX('حضور سوريال'!$C$7:$C$36,$O123),INDEX('حضور غبريال'!$C$7:$C$36,$O123),INDEX('حضور رفائيل'!$C$7:$C$36,$O123),INDEX('حضور ميخائيل'!$C$7:$C$36,$O123)),""))</f>
        <v/>
      </c>
      <c r="Q123" s="20" t="str">
        <f>IF($O123="","",IFERROR(CHOOSE(MATCH($F123,الإعدادات!$B$4:$B$7,0),INDEX('حضور سوريال'!$D$7:$D$36,$O123),INDEX('حضور غبريال'!$D$7:$D$36,$O123),INDEX('حضور رفائيل'!$D$7:$D$36,$O123),INDEX('حضور ميخائيل'!$D$7:$D$36,$O123)),""))</f>
        <v/>
      </c>
      <c r="R123" s="21" t="str">
        <f>IF($O123="","",IFERROR(CHOOSE(MATCH($F123,الإعدادات!$B$4:$B$7,0),INDEX('حضور سوريال'!$F$7:$F$36,$O123),INDEX('حضور غبريال'!$F$7:$F$36,$O123),INDEX('حضور رفائيل'!$F$7:$F$36,$O123),INDEX('حضور ميخائيل'!$F$7:$F$36,$O123)),""))</f>
        <v/>
      </c>
      <c r="S123" s="20" t="str">
        <f>IF($O123="","",IFERROR(CHOOSE(MATCH($F123,الإعدادات!$B$4:$B$7,0),INDEX('حضور سوريال'!$G$7:$G$36,$O123),INDEX('حضور غبريال'!$G$7:$G$36,$O123),INDEX('حضور رفائيل'!$G$7:$G$36,$O123),INDEX('حضور ميخائيل'!$G$7:$G$36,$O123)),""))</f>
        <v/>
      </c>
      <c r="T123" s="22" t="str">
        <f>IF($O123="","",IFERROR(CHOOSE(MATCH($F123,الإعدادات!$B$4:$B$7,0),INDEX('حضور سوريال'!$H$7:$H$36,$O123),INDEX('حضور غبريال'!$H$7:$H$36,$O123),INDEX('حضور رفائيل'!$H$7:$H$36,$O123),INDEX('حضور ميخائيل'!$H$7:$H$36,$O123)),""))</f>
        <v/>
      </c>
      <c r="U123" s="23" t="str">
        <f>IF($O123="","",IFERROR(CHOOSE(MATCH($F123,الإعدادات!$B$4:$B$7,0),INDEX('حضور سوريال'!$I$7:$I$36,$O123),INDEX('حضور غبريال'!$I$7:$I$36,$O123),INDEX('حضور رفائيل'!$I$7:$I$36,$O123),INDEX('حضور ميخائيل'!$I$7:$I$36,$O123)),""))</f>
        <v/>
      </c>
      <c r="V123" t="str">
        <f>IF($O123="","",IFERROR(CHOOSE(MATCH($F123,الإعدادات!$B$4:$B$7,0),INDEX('حضور سوريال'!$BM$7:$BM$36,$O123),INDEX('حضور غبريال'!$BM$7:$BM$36,$O123),INDEX('حضور رفائيل'!$BM$7:$BM$36,$O123),INDEX('حضور ميخائيل'!$BM$7:$BM$36,$O123)),""))</f>
        <v/>
      </c>
      <c r="W123" t="str">
        <f>IF(OR(V123=3,V123=4),COUNTIFS(V$6:V123,3)+COUNTIFS(V$6:V123,4),"")</f>
        <v/>
      </c>
    </row>
    <row r="124" spans="1:23" ht="25.5" customHeight="1">
      <c r="A124" s="13" t="str">
        <f t="shared" si="3"/>
        <v/>
      </c>
      <c r="B124" s="14" t="str">
        <f t="shared" si="4"/>
        <v/>
      </c>
      <c r="C124" s="15"/>
      <c r="D124" s="16"/>
      <c r="E124" s="16"/>
      <c r="F124" s="16"/>
      <c r="G124" s="16"/>
      <c r="H124" s="17"/>
      <c r="I124" s="17"/>
      <c r="J124" s="18"/>
      <c r="K124" s="16"/>
      <c r="L124" s="18"/>
      <c r="M124" s="16"/>
      <c r="N124" s="19" t="str">
        <f t="shared" si="5"/>
        <v/>
      </c>
      <c r="O124" s="19" t="str">
        <f>IF(OR(C124="",F124=""),"",COUNTIFS(F$6:F124,F124,C$6:C124,"&lt;&gt;"))</f>
        <v/>
      </c>
      <c r="P124" s="20" t="str">
        <f>IF($O124="","",IFERROR(CHOOSE(MATCH($F124,الإعدادات!$B$4:$B$7,0),INDEX('حضور سوريال'!$C$7:$C$36,$O124),INDEX('حضور غبريال'!$C$7:$C$36,$O124),INDEX('حضور رفائيل'!$C$7:$C$36,$O124),INDEX('حضور ميخائيل'!$C$7:$C$36,$O124)),""))</f>
        <v/>
      </c>
      <c r="Q124" s="20" t="str">
        <f>IF($O124="","",IFERROR(CHOOSE(MATCH($F124,الإعدادات!$B$4:$B$7,0),INDEX('حضور سوريال'!$D$7:$D$36,$O124),INDEX('حضور غبريال'!$D$7:$D$36,$O124),INDEX('حضور رفائيل'!$D$7:$D$36,$O124),INDEX('حضور ميخائيل'!$D$7:$D$36,$O124)),""))</f>
        <v/>
      </c>
      <c r="R124" s="21" t="str">
        <f>IF($O124="","",IFERROR(CHOOSE(MATCH($F124,الإعدادات!$B$4:$B$7,0),INDEX('حضور سوريال'!$F$7:$F$36,$O124),INDEX('حضور غبريال'!$F$7:$F$36,$O124),INDEX('حضور رفائيل'!$F$7:$F$36,$O124),INDEX('حضور ميخائيل'!$F$7:$F$36,$O124)),""))</f>
        <v/>
      </c>
      <c r="S124" s="20" t="str">
        <f>IF($O124="","",IFERROR(CHOOSE(MATCH($F124,الإعدادات!$B$4:$B$7,0),INDEX('حضور سوريال'!$G$7:$G$36,$O124),INDEX('حضور غبريال'!$G$7:$G$36,$O124),INDEX('حضور رفائيل'!$G$7:$G$36,$O124),INDEX('حضور ميخائيل'!$G$7:$G$36,$O124)),""))</f>
        <v/>
      </c>
      <c r="T124" s="22" t="str">
        <f>IF($O124="","",IFERROR(CHOOSE(MATCH($F124,الإعدادات!$B$4:$B$7,0),INDEX('حضور سوريال'!$H$7:$H$36,$O124),INDEX('حضور غبريال'!$H$7:$H$36,$O124),INDEX('حضور رفائيل'!$H$7:$H$36,$O124),INDEX('حضور ميخائيل'!$H$7:$H$36,$O124)),""))</f>
        <v/>
      </c>
      <c r="U124" s="23" t="str">
        <f>IF($O124="","",IFERROR(CHOOSE(MATCH($F124,الإعدادات!$B$4:$B$7,0),INDEX('حضور سوريال'!$I$7:$I$36,$O124),INDEX('حضور غبريال'!$I$7:$I$36,$O124),INDEX('حضور رفائيل'!$I$7:$I$36,$O124),INDEX('حضور ميخائيل'!$I$7:$I$36,$O124)),""))</f>
        <v/>
      </c>
      <c r="V124" t="str">
        <f>IF($O124="","",IFERROR(CHOOSE(MATCH($F124,الإعدادات!$B$4:$B$7,0),INDEX('حضور سوريال'!$BM$7:$BM$36,$O124),INDEX('حضور غبريال'!$BM$7:$BM$36,$O124),INDEX('حضور رفائيل'!$BM$7:$BM$36,$O124),INDEX('حضور ميخائيل'!$BM$7:$BM$36,$O124)),""))</f>
        <v/>
      </c>
      <c r="W124" t="str">
        <f>IF(OR(V124=3,V124=4),COUNTIFS(V$6:V124,3)+COUNTIFS(V$6:V124,4),"")</f>
        <v/>
      </c>
    </row>
    <row r="125" spans="1:23" ht="25.5" customHeight="1">
      <c r="A125" s="13" t="str">
        <f t="shared" si="3"/>
        <v/>
      </c>
      <c r="B125" s="14" t="str">
        <f t="shared" si="4"/>
        <v/>
      </c>
      <c r="C125" s="15"/>
      <c r="D125" s="16"/>
      <c r="E125" s="16"/>
      <c r="F125" s="16"/>
      <c r="G125" s="16"/>
      <c r="H125" s="17"/>
      <c r="I125" s="17"/>
      <c r="J125" s="18"/>
      <c r="K125" s="16"/>
      <c r="L125" s="18"/>
      <c r="M125" s="16"/>
      <c r="N125" s="19" t="str">
        <f t="shared" si="5"/>
        <v/>
      </c>
      <c r="O125" s="19" t="str">
        <f>IF(OR(C125="",F125=""),"",COUNTIFS(F$6:F125,F125,C$6:C125,"&lt;&gt;"))</f>
        <v/>
      </c>
      <c r="P125" s="20" t="str">
        <f>IF($O125="","",IFERROR(CHOOSE(MATCH($F125,الإعدادات!$B$4:$B$7,0),INDEX('حضور سوريال'!$C$7:$C$36,$O125),INDEX('حضور غبريال'!$C$7:$C$36,$O125),INDEX('حضور رفائيل'!$C$7:$C$36,$O125),INDEX('حضور ميخائيل'!$C$7:$C$36,$O125)),""))</f>
        <v/>
      </c>
      <c r="Q125" s="20" t="str">
        <f>IF($O125="","",IFERROR(CHOOSE(MATCH($F125,الإعدادات!$B$4:$B$7,0),INDEX('حضور سوريال'!$D$7:$D$36,$O125),INDEX('حضور غبريال'!$D$7:$D$36,$O125),INDEX('حضور رفائيل'!$D$7:$D$36,$O125),INDEX('حضور ميخائيل'!$D$7:$D$36,$O125)),""))</f>
        <v/>
      </c>
      <c r="R125" s="21" t="str">
        <f>IF($O125="","",IFERROR(CHOOSE(MATCH($F125,الإعدادات!$B$4:$B$7,0),INDEX('حضور سوريال'!$F$7:$F$36,$O125),INDEX('حضور غبريال'!$F$7:$F$36,$O125),INDEX('حضور رفائيل'!$F$7:$F$36,$O125),INDEX('حضور ميخائيل'!$F$7:$F$36,$O125)),""))</f>
        <v/>
      </c>
      <c r="S125" s="20" t="str">
        <f>IF($O125="","",IFERROR(CHOOSE(MATCH($F125,الإعدادات!$B$4:$B$7,0),INDEX('حضور سوريال'!$G$7:$G$36,$O125),INDEX('حضور غبريال'!$G$7:$G$36,$O125),INDEX('حضور رفائيل'!$G$7:$G$36,$O125),INDEX('حضور ميخائيل'!$G$7:$G$36,$O125)),""))</f>
        <v/>
      </c>
      <c r="T125" s="22" t="str">
        <f>IF($O125="","",IFERROR(CHOOSE(MATCH($F125,الإعدادات!$B$4:$B$7,0),INDEX('حضور سوريال'!$H$7:$H$36,$O125),INDEX('حضور غبريال'!$H$7:$H$36,$O125),INDEX('حضور رفائيل'!$H$7:$H$36,$O125),INDEX('حضور ميخائيل'!$H$7:$H$36,$O125)),""))</f>
        <v/>
      </c>
      <c r="U125" s="23" t="str">
        <f>IF($O125="","",IFERROR(CHOOSE(MATCH($F125,الإعدادات!$B$4:$B$7,0),INDEX('حضور سوريال'!$I$7:$I$36,$O125),INDEX('حضور غبريال'!$I$7:$I$36,$O125),INDEX('حضور رفائيل'!$I$7:$I$36,$O125),INDEX('حضور ميخائيل'!$I$7:$I$36,$O125)),""))</f>
        <v/>
      </c>
      <c r="V125" t="str">
        <f>IF($O125="","",IFERROR(CHOOSE(MATCH($F125,الإعدادات!$B$4:$B$7,0),INDEX('حضور سوريال'!$BM$7:$BM$36,$O125),INDEX('حضور غبريال'!$BM$7:$BM$36,$O125),INDEX('حضور رفائيل'!$BM$7:$BM$36,$O125),INDEX('حضور ميخائيل'!$BM$7:$BM$36,$O125)),""))</f>
        <v/>
      </c>
      <c r="W125" t="str">
        <f>IF(OR(V125=3,V125=4),COUNTIFS(V$6:V125,3)+COUNTIFS(V$6:V125,4),"")</f>
        <v/>
      </c>
    </row>
    <row r="126" spans="1:23" ht="25.5" customHeight="1">
      <c r="A126" s="13" t="str">
        <f t="shared" si="3"/>
        <v/>
      </c>
      <c r="B126" s="14" t="str">
        <f t="shared" si="4"/>
        <v/>
      </c>
      <c r="C126" s="15"/>
      <c r="D126" s="16"/>
      <c r="E126" s="16"/>
      <c r="F126" s="16"/>
      <c r="G126" s="16"/>
      <c r="H126" s="17"/>
      <c r="I126" s="17"/>
      <c r="J126" s="18"/>
      <c r="K126" s="16"/>
      <c r="L126" s="18"/>
      <c r="M126" s="16"/>
      <c r="N126" s="19" t="str">
        <f t="shared" si="5"/>
        <v/>
      </c>
      <c r="O126" s="19" t="str">
        <f>IF(OR(C126="",F126=""),"",COUNTIFS(F$6:F126,F126,C$6:C126,"&lt;&gt;"))</f>
        <v/>
      </c>
      <c r="P126" s="20" t="str">
        <f>IF($O126="","",IFERROR(CHOOSE(MATCH($F126,الإعدادات!$B$4:$B$7,0),INDEX('حضور سوريال'!$C$7:$C$36,$O126),INDEX('حضور غبريال'!$C$7:$C$36,$O126),INDEX('حضور رفائيل'!$C$7:$C$36,$O126),INDEX('حضور ميخائيل'!$C$7:$C$36,$O126)),""))</f>
        <v/>
      </c>
      <c r="Q126" s="20" t="str">
        <f>IF($O126="","",IFERROR(CHOOSE(MATCH($F126,الإعدادات!$B$4:$B$7,0),INDEX('حضور سوريال'!$D$7:$D$36,$O126),INDEX('حضور غبريال'!$D$7:$D$36,$O126),INDEX('حضور رفائيل'!$D$7:$D$36,$O126),INDEX('حضور ميخائيل'!$D$7:$D$36,$O126)),""))</f>
        <v/>
      </c>
      <c r="R126" s="21" t="str">
        <f>IF($O126="","",IFERROR(CHOOSE(MATCH($F126,الإعدادات!$B$4:$B$7,0),INDEX('حضور سوريال'!$F$7:$F$36,$O126),INDEX('حضور غبريال'!$F$7:$F$36,$O126),INDEX('حضور رفائيل'!$F$7:$F$36,$O126),INDEX('حضور ميخائيل'!$F$7:$F$36,$O126)),""))</f>
        <v/>
      </c>
      <c r="S126" s="20" t="str">
        <f>IF($O126="","",IFERROR(CHOOSE(MATCH($F126,الإعدادات!$B$4:$B$7,0),INDEX('حضور سوريال'!$G$7:$G$36,$O126),INDEX('حضور غبريال'!$G$7:$G$36,$O126),INDEX('حضور رفائيل'!$G$7:$G$36,$O126),INDEX('حضور ميخائيل'!$G$7:$G$36,$O126)),""))</f>
        <v/>
      </c>
      <c r="T126" s="22" t="str">
        <f>IF($O126="","",IFERROR(CHOOSE(MATCH($F126,الإعدادات!$B$4:$B$7,0),INDEX('حضور سوريال'!$H$7:$H$36,$O126),INDEX('حضور غبريال'!$H$7:$H$36,$O126),INDEX('حضور رفائيل'!$H$7:$H$36,$O126),INDEX('حضور ميخائيل'!$H$7:$H$36,$O126)),""))</f>
        <v/>
      </c>
      <c r="U126" s="23" t="str">
        <f>IF($O126="","",IFERROR(CHOOSE(MATCH($F126,الإعدادات!$B$4:$B$7,0),INDEX('حضور سوريال'!$I$7:$I$36,$O126),INDEX('حضور غبريال'!$I$7:$I$36,$O126),INDEX('حضور رفائيل'!$I$7:$I$36,$O126),INDEX('حضور ميخائيل'!$I$7:$I$36,$O126)),""))</f>
        <v/>
      </c>
      <c r="V126" t="str">
        <f>IF($O126="","",IFERROR(CHOOSE(MATCH($F126,الإعدادات!$B$4:$B$7,0),INDEX('حضور سوريال'!$BM$7:$BM$36,$O126),INDEX('حضور غبريال'!$BM$7:$BM$36,$O126),INDEX('حضور رفائيل'!$BM$7:$BM$36,$O126),INDEX('حضور ميخائيل'!$BM$7:$BM$36,$O126)),""))</f>
        <v/>
      </c>
      <c r="W126" t="str">
        <f>IF(OR(V126=3,V126=4),COUNTIFS(V$6:V126,3)+COUNTIFS(V$6:V126,4),"")</f>
        <v/>
      </c>
    </row>
    <row r="127" spans="1:23" ht="25.5" customHeight="1">
      <c r="A127" s="13" t="str">
        <f t="shared" si="3"/>
        <v/>
      </c>
      <c r="B127" s="14" t="str">
        <f t="shared" si="4"/>
        <v/>
      </c>
      <c r="C127" s="15"/>
      <c r="D127" s="16"/>
      <c r="E127" s="16"/>
      <c r="F127" s="16"/>
      <c r="G127" s="16"/>
      <c r="H127" s="17"/>
      <c r="I127" s="17"/>
      <c r="J127" s="18"/>
      <c r="K127" s="16"/>
      <c r="L127" s="18"/>
      <c r="M127" s="16"/>
      <c r="N127" s="19" t="str">
        <f t="shared" si="5"/>
        <v/>
      </c>
      <c r="O127" s="19" t="str">
        <f>IF(OR(C127="",F127=""),"",COUNTIFS(F$6:F127,F127,C$6:C127,"&lt;&gt;"))</f>
        <v/>
      </c>
      <c r="P127" s="20" t="str">
        <f>IF($O127="","",IFERROR(CHOOSE(MATCH($F127,الإعدادات!$B$4:$B$7,0),INDEX('حضور سوريال'!$C$7:$C$36,$O127),INDEX('حضور غبريال'!$C$7:$C$36,$O127),INDEX('حضور رفائيل'!$C$7:$C$36,$O127),INDEX('حضور ميخائيل'!$C$7:$C$36,$O127)),""))</f>
        <v/>
      </c>
      <c r="Q127" s="20" t="str">
        <f>IF($O127="","",IFERROR(CHOOSE(MATCH($F127,الإعدادات!$B$4:$B$7,0),INDEX('حضور سوريال'!$D$7:$D$36,$O127),INDEX('حضور غبريال'!$D$7:$D$36,$O127),INDEX('حضور رفائيل'!$D$7:$D$36,$O127),INDEX('حضور ميخائيل'!$D$7:$D$36,$O127)),""))</f>
        <v/>
      </c>
      <c r="R127" s="21" t="str">
        <f>IF($O127="","",IFERROR(CHOOSE(MATCH($F127,الإعدادات!$B$4:$B$7,0),INDEX('حضور سوريال'!$F$7:$F$36,$O127),INDEX('حضور غبريال'!$F$7:$F$36,$O127),INDEX('حضور رفائيل'!$F$7:$F$36,$O127),INDEX('حضور ميخائيل'!$F$7:$F$36,$O127)),""))</f>
        <v/>
      </c>
      <c r="S127" s="20" t="str">
        <f>IF($O127="","",IFERROR(CHOOSE(MATCH($F127,الإعدادات!$B$4:$B$7,0),INDEX('حضور سوريال'!$G$7:$G$36,$O127),INDEX('حضور غبريال'!$G$7:$G$36,$O127),INDEX('حضور رفائيل'!$G$7:$G$36,$O127),INDEX('حضور ميخائيل'!$G$7:$G$36,$O127)),""))</f>
        <v/>
      </c>
      <c r="T127" s="22" t="str">
        <f>IF($O127="","",IFERROR(CHOOSE(MATCH($F127,الإعدادات!$B$4:$B$7,0),INDEX('حضور سوريال'!$H$7:$H$36,$O127),INDEX('حضور غبريال'!$H$7:$H$36,$O127),INDEX('حضور رفائيل'!$H$7:$H$36,$O127),INDEX('حضور ميخائيل'!$H$7:$H$36,$O127)),""))</f>
        <v/>
      </c>
      <c r="U127" s="23" t="str">
        <f>IF($O127="","",IFERROR(CHOOSE(MATCH($F127,الإعدادات!$B$4:$B$7,0),INDEX('حضور سوريال'!$I$7:$I$36,$O127),INDEX('حضور غبريال'!$I$7:$I$36,$O127),INDEX('حضور رفائيل'!$I$7:$I$36,$O127),INDEX('حضور ميخائيل'!$I$7:$I$36,$O127)),""))</f>
        <v/>
      </c>
      <c r="V127" t="str">
        <f>IF($O127="","",IFERROR(CHOOSE(MATCH($F127,الإعدادات!$B$4:$B$7,0),INDEX('حضور سوريال'!$BM$7:$BM$36,$O127),INDEX('حضور غبريال'!$BM$7:$BM$36,$O127),INDEX('حضور رفائيل'!$BM$7:$BM$36,$O127),INDEX('حضور ميخائيل'!$BM$7:$BM$36,$O127)),""))</f>
        <v/>
      </c>
      <c r="W127" t="str">
        <f>IF(OR(V127=3,V127=4),COUNTIFS(V$6:V127,3)+COUNTIFS(V$6:V127,4),"")</f>
        <v/>
      </c>
    </row>
    <row r="128" spans="1:23" ht="25.5" customHeight="1">
      <c r="A128" s="13" t="str">
        <f t="shared" si="3"/>
        <v/>
      </c>
      <c r="B128" s="14" t="str">
        <f t="shared" si="4"/>
        <v/>
      </c>
      <c r="C128" s="15"/>
      <c r="D128" s="16"/>
      <c r="E128" s="16"/>
      <c r="F128" s="16"/>
      <c r="G128" s="16"/>
      <c r="H128" s="17"/>
      <c r="I128" s="17"/>
      <c r="J128" s="18"/>
      <c r="K128" s="16"/>
      <c r="L128" s="18"/>
      <c r="M128" s="16"/>
      <c r="N128" s="19" t="str">
        <f t="shared" si="5"/>
        <v/>
      </c>
      <c r="O128" s="19" t="str">
        <f>IF(OR(C128="",F128=""),"",COUNTIFS(F$6:F128,F128,C$6:C128,"&lt;&gt;"))</f>
        <v/>
      </c>
      <c r="P128" s="20" t="str">
        <f>IF($O128="","",IFERROR(CHOOSE(MATCH($F128,الإعدادات!$B$4:$B$7,0),INDEX('حضور سوريال'!$C$7:$C$36,$O128),INDEX('حضور غبريال'!$C$7:$C$36,$O128),INDEX('حضور رفائيل'!$C$7:$C$36,$O128),INDEX('حضور ميخائيل'!$C$7:$C$36,$O128)),""))</f>
        <v/>
      </c>
      <c r="Q128" s="20" t="str">
        <f>IF($O128="","",IFERROR(CHOOSE(MATCH($F128,الإعدادات!$B$4:$B$7,0),INDEX('حضور سوريال'!$D$7:$D$36,$O128),INDEX('حضور غبريال'!$D$7:$D$36,$O128),INDEX('حضور رفائيل'!$D$7:$D$36,$O128),INDEX('حضور ميخائيل'!$D$7:$D$36,$O128)),""))</f>
        <v/>
      </c>
      <c r="R128" s="21" t="str">
        <f>IF($O128="","",IFERROR(CHOOSE(MATCH($F128,الإعدادات!$B$4:$B$7,0),INDEX('حضور سوريال'!$F$7:$F$36,$O128),INDEX('حضور غبريال'!$F$7:$F$36,$O128),INDEX('حضور رفائيل'!$F$7:$F$36,$O128),INDEX('حضور ميخائيل'!$F$7:$F$36,$O128)),""))</f>
        <v/>
      </c>
      <c r="S128" s="20" t="str">
        <f>IF($O128="","",IFERROR(CHOOSE(MATCH($F128,الإعدادات!$B$4:$B$7,0),INDEX('حضور سوريال'!$G$7:$G$36,$O128),INDEX('حضور غبريال'!$G$7:$G$36,$O128),INDEX('حضور رفائيل'!$G$7:$G$36,$O128),INDEX('حضور ميخائيل'!$G$7:$G$36,$O128)),""))</f>
        <v/>
      </c>
      <c r="T128" s="22" t="str">
        <f>IF($O128="","",IFERROR(CHOOSE(MATCH($F128,الإعدادات!$B$4:$B$7,0),INDEX('حضور سوريال'!$H$7:$H$36,$O128),INDEX('حضور غبريال'!$H$7:$H$36,$O128),INDEX('حضور رفائيل'!$H$7:$H$36,$O128),INDEX('حضور ميخائيل'!$H$7:$H$36,$O128)),""))</f>
        <v/>
      </c>
      <c r="U128" s="23" t="str">
        <f>IF($O128="","",IFERROR(CHOOSE(MATCH($F128,الإعدادات!$B$4:$B$7,0),INDEX('حضور سوريال'!$I$7:$I$36,$O128),INDEX('حضور غبريال'!$I$7:$I$36,$O128),INDEX('حضور رفائيل'!$I$7:$I$36,$O128),INDEX('حضور ميخائيل'!$I$7:$I$36,$O128)),""))</f>
        <v/>
      </c>
      <c r="V128" t="str">
        <f>IF($O128="","",IFERROR(CHOOSE(MATCH($F128,الإعدادات!$B$4:$B$7,0),INDEX('حضور سوريال'!$BM$7:$BM$36,$O128),INDEX('حضور غبريال'!$BM$7:$BM$36,$O128),INDEX('حضور رفائيل'!$BM$7:$BM$36,$O128),INDEX('حضور ميخائيل'!$BM$7:$BM$36,$O128)),""))</f>
        <v/>
      </c>
      <c r="W128" t="str">
        <f>IF(OR(V128=3,V128=4),COUNTIFS(V$6:V128,3)+COUNTIFS(V$6:V128,4),"")</f>
        <v/>
      </c>
    </row>
    <row r="129" spans="1:23" ht="25.5" customHeight="1">
      <c r="A129" s="13" t="str">
        <f t="shared" si="3"/>
        <v/>
      </c>
      <c r="B129" s="14" t="str">
        <f t="shared" si="4"/>
        <v/>
      </c>
      <c r="C129" s="15"/>
      <c r="D129" s="16"/>
      <c r="E129" s="16"/>
      <c r="F129" s="16"/>
      <c r="G129" s="16"/>
      <c r="H129" s="17"/>
      <c r="I129" s="17"/>
      <c r="J129" s="18"/>
      <c r="K129" s="16"/>
      <c r="L129" s="18"/>
      <c r="M129" s="16"/>
      <c r="N129" s="19" t="str">
        <f t="shared" si="5"/>
        <v/>
      </c>
      <c r="O129" s="19" t="str">
        <f>IF(OR(C129="",F129=""),"",COUNTIFS(F$6:F129,F129,C$6:C129,"&lt;&gt;"))</f>
        <v/>
      </c>
      <c r="P129" s="20" t="str">
        <f>IF($O129="","",IFERROR(CHOOSE(MATCH($F129,الإعدادات!$B$4:$B$7,0),INDEX('حضور سوريال'!$C$7:$C$36,$O129),INDEX('حضور غبريال'!$C$7:$C$36,$O129),INDEX('حضور رفائيل'!$C$7:$C$36,$O129),INDEX('حضور ميخائيل'!$C$7:$C$36,$O129)),""))</f>
        <v/>
      </c>
      <c r="Q129" s="20" t="str">
        <f>IF($O129="","",IFERROR(CHOOSE(MATCH($F129,الإعدادات!$B$4:$B$7,0),INDEX('حضور سوريال'!$D$7:$D$36,$O129),INDEX('حضور غبريال'!$D$7:$D$36,$O129),INDEX('حضور رفائيل'!$D$7:$D$36,$O129),INDEX('حضور ميخائيل'!$D$7:$D$36,$O129)),""))</f>
        <v/>
      </c>
      <c r="R129" s="21" t="str">
        <f>IF($O129="","",IFERROR(CHOOSE(MATCH($F129,الإعدادات!$B$4:$B$7,0),INDEX('حضور سوريال'!$F$7:$F$36,$O129),INDEX('حضور غبريال'!$F$7:$F$36,$O129),INDEX('حضور رفائيل'!$F$7:$F$36,$O129),INDEX('حضور ميخائيل'!$F$7:$F$36,$O129)),""))</f>
        <v/>
      </c>
      <c r="S129" s="20" t="str">
        <f>IF($O129="","",IFERROR(CHOOSE(MATCH($F129,الإعدادات!$B$4:$B$7,0),INDEX('حضور سوريال'!$G$7:$G$36,$O129),INDEX('حضور غبريال'!$G$7:$G$36,$O129),INDEX('حضور رفائيل'!$G$7:$G$36,$O129),INDEX('حضور ميخائيل'!$G$7:$G$36,$O129)),""))</f>
        <v/>
      </c>
      <c r="T129" s="22" t="str">
        <f>IF($O129="","",IFERROR(CHOOSE(MATCH($F129,الإعدادات!$B$4:$B$7,0),INDEX('حضور سوريال'!$H$7:$H$36,$O129),INDEX('حضور غبريال'!$H$7:$H$36,$O129),INDEX('حضور رفائيل'!$H$7:$H$36,$O129),INDEX('حضور ميخائيل'!$H$7:$H$36,$O129)),""))</f>
        <v/>
      </c>
      <c r="U129" s="23" t="str">
        <f>IF($O129="","",IFERROR(CHOOSE(MATCH($F129,الإعدادات!$B$4:$B$7,0),INDEX('حضور سوريال'!$I$7:$I$36,$O129),INDEX('حضور غبريال'!$I$7:$I$36,$O129),INDEX('حضور رفائيل'!$I$7:$I$36,$O129),INDEX('حضور ميخائيل'!$I$7:$I$36,$O129)),""))</f>
        <v/>
      </c>
      <c r="V129" t="str">
        <f>IF($O129="","",IFERROR(CHOOSE(MATCH($F129,الإعدادات!$B$4:$B$7,0),INDEX('حضور سوريال'!$BM$7:$BM$36,$O129),INDEX('حضور غبريال'!$BM$7:$BM$36,$O129),INDEX('حضور رفائيل'!$BM$7:$BM$36,$O129),INDEX('حضور ميخائيل'!$BM$7:$BM$36,$O129)),""))</f>
        <v/>
      </c>
      <c r="W129" t="str">
        <f>IF(OR(V129=3,V129=4),COUNTIFS(V$6:V129,3)+COUNTIFS(V$6:V129,4),"")</f>
        <v/>
      </c>
    </row>
    <row r="130" spans="1:23" ht="25.5" customHeight="1">
      <c r="A130" s="13" t="str">
        <f t="shared" si="3"/>
        <v/>
      </c>
      <c r="B130" s="14" t="str">
        <f t="shared" si="4"/>
        <v/>
      </c>
      <c r="C130" s="15"/>
      <c r="D130" s="16"/>
      <c r="E130" s="16"/>
      <c r="F130" s="16"/>
      <c r="G130" s="16"/>
      <c r="H130" s="17"/>
      <c r="I130" s="17"/>
      <c r="J130" s="18"/>
      <c r="K130" s="16"/>
      <c r="L130" s="18"/>
      <c r="M130" s="16"/>
      <c r="N130" s="19" t="str">
        <f t="shared" si="5"/>
        <v/>
      </c>
      <c r="O130" s="19" t="str">
        <f>IF(OR(C130="",F130=""),"",COUNTIFS(F$6:F130,F130,C$6:C130,"&lt;&gt;"))</f>
        <v/>
      </c>
      <c r="P130" s="20" t="str">
        <f>IF($O130="","",IFERROR(CHOOSE(MATCH($F130,الإعدادات!$B$4:$B$7,0),INDEX('حضور سوريال'!$C$7:$C$36,$O130),INDEX('حضور غبريال'!$C$7:$C$36,$O130),INDEX('حضور رفائيل'!$C$7:$C$36,$O130),INDEX('حضور ميخائيل'!$C$7:$C$36,$O130)),""))</f>
        <v/>
      </c>
      <c r="Q130" s="20" t="str">
        <f>IF($O130="","",IFERROR(CHOOSE(MATCH($F130,الإعدادات!$B$4:$B$7,0),INDEX('حضور سوريال'!$D$7:$D$36,$O130),INDEX('حضور غبريال'!$D$7:$D$36,$O130),INDEX('حضور رفائيل'!$D$7:$D$36,$O130),INDEX('حضور ميخائيل'!$D$7:$D$36,$O130)),""))</f>
        <v/>
      </c>
      <c r="R130" s="21" t="str">
        <f>IF($O130="","",IFERROR(CHOOSE(MATCH($F130,الإعدادات!$B$4:$B$7,0),INDEX('حضور سوريال'!$F$7:$F$36,$O130),INDEX('حضور غبريال'!$F$7:$F$36,$O130),INDEX('حضور رفائيل'!$F$7:$F$36,$O130),INDEX('حضور ميخائيل'!$F$7:$F$36,$O130)),""))</f>
        <v/>
      </c>
      <c r="S130" s="20" t="str">
        <f>IF($O130="","",IFERROR(CHOOSE(MATCH($F130,الإعدادات!$B$4:$B$7,0),INDEX('حضور سوريال'!$G$7:$G$36,$O130),INDEX('حضور غبريال'!$G$7:$G$36,$O130),INDEX('حضور رفائيل'!$G$7:$G$36,$O130),INDEX('حضور ميخائيل'!$G$7:$G$36,$O130)),""))</f>
        <v/>
      </c>
      <c r="T130" s="22" t="str">
        <f>IF($O130="","",IFERROR(CHOOSE(MATCH($F130,الإعدادات!$B$4:$B$7,0),INDEX('حضور سوريال'!$H$7:$H$36,$O130),INDEX('حضور غبريال'!$H$7:$H$36,$O130),INDEX('حضور رفائيل'!$H$7:$H$36,$O130),INDEX('حضور ميخائيل'!$H$7:$H$36,$O130)),""))</f>
        <v/>
      </c>
      <c r="U130" s="23" t="str">
        <f>IF($O130="","",IFERROR(CHOOSE(MATCH($F130,الإعدادات!$B$4:$B$7,0),INDEX('حضور سوريال'!$I$7:$I$36,$O130),INDEX('حضور غبريال'!$I$7:$I$36,$O130),INDEX('حضور رفائيل'!$I$7:$I$36,$O130),INDEX('حضور ميخائيل'!$I$7:$I$36,$O130)),""))</f>
        <v/>
      </c>
      <c r="V130" t="str">
        <f>IF($O130="","",IFERROR(CHOOSE(MATCH($F130,الإعدادات!$B$4:$B$7,0),INDEX('حضور سوريال'!$BM$7:$BM$36,$O130),INDEX('حضور غبريال'!$BM$7:$BM$36,$O130),INDEX('حضور رفائيل'!$BM$7:$BM$36,$O130),INDEX('حضور ميخائيل'!$BM$7:$BM$36,$O130)),""))</f>
        <v/>
      </c>
      <c r="W130" t="str">
        <f>IF(OR(V130=3,V130=4),COUNTIFS(V$6:V130,3)+COUNTIFS(V$6:V130,4),"")</f>
        <v/>
      </c>
    </row>
    <row r="131" spans="1:23" ht="25.5" customHeight="1">
      <c r="A131" s="13" t="str">
        <f t="shared" si="3"/>
        <v/>
      </c>
      <c r="B131" s="14" t="str">
        <f t="shared" si="4"/>
        <v/>
      </c>
      <c r="C131" s="15"/>
      <c r="D131" s="16"/>
      <c r="E131" s="16"/>
      <c r="F131" s="16"/>
      <c r="G131" s="16"/>
      <c r="H131" s="17"/>
      <c r="I131" s="17"/>
      <c r="J131" s="18"/>
      <c r="K131" s="16"/>
      <c r="L131" s="18"/>
      <c r="M131" s="16"/>
      <c r="N131" s="19" t="str">
        <f t="shared" si="5"/>
        <v/>
      </c>
      <c r="O131" s="19" t="str">
        <f>IF(OR(C131="",F131=""),"",COUNTIFS(F$6:F131,F131,C$6:C131,"&lt;&gt;"))</f>
        <v/>
      </c>
      <c r="P131" s="20" t="str">
        <f>IF($O131="","",IFERROR(CHOOSE(MATCH($F131,الإعدادات!$B$4:$B$7,0),INDEX('حضور سوريال'!$C$7:$C$36,$O131),INDEX('حضور غبريال'!$C$7:$C$36,$O131),INDEX('حضور رفائيل'!$C$7:$C$36,$O131),INDEX('حضور ميخائيل'!$C$7:$C$36,$O131)),""))</f>
        <v/>
      </c>
      <c r="Q131" s="20" t="str">
        <f>IF($O131="","",IFERROR(CHOOSE(MATCH($F131,الإعدادات!$B$4:$B$7,0),INDEX('حضور سوريال'!$D$7:$D$36,$O131),INDEX('حضور غبريال'!$D$7:$D$36,$O131),INDEX('حضور رفائيل'!$D$7:$D$36,$O131),INDEX('حضور ميخائيل'!$D$7:$D$36,$O131)),""))</f>
        <v/>
      </c>
      <c r="R131" s="21" t="str">
        <f>IF($O131="","",IFERROR(CHOOSE(MATCH($F131,الإعدادات!$B$4:$B$7,0),INDEX('حضور سوريال'!$F$7:$F$36,$O131),INDEX('حضور غبريال'!$F$7:$F$36,$O131),INDEX('حضور رفائيل'!$F$7:$F$36,$O131),INDEX('حضور ميخائيل'!$F$7:$F$36,$O131)),""))</f>
        <v/>
      </c>
      <c r="S131" s="20" t="str">
        <f>IF($O131="","",IFERROR(CHOOSE(MATCH($F131,الإعدادات!$B$4:$B$7,0),INDEX('حضور سوريال'!$G$7:$G$36,$O131),INDEX('حضور غبريال'!$G$7:$G$36,$O131),INDEX('حضور رفائيل'!$G$7:$G$36,$O131),INDEX('حضور ميخائيل'!$G$7:$G$36,$O131)),""))</f>
        <v/>
      </c>
      <c r="T131" s="22" t="str">
        <f>IF($O131="","",IFERROR(CHOOSE(MATCH($F131,الإعدادات!$B$4:$B$7,0),INDEX('حضور سوريال'!$H$7:$H$36,$O131),INDEX('حضور غبريال'!$H$7:$H$36,$O131),INDEX('حضور رفائيل'!$H$7:$H$36,$O131),INDEX('حضور ميخائيل'!$H$7:$H$36,$O131)),""))</f>
        <v/>
      </c>
      <c r="U131" s="23" t="str">
        <f>IF($O131="","",IFERROR(CHOOSE(MATCH($F131,الإعدادات!$B$4:$B$7,0),INDEX('حضور سوريال'!$I$7:$I$36,$O131),INDEX('حضور غبريال'!$I$7:$I$36,$O131),INDEX('حضور رفائيل'!$I$7:$I$36,$O131),INDEX('حضور ميخائيل'!$I$7:$I$36,$O131)),""))</f>
        <v/>
      </c>
      <c r="V131" t="str">
        <f>IF($O131="","",IFERROR(CHOOSE(MATCH($F131,الإعدادات!$B$4:$B$7,0),INDEX('حضور سوريال'!$BM$7:$BM$36,$O131),INDEX('حضور غبريال'!$BM$7:$BM$36,$O131),INDEX('حضور رفائيل'!$BM$7:$BM$36,$O131),INDEX('حضور ميخائيل'!$BM$7:$BM$36,$O131)),""))</f>
        <v/>
      </c>
      <c r="W131" t="str">
        <f>IF(OR(V131=3,V131=4),COUNTIFS(V$6:V131,3)+COUNTIFS(V$6:V131,4),"")</f>
        <v/>
      </c>
    </row>
    <row r="132" spans="1:23" ht="25.5" customHeight="1">
      <c r="A132" s="13" t="str">
        <f t="shared" si="3"/>
        <v/>
      </c>
      <c r="B132" s="14" t="str">
        <f t="shared" si="4"/>
        <v/>
      </c>
      <c r="C132" s="15"/>
      <c r="D132" s="16"/>
      <c r="E132" s="16"/>
      <c r="F132" s="16"/>
      <c r="G132" s="16"/>
      <c r="H132" s="17"/>
      <c r="I132" s="17"/>
      <c r="J132" s="18"/>
      <c r="K132" s="16"/>
      <c r="L132" s="18"/>
      <c r="M132" s="16"/>
      <c r="N132" s="19" t="str">
        <f t="shared" si="5"/>
        <v/>
      </c>
      <c r="O132" s="19" t="str">
        <f>IF(OR(C132="",F132=""),"",COUNTIFS(F$6:F132,F132,C$6:C132,"&lt;&gt;"))</f>
        <v/>
      </c>
      <c r="P132" s="20" t="str">
        <f>IF($O132="","",IFERROR(CHOOSE(MATCH($F132,الإعدادات!$B$4:$B$7,0),INDEX('حضور سوريال'!$C$7:$C$36,$O132),INDEX('حضور غبريال'!$C$7:$C$36,$O132),INDEX('حضور رفائيل'!$C$7:$C$36,$O132),INDEX('حضور ميخائيل'!$C$7:$C$36,$O132)),""))</f>
        <v/>
      </c>
      <c r="Q132" s="20" t="str">
        <f>IF($O132="","",IFERROR(CHOOSE(MATCH($F132,الإعدادات!$B$4:$B$7,0),INDEX('حضور سوريال'!$D$7:$D$36,$O132),INDEX('حضور غبريال'!$D$7:$D$36,$O132),INDEX('حضور رفائيل'!$D$7:$D$36,$O132),INDEX('حضور ميخائيل'!$D$7:$D$36,$O132)),""))</f>
        <v/>
      </c>
      <c r="R132" s="21" t="str">
        <f>IF($O132="","",IFERROR(CHOOSE(MATCH($F132,الإعدادات!$B$4:$B$7,0),INDEX('حضور سوريال'!$F$7:$F$36,$O132),INDEX('حضور غبريال'!$F$7:$F$36,$O132),INDEX('حضور رفائيل'!$F$7:$F$36,$O132),INDEX('حضور ميخائيل'!$F$7:$F$36,$O132)),""))</f>
        <v/>
      </c>
      <c r="S132" s="20" t="str">
        <f>IF($O132="","",IFERROR(CHOOSE(MATCH($F132,الإعدادات!$B$4:$B$7,0),INDEX('حضور سوريال'!$G$7:$G$36,$O132),INDEX('حضور غبريال'!$G$7:$G$36,$O132),INDEX('حضور رفائيل'!$G$7:$G$36,$O132),INDEX('حضور ميخائيل'!$G$7:$G$36,$O132)),""))</f>
        <v/>
      </c>
      <c r="T132" s="22" t="str">
        <f>IF($O132="","",IFERROR(CHOOSE(MATCH($F132,الإعدادات!$B$4:$B$7,0),INDEX('حضور سوريال'!$H$7:$H$36,$O132),INDEX('حضور غبريال'!$H$7:$H$36,$O132),INDEX('حضور رفائيل'!$H$7:$H$36,$O132),INDEX('حضور ميخائيل'!$H$7:$H$36,$O132)),""))</f>
        <v/>
      </c>
      <c r="U132" s="23" t="str">
        <f>IF($O132="","",IFERROR(CHOOSE(MATCH($F132,الإعدادات!$B$4:$B$7,0),INDEX('حضور سوريال'!$I$7:$I$36,$O132),INDEX('حضور غبريال'!$I$7:$I$36,$O132),INDEX('حضور رفائيل'!$I$7:$I$36,$O132),INDEX('حضور ميخائيل'!$I$7:$I$36,$O132)),""))</f>
        <v/>
      </c>
      <c r="V132" t="str">
        <f>IF($O132="","",IFERROR(CHOOSE(MATCH($F132,الإعدادات!$B$4:$B$7,0),INDEX('حضور سوريال'!$BM$7:$BM$36,$O132),INDEX('حضور غبريال'!$BM$7:$BM$36,$O132),INDEX('حضور رفائيل'!$BM$7:$BM$36,$O132),INDEX('حضور ميخائيل'!$BM$7:$BM$36,$O132)),""))</f>
        <v/>
      </c>
      <c r="W132" t="str">
        <f>IF(OR(V132=3,V132=4),COUNTIFS(V$6:V132,3)+COUNTIFS(V$6:V132,4),"")</f>
        <v/>
      </c>
    </row>
    <row r="133" spans="1:23" ht="25.5" customHeight="1">
      <c r="A133" s="13" t="str">
        <f t="shared" si="3"/>
        <v/>
      </c>
      <c r="B133" s="14" t="str">
        <f t="shared" si="4"/>
        <v/>
      </c>
      <c r="C133" s="15"/>
      <c r="D133" s="16"/>
      <c r="E133" s="16"/>
      <c r="F133" s="16"/>
      <c r="G133" s="16"/>
      <c r="H133" s="17"/>
      <c r="I133" s="17"/>
      <c r="J133" s="18"/>
      <c r="K133" s="16"/>
      <c r="L133" s="18"/>
      <c r="M133" s="16"/>
      <c r="N133" s="19" t="str">
        <f t="shared" si="5"/>
        <v/>
      </c>
      <c r="O133" s="19" t="str">
        <f>IF(OR(C133="",F133=""),"",COUNTIFS(F$6:F133,F133,C$6:C133,"&lt;&gt;"))</f>
        <v/>
      </c>
      <c r="P133" s="20" t="str">
        <f>IF($O133="","",IFERROR(CHOOSE(MATCH($F133,الإعدادات!$B$4:$B$7,0),INDEX('حضور سوريال'!$C$7:$C$36,$O133),INDEX('حضور غبريال'!$C$7:$C$36,$O133),INDEX('حضور رفائيل'!$C$7:$C$36,$O133),INDEX('حضور ميخائيل'!$C$7:$C$36,$O133)),""))</f>
        <v/>
      </c>
      <c r="Q133" s="20" t="str">
        <f>IF($O133="","",IFERROR(CHOOSE(MATCH($F133,الإعدادات!$B$4:$B$7,0),INDEX('حضور سوريال'!$D$7:$D$36,$O133),INDEX('حضور غبريال'!$D$7:$D$36,$O133),INDEX('حضور رفائيل'!$D$7:$D$36,$O133),INDEX('حضور ميخائيل'!$D$7:$D$36,$O133)),""))</f>
        <v/>
      </c>
      <c r="R133" s="21" t="str">
        <f>IF($O133="","",IFERROR(CHOOSE(MATCH($F133,الإعدادات!$B$4:$B$7,0),INDEX('حضور سوريال'!$F$7:$F$36,$O133),INDEX('حضور غبريال'!$F$7:$F$36,$O133),INDEX('حضور رفائيل'!$F$7:$F$36,$O133),INDEX('حضور ميخائيل'!$F$7:$F$36,$O133)),""))</f>
        <v/>
      </c>
      <c r="S133" s="20" t="str">
        <f>IF($O133="","",IFERROR(CHOOSE(MATCH($F133,الإعدادات!$B$4:$B$7,0),INDEX('حضور سوريال'!$G$7:$G$36,$O133),INDEX('حضور غبريال'!$G$7:$G$36,$O133),INDEX('حضور رفائيل'!$G$7:$G$36,$O133),INDEX('حضور ميخائيل'!$G$7:$G$36,$O133)),""))</f>
        <v/>
      </c>
      <c r="T133" s="22" t="str">
        <f>IF($O133="","",IFERROR(CHOOSE(MATCH($F133,الإعدادات!$B$4:$B$7,0),INDEX('حضور سوريال'!$H$7:$H$36,$O133),INDEX('حضور غبريال'!$H$7:$H$36,$O133),INDEX('حضور رفائيل'!$H$7:$H$36,$O133),INDEX('حضور ميخائيل'!$H$7:$H$36,$O133)),""))</f>
        <v/>
      </c>
      <c r="U133" s="23" t="str">
        <f>IF($O133="","",IFERROR(CHOOSE(MATCH($F133,الإعدادات!$B$4:$B$7,0),INDEX('حضور سوريال'!$I$7:$I$36,$O133),INDEX('حضور غبريال'!$I$7:$I$36,$O133),INDEX('حضور رفائيل'!$I$7:$I$36,$O133),INDEX('حضور ميخائيل'!$I$7:$I$36,$O133)),""))</f>
        <v/>
      </c>
      <c r="V133" t="str">
        <f>IF($O133="","",IFERROR(CHOOSE(MATCH($F133,الإعدادات!$B$4:$B$7,0),INDEX('حضور سوريال'!$BM$7:$BM$36,$O133),INDEX('حضور غبريال'!$BM$7:$BM$36,$O133),INDEX('حضور رفائيل'!$BM$7:$BM$36,$O133),INDEX('حضور ميخائيل'!$BM$7:$BM$36,$O133)),""))</f>
        <v/>
      </c>
      <c r="W133" t="str">
        <f>IF(OR(V133=3,V133=4),COUNTIFS(V$6:V133,3)+COUNTIFS(V$6:V133,4),"")</f>
        <v/>
      </c>
    </row>
    <row r="134" spans="1:23" ht="25.5" customHeight="1">
      <c r="A134" s="13" t="str">
        <f t="shared" ref="A134:A197" si="6">IF(C134="","",ROW()-5)</f>
        <v/>
      </c>
      <c r="B134" s="14" t="str">
        <f t="shared" ref="B134:B197" si="7">IF(C134="","","B-"&amp;TEXT(ROW()-5,"000"))</f>
        <v/>
      </c>
      <c r="C134" s="15"/>
      <c r="D134" s="16"/>
      <c r="E134" s="16"/>
      <c r="F134" s="16"/>
      <c r="G134" s="16"/>
      <c r="H134" s="17"/>
      <c r="I134" s="17"/>
      <c r="J134" s="18"/>
      <c r="K134" s="16"/>
      <c r="L134" s="18"/>
      <c r="M134" s="16"/>
      <c r="N134" s="19" t="str">
        <f t="shared" ref="N134:N197" si="8">IF(O134="","",F134&amp;"|"&amp;O134)</f>
        <v/>
      </c>
      <c r="O134" s="19" t="str">
        <f>IF(OR(C134="",F134=""),"",COUNTIFS(F$6:F134,F134,C$6:C134,"&lt;&gt;"))</f>
        <v/>
      </c>
      <c r="P134" s="20" t="str">
        <f>IF($O134="","",IFERROR(CHOOSE(MATCH($F134,الإعدادات!$B$4:$B$7,0),INDEX('حضور سوريال'!$C$7:$C$36,$O134),INDEX('حضور غبريال'!$C$7:$C$36,$O134),INDEX('حضور رفائيل'!$C$7:$C$36,$O134),INDEX('حضور ميخائيل'!$C$7:$C$36,$O134)),""))</f>
        <v/>
      </c>
      <c r="Q134" s="20" t="str">
        <f>IF($O134="","",IFERROR(CHOOSE(MATCH($F134,الإعدادات!$B$4:$B$7,0),INDEX('حضور سوريال'!$D$7:$D$36,$O134),INDEX('حضور غبريال'!$D$7:$D$36,$O134),INDEX('حضور رفائيل'!$D$7:$D$36,$O134),INDEX('حضور ميخائيل'!$D$7:$D$36,$O134)),""))</f>
        <v/>
      </c>
      <c r="R134" s="21" t="str">
        <f>IF($O134="","",IFERROR(CHOOSE(MATCH($F134,الإعدادات!$B$4:$B$7,0),INDEX('حضور سوريال'!$F$7:$F$36,$O134),INDEX('حضور غبريال'!$F$7:$F$36,$O134),INDEX('حضور رفائيل'!$F$7:$F$36,$O134),INDEX('حضور ميخائيل'!$F$7:$F$36,$O134)),""))</f>
        <v/>
      </c>
      <c r="S134" s="20" t="str">
        <f>IF($O134="","",IFERROR(CHOOSE(MATCH($F134,الإعدادات!$B$4:$B$7,0),INDEX('حضور سوريال'!$G$7:$G$36,$O134),INDEX('حضور غبريال'!$G$7:$G$36,$O134),INDEX('حضور رفائيل'!$G$7:$G$36,$O134),INDEX('حضور ميخائيل'!$G$7:$G$36,$O134)),""))</f>
        <v/>
      </c>
      <c r="T134" s="22" t="str">
        <f>IF($O134="","",IFERROR(CHOOSE(MATCH($F134,الإعدادات!$B$4:$B$7,0),INDEX('حضور سوريال'!$H$7:$H$36,$O134),INDEX('حضور غبريال'!$H$7:$H$36,$O134),INDEX('حضور رفائيل'!$H$7:$H$36,$O134),INDEX('حضور ميخائيل'!$H$7:$H$36,$O134)),""))</f>
        <v/>
      </c>
      <c r="U134" s="23" t="str">
        <f>IF($O134="","",IFERROR(CHOOSE(MATCH($F134,الإعدادات!$B$4:$B$7,0),INDEX('حضور سوريال'!$I$7:$I$36,$O134),INDEX('حضور غبريال'!$I$7:$I$36,$O134),INDEX('حضور رفائيل'!$I$7:$I$36,$O134),INDEX('حضور ميخائيل'!$I$7:$I$36,$O134)),""))</f>
        <v/>
      </c>
      <c r="V134" t="str">
        <f>IF($O134="","",IFERROR(CHOOSE(MATCH($F134,الإعدادات!$B$4:$B$7,0),INDEX('حضور سوريال'!$BM$7:$BM$36,$O134),INDEX('حضور غبريال'!$BM$7:$BM$36,$O134),INDEX('حضور رفائيل'!$BM$7:$BM$36,$O134),INDEX('حضور ميخائيل'!$BM$7:$BM$36,$O134)),""))</f>
        <v/>
      </c>
      <c r="W134" t="str">
        <f>IF(OR(V134=3,V134=4),COUNTIFS(V$6:V134,3)+COUNTIFS(V$6:V134,4),"")</f>
        <v/>
      </c>
    </row>
    <row r="135" spans="1:23" ht="25.5" customHeight="1">
      <c r="A135" s="13" t="str">
        <f t="shared" si="6"/>
        <v/>
      </c>
      <c r="B135" s="14" t="str">
        <f t="shared" si="7"/>
        <v/>
      </c>
      <c r="C135" s="15"/>
      <c r="D135" s="16"/>
      <c r="E135" s="16"/>
      <c r="F135" s="16"/>
      <c r="G135" s="16"/>
      <c r="H135" s="17"/>
      <c r="I135" s="17"/>
      <c r="J135" s="18"/>
      <c r="K135" s="16"/>
      <c r="L135" s="18"/>
      <c r="M135" s="16"/>
      <c r="N135" s="19" t="str">
        <f t="shared" si="8"/>
        <v/>
      </c>
      <c r="O135" s="19" t="str">
        <f>IF(OR(C135="",F135=""),"",COUNTIFS(F$6:F135,F135,C$6:C135,"&lt;&gt;"))</f>
        <v/>
      </c>
      <c r="P135" s="20" t="str">
        <f>IF($O135="","",IFERROR(CHOOSE(MATCH($F135,الإعدادات!$B$4:$B$7,0),INDEX('حضور سوريال'!$C$7:$C$36,$O135),INDEX('حضور غبريال'!$C$7:$C$36,$O135),INDEX('حضور رفائيل'!$C$7:$C$36,$O135),INDEX('حضور ميخائيل'!$C$7:$C$36,$O135)),""))</f>
        <v/>
      </c>
      <c r="Q135" s="20" t="str">
        <f>IF($O135="","",IFERROR(CHOOSE(MATCH($F135,الإعدادات!$B$4:$B$7,0),INDEX('حضور سوريال'!$D$7:$D$36,$O135),INDEX('حضور غبريال'!$D$7:$D$36,$O135),INDEX('حضور رفائيل'!$D$7:$D$36,$O135),INDEX('حضور ميخائيل'!$D$7:$D$36,$O135)),""))</f>
        <v/>
      </c>
      <c r="R135" s="21" t="str">
        <f>IF($O135="","",IFERROR(CHOOSE(MATCH($F135,الإعدادات!$B$4:$B$7,0),INDEX('حضور سوريال'!$F$7:$F$36,$O135),INDEX('حضور غبريال'!$F$7:$F$36,$O135),INDEX('حضور رفائيل'!$F$7:$F$36,$O135),INDEX('حضور ميخائيل'!$F$7:$F$36,$O135)),""))</f>
        <v/>
      </c>
      <c r="S135" s="20" t="str">
        <f>IF($O135="","",IFERROR(CHOOSE(MATCH($F135,الإعدادات!$B$4:$B$7,0),INDEX('حضور سوريال'!$G$7:$G$36,$O135),INDEX('حضور غبريال'!$G$7:$G$36,$O135),INDEX('حضور رفائيل'!$G$7:$G$36,$O135),INDEX('حضور ميخائيل'!$G$7:$G$36,$O135)),""))</f>
        <v/>
      </c>
      <c r="T135" s="22" t="str">
        <f>IF($O135="","",IFERROR(CHOOSE(MATCH($F135,الإعدادات!$B$4:$B$7,0),INDEX('حضور سوريال'!$H$7:$H$36,$O135),INDEX('حضور غبريال'!$H$7:$H$36,$O135),INDEX('حضور رفائيل'!$H$7:$H$36,$O135),INDEX('حضور ميخائيل'!$H$7:$H$36,$O135)),""))</f>
        <v/>
      </c>
      <c r="U135" s="23" t="str">
        <f>IF($O135="","",IFERROR(CHOOSE(MATCH($F135,الإعدادات!$B$4:$B$7,0),INDEX('حضور سوريال'!$I$7:$I$36,$O135),INDEX('حضور غبريال'!$I$7:$I$36,$O135),INDEX('حضور رفائيل'!$I$7:$I$36,$O135),INDEX('حضور ميخائيل'!$I$7:$I$36,$O135)),""))</f>
        <v/>
      </c>
      <c r="V135" t="str">
        <f>IF($O135="","",IFERROR(CHOOSE(MATCH($F135,الإعدادات!$B$4:$B$7,0),INDEX('حضور سوريال'!$BM$7:$BM$36,$O135),INDEX('حضور غبريال'!$BM$7:$BM$36,$O135),INDEX('حضور رفائيل'!$BM$7:$BM$36,$O135),INDEX('حضور ميخائيل'!$BM$7:$BM$36,$O135)),""))</f>
        <v/>
      </c>
      <c r="W135" t="str">
        <f>IF(OR(V135=3,V135=4),COUNTIFS(V$6:V135,3)+COUNTIFS(V$6:V135,4),"")</f>
        <v/>
      </c>
    </row>
    <row r="136" spans="1:23" ht="25.5" customHeight="1">
      <c r="A136" s="13" t="str">
        <f t="shared" si="6"/>
        <v/>
      </c>
      <c r="B136" s="14" t="str">
        <f t="shared" si="7"/>
        <v/>
      </c>
      <c r="C136" s="15"/>
      <c r="D136" s="16"/>
      <c r="E136" s="16"/>
      <c r="F136" s="16"/>
      <c r="G136" s="16"/>
      <c r="H136" s="17"/>
      <c r="I136" s="17"/>
      <c r="J136" s="18"/>
      <c r="K136" s="16"/>
      <c r="L136" s="18"/>
      <c r="M136" s="16"/>
      <c r="N136" s="19" t="str">
        <f t="shared" si="8"/>
        <v/>
      </c>
      <c r="O136" s="19" t="str">
        <f>IF(OR(C136="",F136=""),"",COUNTIFS(F$6:F136,F136,C$6:C136,"&lt;&gt;"))</f>
        <v/>
      </c>
      <c r="P136" s="20" t="str">
        <f>IF($O136="","",IFERROR(CHOOSE(MATCH($F136,الإعدادات!$B$4:$B$7,0),INDEX('حضور سوريال'!$C$7:$C$36,$O136),INDEX('حضور غبريال'!$C$7:$C$36,$O136),INDEX('حضور رفائيل'!$C$7:$C$36,$O136),INDEX('حضور ميخائيل'!$C$7:$C$36,$O136)),""))</f>
        <v/>
      </c>
      <c r="Q136" s="20" t="str">
        <f>IF($O136="","",IFERROR(CHOOSE(MATCH($F136,الإعدادات!$B$4:$B$7,0),INDEX('حضور سوريال'!$D$7:$D$36,$O136),INDEX('حضور غبريال'!$D$7:$D$36,$O136),INDEX('حضور رفائيل'!$D$7:$D$36,$O136),INDEX('حضور ميخائيل'!$D$7:$D$36,$O136)),""))</f>
        <v/>
      </c>
      <c r="R136" s="21" t="str">
        <f>IF($O136="","",IFERROR(CHOOSE(MATCH($F136,الإعدادات!$B$4:$B$7,0),INDEX('حضور سوريال'!$F$7:$F$36,$O136),INDEX('حضور غبريال'!$F$7:$F$36,$O136),INDEX('حضور رفائيل'!$F$7:$F$36,$O136),INDEX('حضور ميخائيل'!$F$7:$F$36,$O136)),""))</f>
        <v/>
      </c>
      <c r="S136" s="20" t="str">
        <f>IF($O136="","",IFERROR(CHOOSE(MATCH($F136,الإعدادات!$B$4:$B$7,0),INDEX('حضور سوريال'!$G$7:$G$36,$O136),INDEX('حضور غبريال'!$G$7:$G$36,$O136),INDEX('حضور رفائيل'!$G$7:$G$36,$O136),INDEX('حضور ميخائيل'!$G$7:$G$36,$O136)),""))</f>
        <v/>
      </c>
      <c r="T136" s="22" t="str">
        <f>IF($O136="","",IFERROR(CHOOSE(MATCH($F136,الإعدادات!$B$4:$B$7,0),INDEX('حضور سوريال'!$H$7:$H$36,$O136),INDEX('حضور غبريال'!$H$7:$H$36,$O136),INDEX('حضور رفائيل'!$H$7:$H$36,$O136),INDEX('حضور ميخائيل'!$H$7:$H$36,$O136)),""))</f>
        <v/>
      </c>
      <c r="U136" s="23" t="str">
        <f>IF($O136="","",IFERROR(CHOOSE(MATCH($F136,الإعدادات!$B$4:$B$7,0),INDEX('حضور سوريال'!$I$7:$I$36,$O136),INDEX('حضور غبريال'!$I$7:$I$36,$O136),INDEX('حضور رفائيل'!$I$7:$I$36,$O136),INDEX('حضور ميخائيل'!$I$7:$I$36,$O136)),""))</f>
        <v/>
      </c>
      <c r="V136" t="str">
        <f>IF($O136="","",IFERROR(CHOOSE(MATCH($F136,الإعدادات!$B$4:$B$7,0),INDEX('حضور سوريال'!$BM$7:$BM$36,$O136),INDEX('حضور غبريال'!$BM$7:$BM$36,$O136),INDEX('حضور رفائيل'!$BM$7:$BM$36,$O136),INDEX('حضور ميخائيل'!$BM$7:$BM$36,$O136)),""))</f>
        <v/>
      </c>
      <c r="W136" t="str">
        <f>IF(OR(V136=3,V136=4),COUNTIFS(V$6:V136,3)+COUNTIFS(V$6:V136,4),"")</f>
        <v/>
      </c>
    </row>
    <row r="137" spans="1:23" ht="25.5" customHeight="1">
      <c r="A137" s="13" t="str">
        <f t="shared" si="6"/>
        <v/>
      </c>
      <c r="B137" s="14" t="str">
        <f t="shared" si="7"/>
        <v/>
      </c>
      <c r="C137" s="15"/>
      <c r="D137" s="16"/>
      <c r="E137" s="16"/>
      <c r="F137" s="16"/>
      <c r="G137" s="16"/>
      <c r="H137" s="17"/>
      <c r="I137" s="17"/>
      <c r="J137" s="18"/>
      <c r="K137" s="16"/>
      <c r="L137" s="18"/>
      <c r="M137" s="16"/>
      <c r="N137" s="19" t="str">
        <f t="shared" si="8"/>
        <v/>
      </c>
      <c r="O137" s="19" t="str">
        <f>IF(OR(C137="",F137=""),"",COUNTIFS(F$6:F137,F137,C$6:C137,"&lt;&gt;"))</f>
        <v/>
      </c>
      <c r="P137" s="20" t="str">
        <f>IF($O137="","",IFERROR(CHOOSE(MATCH($F137,الإعدادات!$B$4:$B$7,0),INDEX('حضور سوريال'!$C$7:$C$36,$O137),INDEX('حضور غبريال'!$C$7:$C$36,$O137),INDEX('حضور رفائيل'!$C$7:$C$36,$O137),INDEX('حضور ميخائيل'!$C$7:$C$36,$O137)),""))</f>
        <v/>
      </c>
      <c r="Q137" s="20" t="str">
        <f>IF($O137="","",IFERROR(CHOOSE(MATCH($F137,الإعدادات!$B$4:$B$7,0),INDEX('حضور سوريال'!$D$7:$D$36,$O137),INDEX('حضور غبريال'!$D$7:$D$36,$O137),INDEX('حضور رفائيل'!$D$7:$D$36,$O137),INDEX('حضور ميخائيل'!$D$7:$D$36,$O137)),""))</f>
        <v/>
      </c>
      <c r="R137" s="21" t="str">
        <f>IF($O137="","",IFERROR(CHOOSE(MATCH($F137,الإعدادات!$B$4:$B$7,0),INDEX('حضور سوريال'!$F$7:$F$36,$O137),INDEX('حضور غبريال'!$F$7:$F$36,$O137),INDEX('حضور رفائيل'!$F$7:$F$36,$O137),INDEX('حضور ميخائيل'!$F$7:$F$36,$O137)),""))</f>
        <v/>
      </c>
      <c r="S137" s="20" t="str">
        <f>IF($O137="","",IFERROR(CHOOSE(MATCH($F137,الإعدادات!$B$4:$B$7,0),INDEX('حضور سوريال'!$G$7:$G$36,$O137),INDEX('حضور غبريال'!$G$7:$G$36,$O137),INDEX('حضور رفائيل'!$G$7:$G$36,$O137),INDEX('حضور ميخائيل'!$G$7:$G$36,$O137)),""))</f>
        <v/>
      </c>
      <c r="T137" s="22" t="str">
        <f>IF($O137="","",IFERROR(CHOOSE(MATCH($F137,الإعدادات!$B$4:$B$7,0),INDEX('حضور سوريال'!$H$7:$H$36,$O137),INDEX('حضور غبريال'!$H$7:$H$36,$O137),INDEX('حضور رفائيل'!$H$7:$H$36,$O137),INDEX('حضور ميخائيل'!$H$7:$H$36,$O137)),""))</f>
        <v/>
      </c>
      <c r="U137" s="23" t="str">
        <f>IF($O137="","",IFERROR(CHOOSE(MATCH($F137,الإعدادات!$B$4:$B$7,0),INDEX('حضور سوريال'!$I$7:$I$36,$O137),INDEX('حضور غبريال'!$I$7:$I$36,$O137),INDEX('حضور رفائيل'!$I$7:$I$36,$O137),INDEX('حضور ميخائيل'!$I$7:$I$36,$O137)),""))</f>
        <v/>
      </c>
      <c r="V137" t="str">
        <f>IF($O137="","",IFERROR(CHOOSE(MATCH($F137,الإعدادات!$B$4:$B$7,0),INDEX('حضور سوريال'!$BM$7:$BM$36,$O137),INDEX('حضور غبريال'!$BM$7:$BM$36,$O137),INDEX('حضور رفائيل'!$BM$7:$BM$36,$O137),INDEX('حضور ميخائيل'!$BM$7:$BM$36,$O137)),""))</f>
        <v/>
      </c>
      <c r="W137" t="str">
        <f>IF(OR(V137=3,V137=4),COUNTIFS(V$6:V137,3)+COUNTIFS(V$6:V137,4),"")</f>
        <v/>
      </c>
    </row>
    <row r="138" spans="1:23" ht="25.5" customHeight="1">
      <c r="A138" s="13" t="str">
        <f t="shared" si="6"/>
        <v/>
      </c>
      <c r="B138" s="14" t="str">
        <f t="shared" si="7"/>
        <v/>
      </c>
      <c r="C138" s="15"/>
      <c r="D138" s="16"/>
      <c r="E138" s="16"/>
      <c r="F138" s="16"/>
      <c r="G138" s="16"/>
      <c r="H138" s="17"/>
      <c r="I138" s="17"/>
      <c r="J138" s="18"/>
      <c r="K138" s="16"/>
      <c r="L138" s="18"/>
      <c r="M138" s="16"/>
      <c r="N138" s="19" t="str">
        <f t="shared" si="8"/>
        <v/>
      </c>
      <c r="O138" s="19" t="str">
        <f>IF(OR(C138="",F138=""),"",COUNTIFS(F$6:F138,F138,C$6:C138,"&lt;&gt;"))</f>
        <v/>
      </c>
      <c r="P138" s="20" t="str">
        <f>IF($O138="","",IFERROR(CHOOSE(MATCH($F138,الإعدادات!$B$4:$B$7,0),INDEX('حضور سوريال'!$C$7:$C$36,$O138),INDEX('حضور غبريال'!$C$7:$C$36,$O138),INDEX('حضور رفائيل'!$C$7:$C$36,$O138),INDEX('حضور ميخائيل'!$C$7:$C$36,$O138)),""))</f>
        <v/>
      </c>
      <c r="Q138" s="20" t="str">
        <f>IF($O138="","",IFERROR(CHOOSE(MATCH($F138,الإعدادات!$B$4:$B$7,0),INDEX('حضور سوريال'!$D$7:$D$36,$O138),INDEX('حضور غبريال'!$D$7:$D$36,$O138),INDEX('حضور رفائيل'!$D$7:$D$36,$O138),INDEX('حضور ميخائيل'!$D$7:$D$36,$O138)),""))</f>
        <v/>
      </c>
      <c r="R138" s="21" t="str">
        <f>IF($O138="","",IFERROR(CHOOSE(MATCH($F138,الإعدادات!$B$4:$B$7,0),INDEX('حضور سوريال'!$F$7:$F$36,$O138),INDEX('حضور غبريال'!$F$7:$F$36,$O138),INDEX('حضور رفائيل'!$F$7:$F$36,$O138),INDEX('حضور ميخائيل'!$F$7:$F$36,$O138)),""))</f>
        <v/>
      </c>
      <c r="S138" s="20" t="str">
        <f>IF($O138="","",IFERROR(CHOOSE(MATCH($F138,الإعدادات!$B$4:$B$7,0),INDEX('حضور سوريال'!$G$7:$G$36,$O138),INDEX('حضور غبريال'!$G$7:$G$36,$O138),INDEX('حضور رفائيل'!$G$7:$G$36,$O138),INDEX('حضور ميخائيل'!$G$7:$G$36,$O138)),""))</f>
        <v/>
      </c>
      <c r="T138" s="22" t="str">
        <f>IF($O138="","",IFERROR(CHOOSE(MATCH($F138,الإعدادات!$B$4:$B$7,0),INDEX('حضور سوريال'!$H$7:$H$36,$O138),INDEX('حضور غبريال'!$H$7:$H$36,$O138),INDEX('حضور رفائيل'!$H$7:$H$36,$O138),INDEX('حضور ميخائيل'!$H$7:$H$36,$O138)),""))</f>
        <v/>
      </c>
      <c r="U138" s="23" t="str">
        <f>IF($O138="","",IFERROR(CHOOSE(MATCH($F138,الإعدادات!$B$4:$B$7,0),INDEX('حضور سوريال'!$I$7:$I$36,$O138),INDEX('حضور غبريال'!$I$7:$I$36,$O138),INDEX('حضور رفائيل'!$I$7:$I$36,$O138),INDEX('حضور ميخائيل'!$I$7:$I$36,$O138)),""))</f>
        <v/>
      </c>
      <c r="V138" t="str">
        <f>IF($O138="","",IFERROR(CHOOSE(MATCH($F138,الإعدادات!$B$4:$B$7,0),INDEX('حضور سوريال'!$BM$7:$BM$36,$O138),INDEX('حضور غبريال'!$BM$7:$BM$36,$O138),INDEX('حضور رفائيل'!$BM$7:$BM$36,$O138),INDEX('حضور ميخائيل'!$BM$7:$BM$36,$O138)),""))</f>
        <v/>
      </c>
      <c r="W138" t="str">
        <f>IF(OR(V138=3,V138=4),COUNTIFS(V$6:V138,3)+COUNTIFS(V$6:V138,4),"")</f>
        <v/>
      </c>
    </row>
    <row r="139" spans="1:23" ht="25.5" customHeight="1">
      <c r="A139" s="13" t="str">
        <f t="shared" si="6"/>
        <v/>
      </c>
      <c r="B139" s="14" t="str">
        <f t="shared" si="7"/>
        <v/>
      </c>
      <c r="C139" s="15"/>
      <c r="D139" s="16"/>
      <c r="E139" s="16"/>
      <c r="F139" s="16"/>
      <c r="G139" s="16"/>
      <c r="H139" s="17"/>
      <c r="I139" s="17"/>
      <c r="J139" s="18"/>
      <c r="K139" s="16"/>
      <c r="L139" s="18"/>
      <c r="M139" s="16"/>
      <c r="N139" s="19" t="str">
        <f t="shared" si="8"/>
        <v/>
      </c>
      <c r="O139" s="19" t="str">
        <f>IF(OR(C139="",F139=""),"",COUNTIFS(F$6:F139,F139,C$6:C139,"&lt;&gt;"))</f>
        <v/>
      </c>
      <c r="P139" s="20" t="str">
        <f>IF($O139="","",IFERROR(CHOOSE(MATCH($F139,الإعدادات!$B$4:$B$7,0),INDEX('حضور سوريال'!$C$7:$C$36,$O139),INDEX('حضور غبريال'!$C$7:$C$36,$O139),INDEX('حضور رفائيل'!$C$7:$C$36,$O139),INDEX('حضور ميخائيل'!$C$7:$C$36,$O139)),""))</f>
        <v/>
      </c>
      <c r="Q139" s="20" t="str">
        <f>IF($O139="","",IFERROR(CHOOSE(MATCH($F139,الإعدادات!$B$4:$B$7,0),INDEX('حضور سوريال'!$D$7:$D$36,$O139),INDEX('حضور غبريال'!$D$7:$D$36,$O139),INDEX('حضور رفائيل'!$D$7:$D$36,$O139),INDEX('حضور ميخائيل'!$D$7:$D$36,$O139)),""))</f>
        <v/>
      </c>
      <c r="R139" s="21" t="str">
        <f>IF($O139="","",IFERROR(CHOOSE(MATCH($F139,الإعدادات!$B$4:$B$7,0),INDEX('حضور سوريال'!$F$7:$F$36,$O139),INDEX('حضور غبريال'!$F$7:$F$36,$O139),INDEX('حضور رفائيل'!$F$7:$F$36,$O139),INDEX('حضور ميخائيل'!$F$7:$F$36,$O139)),""))</f>
        <v/>
      </c>
      <c r="S139" s="20" t="str">
        <f>IF($O139="","",IFERROR(CHOOSE(MATCH($F139,الإعدادات!$B$4:$B$7,0),INDEX('حضور سوريال'!$G$7:$G$36,$O139),INDEX('حضور غبريال'!$G$7:$G$36,$O139),INDEX('حضور رفائيل'!$G$7:$G$36,$O139),INDEX('حضور ميخائيل'!$G$7:$G$36,$O139)),""))</f>
        <v/>
      </c>
      <c r="T139" s="22" t="str">
        <f>IF($O139="","",IFERROR(CHOOSE(MATCH($F139,الإعدادات!$B$4:$B$7,0),INDEX('حضور سوريال'!$H$7:$H$36,$O139),INDEX('حضور غبريال'!$H$7:$H$36,$O139),INDEX('حضور رفائيل'!$H$7:$H$36,$O139),INDEX('حضور ميخائيل'!$H$7:$H$36,$O139)),""))</f>
        <v/>
      </c>
      <c r="U139" s="23" t="str">
        <f>IF($O139="","",IFERROR(CHOOSE(MATCH($F139,الإعدادات!$B$4:$B$7,0),INDEX('حضور سوريال'!$I$7:$I$36,$O139),INDEX('حضور غبريال'!$I$7:$I$36,$O139),INDEX('حضور رفائيل'!$I$7:$I$36,$O139),INDEX('حضور ميخائيل'!$I$7:$I$36,$O139)),""))</f>
        <v/>
      </c>
      <c r="V139" t="str">
        <f>IF($O139="","",IFERROR(CHOOSE(MATCH($F139,الإعدادات!$B$4:$B$7,0),INDEX('حضور سوريال'!$BM$7:$BM$36,$O139),INDEX('حضور غبريال'!$BM$7:$BM$36,$O139),INDEX('حضور رفائيل'!$BM$7:$BM$36,$O139),INDEX('حضور ميخائيل'!$BM$7:$BM$36,$O139)),""))</f>
        <v/>
      </c>
      <c r="W139" t="str">
        <f>IF(OR(V139=3,V139=4),COUNTIFS(V$6:V139,3)+COUNTIFS(V$6:V139,4),"")</f>
        <v/>
      </c>
    </row>
    <row r="140" spans="1:23" ht="25.5" customHeight="1">
      <c r="A140" s="13" t="str">
        <f t="shared" si="6"/>
        <v/>
      </c>
      <c r="B140" s="14" t="str">
        <f t="shared" si="7"/>
        <v/>
      </c>
      <c r="C140" s="15"/>
      <c r="D140" s="16"/>
      <c r="E140" s="16"/>
      <c r="F140" s="16"/>
      <c r="G140" s="16"/>
      <c r="H140" s="17"/>
      <c r="I140" s="17"/>
      <c r="J140" s="18"/>
      <c r="K140" s="16"/>
      <c r="L140" s="18"/>
      <c r="M140" s="16"/>
      <c r="N140" s="19" t="str">
        <f t="shared" si="8"/>
        <v/>
      </c>
      <c r="O140" s="19" t="str">
        <f>IF(OR(C140="",F140=""),"",COUNTIFS(F$6:F140,F140,C$6:C140,"&lt;&gt;"))</f>
        <v/>
      </c>
      <c r="P140" s="20" t="str">
        <f>IF($O140="","",IFERROR(CHOOSE(MATCH($F140,الإعدادات!$B$4:$B$7,0),INDEX('حضور سوريال'!$C$7:$C$36,$O140),INDEX('حضور غبريال'!$C$7:$C$36,$O140),INDEX('حضور رفائيل'!$C$7:$C$36,$O140),INDEX('حضور ميخائيل'!$C$7:$C$36,$O140)),""))</f>
        <v/>
      </c>
      <c r="Q140" s="20" t="str">
        <f>IF($O140="","",IFERROR(CHOOSE(MATCH($F140,الإعدادات!$B$4:$B$7,0),INDEX('حضور سوريال'!$D$7:$D$36,$O140),INDEX('حضور غبريال'!$D$7:$D$36,$O140),INDEX('حضور رفائيل'!$D$7:$D$36,$O140),INDEX('حضور ميخائيل'!$D$7:$D$36,$O140)),""))</f>
        <v/>
      </c>
      <c r="R140" s="21" t="str">
        <f>IF($O140="","",IFERROR(CHOOSE(MATCH($F140,الإعدادات!$B$4:$B$7,0),INDEX('حضور سوريال'!$F$7:$F$36,$O140),INDEX('حضور غبريال'!$F$7:$F$36,$O140),INDEX('حضور رفائيل'!$F$7:$F$36,$O140),INDEX('حضور ميخائيل'!$F$7:$F$36,$O140)),""))</f>
        <v/>
      </c>
      <c r="S140" s="20" t="str">
        <f>IF($O140="","",IFERROR(CHOOSE(MATCH($F140,الإعدادات!$B$4:$B$7,0),INDEX('حضور سوريال'!$G$7:$G$36,$O140),INDEX('حضور غبريال'!$G$7:$G$36,$O140),INDEX('حضور رفائيل'!$G$7:$G$36,$O140),INDEX('حضور ميخائيل'!$G$7:$G$36,$O140)),""))</f>
        <v/>
      </c>
      <c r="T140" s="22" t="str">
        <f>IF($O140="","",IFERROR(CHOOSE(MATCH($F140,الإعدادات!$B$4:$B$7,0),INDEX('حضور سوريال'!$H$7:$H$36,$O140),INDEX('حضور غبريال'!$H$7:$H$36,$O140),INDEX('حضور رفائيل'!$H$7:$H$36,$O140),INDEX('حضور ميخائيل'!$H$7:$H$36,$O140)),""))</f>
        <v/>
      </c>
      <c r="U140" s="23" t="str">
        <f>IF($O140="","",IFERROR(CHOOSE(MATCH($F140,الإعدادات!$B$4:$B$7,0),INDEX('حضور سوريال'!$I$7:$I$36,$O140),INDEX('حضور غبريال'!$I$7:$I$36,$O140),INDEX('حضور رفائيل'!$I$7:$I$36,$O140),INDEX('حضور ميخائيل'!$I$7:$I$36,$O140)),""))</f>
        <v/>
      </c>
      <c r="V140" t="str">
        <f>IF($O140="","",IFERROR(CHOOSE(MATCH($F140,الإعدادات!$B$4:$B$7,0),INDEX('حضور سوريال'!$BM$7:$BM$36,$O140),INDEX('حضور غبريال'!$BM$7:$BM$36,$O140),INDEX('حضور رفائيل'!$BM$7:$BM$36,$O140),INDEX('حضور ميخائيل'!$BM$7:$BM$36,$O140)),""))</f>
        <v/>
      </c>
      <c r="W140" t="str">
        <f>IF(OR(V140=3,V140=4),COUNTIFS(V$6:V140,3)+COUNTIFS(V$6:V140,4),"")</f>
        <v/>
      </c>
    </row>
    <row r="141" spans="1:23" ht="25.5" customHeight="1">
      <c r="A141" s="13" t="str">
        <f t="shared" si="6"/>
        <v/>
      </c>
      <c r="B141" s="14" t="str">
        <f t="shared" si="7"/>
        <v/>
      </c>
      <c r="C141" s="15"/>
      <c r="D141" s="16"/>
      <c r="E141" s="16"/>
      <c r="F141" s="16"/>
      <c r="G141" s="16"/>
      <c r="H141" s="17"/>
      <c r="I141" s="17"/>
      <c r="J141" s="18"/>
      <c r="K141" s="16"/>
      <c r="L141" s="18"/>
      <c r="M141" s="16"/>
      <c r="N141" s="19" t="str">
        <f t="shared" si="8"/>
        <v/>
      </c>
      <c r="O141" s="19" t="str">
        <f>IF(OR(C141="",F141=""),"",COUNTIFS(F$6:F141,F141,C$6:C141,"&lt;&gt;"))</f>
        <v/>
      </c>
      <c r="P141" s="20" t="str">
        <f>IF($O141="","",IFERROR(CHOOSE(MATCH($F141,الإعدادات!$B$4:$B$7,0),INDEX('حضور سوريال'!$C$7:$C$36,$O141),INDEX('حضور غبريال'!$C$7:$C$36,$O141),INDEX('حضور رفائيل'!$C$7:$C$36,$O141),INDEX('حضور ميخائيل'!$C$7:$C$36,$O141)),""))</f>
        <v/>
      </c>
      <c r="Q141" s="20" t="str">
        <f>IF($O141="","",IFERROR(CHOOSE(MATCH($F141,الإعدادات!$B$4:$B$7,0),INDEX('حضور سوريال'!$D$7:$D$36,$O141),INDEX('حضور غبريال'!$D$7:$D$36,$O141),INDEX('حضور رفائيل'!$D$7:$D$36,$O141),INDEX('حضور ميخائيل'!$D$7:$D$36,$O141)),""))</f>
        <v/>
      </c>
      <c r="R141" s="21" t="str">
        <f>IF($O141="","",IFERROR(CHOOSE(MATCH($F141,الإعدادات!$B$4:$B$7,0),INDEX('حضور سوريال'!$F$7:$F$36,$O141),INDEX('حضور غبريال'!$F$7:$F$36,$O141),INDEX('حضور رفائيل'!$F$7:$F$36,$O141),INDEX('حضور ميخائيل'!$F$7:$F$36,$O141)),""))</f>
        <v/>
      </c>
      <c r="S141" s="20" t="str">
        <f>IF($O141="","",IFERROR(CHOOSE(MATCH($F141,الإعدادات!$B$4:$B$7,0),INDEX('حضور سوريال'!$G$7:$G$36,$O141),INDEX('حضور غبريال'!$G$7:$G$36,$O141),INDEX('حضور رفائيل'!$G$7:$G$36,$O141),INDEX('حضور ميخائيل'!$G$7:$G$36,$O141)),""))</f>
        <v/>
      </c>
      <c r="T141" s="22" t="str">
        <f>IF($O141="","",IFERROR(CHOOSE(MATCH($F141,الإعدادات!$B$4:$B$7,0),INDEX('حضور سوريال'!$H$7:$H$36,$O141),INDEX('حضور غبريال'!$H$7:$H$36,$O141),INDEX('حضور رفائيل'!$H$7:$H$36,$O141),INDEX('حضور ميخائيل'!$H$7:$H$36,$O141)),""))</f>
        <v/>
      </c>
      <c r="U141" s="23" t="str">
        <f>IF($O141="","",IFERROR(CHOOSE(MATCH($F141,الإعدادات!$B$4:$B$7,0),INDEX('حضور سوريال'!$I$7:$I$36,$O141),INDEX('حضور غبريال'!$I$7:$I$36,$O141),INDEX('حضور رفائيل'!$I$7:$I$36,$O141),INDEX('حضور ميخائيل'!$I$7:$I$36,$O141)),""))</f>
        <v/>
      </c>
      <c r="V141" t="str">
        <f>IF($O141="","",IFERROR(CHOOSE(MATCH($F141,الإعدادات!$B$4:$B$7,0),INDEX('حضور سوريال'!$BM$7:$BM$36,$O141),INDEX('حضور غبريال'!$BM$7:$BM$36,$O141),INDEX('حضور رفائيل'!$BM$7:$BM$36,$O141),INDEX('حضور ميخائيل'!$BM$7:$BM$36,$O141)),""))</f>
        <v/>
      </c>
      <c r="W141" t="str">
        <f>IF(OR(V141=3,V141=4),COUNTIFS(V$6:V141,3)+COUNTIFS(V$6:V141,4),"")</f>
        <v/>
      </c>
    </row>
    <row r="142" spans="1:23" ht="25.5" customHeight="1">
      <c r="A142" s="13" t="str">
        <f t="shared" si="6"/>
        <v/>
      </c>
      <c r="B142" s="14" t="str">
        <f t="shared" si="7"/>
        <v/>
      </c>
      <c r="C142" s="15"/>
      <c r="D142" s="16"/>
      <c r="E142" s="16"/>
      <c r="F142" s="16"/>
      <c r="G142" s="16"/>
      <c r="H142" s="17"/>
      <c r="I142" s="17"/>
      <c r="J142" s="18"/>
      <c r="K142" s="16"/>
      <c r="L142" s="18"/>
      <c r="M142" s="16"/>
      <c r="N142" s="19" t="str">
        <f t="shared" si="8"/>
        <v/>
      </c>
      <c r="O142" s="19" t="str">
        <f>IF(OR(C142="",F142=""),"",COUNTIFS(F$6:F142,F142,C$6:C142,"&lt;&gt;"))</f>
        <v/>
      </c>
      <c r="P142" s="20" t="str">
        <f>IF($O142="","",IFERROR(CHOOSE(MATCH($F142,الإعدادات!$B$4:$B$7,0),INDEX('حضور سوريال'!$C$7:$C$36,$O142),INDEX('حضور غبريال'!$C$7:$C$36,$O142),INDEX('حضور رفائيل'!$C$7:$C$36,$O142),INDEX('حضور ميخائيل'!$C$7:$C$36,$O142)),""))</f>
        <v/>
      </c>
      <c r="Q142" s="20" t="str">
        <f>IF($O142="","",IFERROR(CHOOSE(MATCH($F142,الإعدادات!$B$4:$B$7,0),INDEX('حضور سوريال'!$D$7:$D$36,$O142),INDEX('حضور غبريال'!$D$7:$D$36,$O142),INDEX('حضور رفائيل'!$D$7:$D$36,$O142),INDEX('حضور ميخائيل'!$D$7:$D$36,$O142)),""))</f>
        <v/>
      </c>
      <c r="R142" s="21" t="str">
        <f>IF($O142="","",IFERROR(CHOOSE(MATCH($F142,الإعدادات!$B$4:$B$7,0),INDEX('حضور سوريال'!$F$7:$F$36,$O142),INDEX('حضور غبريال'!$F$7:$F$36,$O142),INDEX('حضور رفائيل'!$F$7:$F$36,$O142),INDEX('حضور ميخائيل'!$F$7:$F$36,$O142)),""))</f>
        <v/>
      </c>
      <c r="S142" s="20" t="str">
        <f>IF($O142="","",IFERROR(CHOOSE(MATCH($F142,الإعدادات!$B$4:$B$7,0),INDEX('حضور سوريال'!$G$7:$G$36,$O142),INDEX('حضور غبريال'!$G$7:$G$36,$O142),INDEX('حضور رفائيل'!$G$7:$G$36,$O142),INDEX('حضور ميخائيل'!$G$7:$G$36,$O142)),""))</f>
        <v/>
      </c>
      <c r="T142" s="22" t="str">
        <f>IF($O142="","",IFERROR(CHOOSE(MATCH($F142,الإعدادات!$B$4:$B$7,0),INDEX('حضور سوريال'!$H$7:$H$36,$O142),INDEX('حضور غبريال'!$H$7:$H$36,$O142),INDEX('حضور رفائيل'!$H$7:$H$36,$O142),INDEX('حضور ميخائيل'!$H$7:$H$36,$O142)),""))</f>
        <v/>
      </c>
      <c r="U142" s="23" t="str">
        <f>IF($O142="","",IFERROR(CHOOSE(MATCH($F142,الإعدادات!$B$4:$B$7,0),INDEX('حضور سوريال'!$I$7:$I$36,$O142),INDEX('حضور غبريال'!$I$7:$I$36,$O142),INDEX('حضور رفائيل'!$I$7:$I$36,$O142),INDEX('حضور ميخائيل'!$I$7:$I$36,$O142)),""))</f>
        <v/>
      </c>
      <c r="V142" t="str">
        <f>IF($O142="","",IFERROR(CHOOSE(MATCH($F142,الإعدادات!$B$4:$B$7,0),INDEX('حضور سوريال'!$BM$7:$BM$36,$O142),INDEX('حضور غبريال'!$BM$7:$BM$36,$O142),INDEX('حضور رفائيل'!$BM$7:$BM$36,$O142),INDEX('حضور ميخائيل'!$BM$7:$BM$36,$O142)),""))</f>
        <v/>
      </c>
      <c r="W142" t="str">
        <f>IF(OR(V142=3,V142=4),COUNTIFS(V$6:V142,3)+COUNTIFS(V$6:V142,4),"")</f>
        <v/>
      </c>
    </row>
    <row r="143" spans="1:23" ht="25.5" customHeight="1">
      <c r="A143" s="13" t="str">
        <f t="shared" si="6"/>
        <v/>
      </c>
      <c r="B143" s="14" t="str">
        <f t="shared" si="7"/>
        <v/>
      </c>
      <c r="C143" s="15"/>
      <c r="D143" s="16"/>
      <c r="E143" s="16"/>
      <c r="F143" s="16"/>
      <c r="G143" s="16"/>
      <c r="H143" s="17"/>
      <c r="I143" s="17"/>
      <c r="J143" s="18"/>
      <c r="K143" s="16"/>
      <c r="L143" s="18"/>
      <c r="M143" s="16"/>
      <c r="N143" s="19" t="str">
        <f t="shared" si="8"/>
        <v/>
      </c>
      <c r="O143" s="19" t="str">
        <f>IF(OR(C143="",F143=""),"",COUNTIFS(F$6:F143,F143,C$6:C143,"&lt;&gt;"))</f>
        <v/>
      </c>
      <c r="P143" s="20" t="str">
        <f>IF($O143="","",IFERROR(CHOOSE(MATCH($F143,الإعدادات!$B$4:$B$7,0),INDEX('حضور سوريال'!$C$7:$C$36,$O143),INDEX('حضور غبريال'!$C$7:$C$36,$O143),INDEX('حضور رفائيل'!$C$7:$C$36,$O143),INDEX('حضور ميخائيل'!$C$7:$C$36,$O143)),""))</f>
        <v/>
      </c>
      <c r="Q143" s="20" t="str">
        <f>IF($O143="","",IFERROR(CHOOSE(MATCH($F143,الإعدادات!$B$4:$B$7,0),INDEX('حضور سوريال'!$D$7:$D$36,$O143),INDEX('حضور غبريال'!$D$7:$D$36,$O143),INDEX('حضور رفائيل'!$D$7:$D$36,$O143),INDEX('حضور ميخائيل'!$D$7:$D$36,$O143)),""))</f>
        <v/>
      </c>
      <c r="R143" s="21" t="str">
        <f>IF($O143="","",IFERROR(CHOOSE(MATCH($F143,الإعدادات!$B$4:$B$7,0),INDEX('حضور سوريال'!$F$7:$F$36,$O143),INDEX('حضور غبريال'!$F$7:$F$36,$O143),INDEX('حضور رفائيل'!$F$7:$F$36,$O143),INDEX('حضور ميخائيل'!$F$7:$F$36,$O143)),""))</f>
        <v/>
      </c>
      <c r="S143" s="20" t="str">
        <f>IF($O143="","",IFERROR(CHOOSE(MATCH($F143,الإعدادات!$B$4:$B$7,0),INDEX('حضور سوريال'!$G$7:$G$36,$O143),INDEX('حضور غبريال'!$G$7:$G$36,$O143),INDEX('حضور رفائيل'!$G$7:$G$36,$O143),INDEX('حضور ميخائيل'!$G$7:$G$36,$O143)),""))</f>
        <v/>
      </c>
      <c r="T143" s="22" t="str">
        <f>IF($O143="","",IFERROR(CHOOSE(MATCH($F143,الإعدادات!$B$4:$B$7,0),INDEX('حضور سوريال'!$H$7:$H$36,$O143),INDEX('حضور غبريال'!$H$7:$H$36,$O143),INDEX('حضور رفائيل'!$H$7:$H$36,$O143),INDEX('حضور ميخائيل'!$H$7:$H$36,$O143)),""))</f>
        <v/>
      </c>
      <c r="U143" s="23" t="str">
        <f>IF($O143="","",IFERROR(CHOOSE(MATCH($F143,الإعدادات!$B$4:$B$7,0),INDEX('حضور سوريال'!$I$7:$I$36,$O143),INDEX('حضور غبريال'!$I$7:$I$36,$O143),INDEX('حضور رفائيل'!$I$7:$I$36,$O143),INDEX('حضور ميخائيل'!$I$7:$I$36,$O143)),""))</f>
        <v/>
      </c>
      <c r="V143" t="str">
        <f>IF($O143="","",IFERROR(CHOOSE(MATCH($F143,الإعدادات!$B$4:$B$7,0),INDEX('حضور سوريال'!$BM$7:$BM$36,$O143),INDEX('حضور غبريال'!$BM$7:$BM$36,$O143),INDEX('حضور رفائيل'!$BM$7:$BM$36,$O143),INDEX('حضور ميخائيل'!$BM$7:$BM$36,$O143)),""))</f>
        <v/>
      </c>
      <c r="W143" t="str">
        <f>IF(OR(V143=3,V143=4),COUNTIFS(V$6:V143,3)+COUNTIFS(V$6:V143,4),"")</f>
        <v/>
      </c>
    </row>
    <row r="144" spans="1:23" ht="25.5" customHeight="1">
      <c r="A144" s="13" t="str">
        <f t="shared" si="6"/>
        <v/>
      </c>
      <c r="B144" s="14" t="str">
        <f t="shared" si="7"/>
        <v/>
      </c>
      <c r="C144" s="15"/>
      <c r="D144" s="16"/>
      <c r="E144" s="16"/>
      <c r="F144" s="16"/>
      <c r="G144" s="16"/>
      <c r="H144" s="17"/>
      <c r="I144" s="17"/>
      <c r="J144" s="18"/>
      <c r="K144" s="16"/>
      <c r="L144" s="18"/>
      <c r="M144" s="16"/>
      <c r="N144" s="19" t="str">
        <f t="shared" si="8"/>
        <v/>
      </c>
      <c r="O144" s="19" t="str">
        <f>IF(OR(C144="",F144=""),"",COUNTIFS(F$6:F144,F144,C$6:C144,"&lt;&gt;"))</f>
        <v/>
      </c>
      <c r="P144" s="20" t="str">
        <f>IF($O144="","",IFERROR(CHOOSE(MATCH($F144,الإعدادات!$B$4:$B$7,0),INDEX('حضور سوريال'!$C$7:$C$36,$O144),INDEX('حضور غبريال'!$C$7:$C$36,$O144),INDEX('حضور رفائيل'!$C$7:$C$36,$O144),INDEX('حضور ميخائيل'!$C$7:$C$36,$O144)),""))</f>
        <v/>
      </c>
      <c r="Q144" s="20" t="str">
        <f>IF($O144="","",IFERROR(CHOOSE(MATCH($F144,الإعدادات!$B$4:$B$7,0),INDEX('حضور سوريال'!$D$7:$D$36,$O144),INDEX('حضور غبريال'!$D$7:$D$36,$O144),INDEX('حضور رفائيل'!$D$7:$D$36,$O144),INDEX('حضور ميخائيل'!$D$7:$D$36,$O144)),""))</f>
        <v/>
      </c>
      <c r="R144" s="21" t="str">
        <f>IF($O144="","",IFERROR(CHOOSE(MATCH($F144,الإعدادات!$B$4:$B$7,0),INDEX('حضور سوريال'!$F$7:$F$36,$O144),INDEX('حضور غبريال'!$F$7:$F$36,$O144),INDEX('حضور رفائيل'!$F$7:$F$36,$O144),INDEX('حضور ميخائيل'!$F$7:$F$36,$O144)),""))</f>
        <v/>
      </c>
      <c r="S144" s="20" t="str">
        <f>IF($O144="","",IFERROR(CHOOSE(MATCH($F144,الإعدادات!$B$4:$B$7,0),INDEX('حضور سوريال'!$G$7:$G$36,$O144),INDEX('حضور غبريال'!$G$7:$G$36,$O144),INDEX('حضور رفائيل'!$G$7:$G$36,$O144),INDEX('حضور ميخائيل'!$G$7:$G$36,$O144)),""))</f>
        <v/>
      </c>
      <c r="T144" s="22" t="str">
        <f>IF($O144="","",IFERROR(CHOOSE(MATCH($F144,الإعدادات!$B$4:$B$7,0),INDEX('حضور سوريال'!$H$7:$H$36,$O144),INDEX('حضور غبريال'!$H$7:$H$36,$O144),INDEX('حضور رفائيل'!$H$7:$H$36,$O144),INDEX('حضور ميخائيل'!$H$7:$H$36,$O144)),""))</f>
        <v/>
      </c>
      <c r="U144" s="23" t="str">
        <f>IF($O144="","",IFERROR(CHOOSE(MATCH($F144,الإعدادات!$B$4:$B$7,0),INDEX('حضور سوريال'!$I$7:$I$36,$O144),INDEX('حضور غبريال'!$I$7:$I$36,$O144),INDEX('حضور رفائيل'!$I$7:$I$36,$O144),INDEX('حضور ميخائيل'!$I$7:$I$36,$O144)),""))</f>
        <v/>
      </c>
      <c r="V144" t="str">
        <f>IF($O144="","",IFERROR(CHOOSE(MATCH($F144,الإعدادات!$B$4:$B$7,0),INDEX('حضور سوريال'!$BM$7:$BM$36,$O144),INDEX('حضور غبريال'!$BM$7:$BM$36,$O144),INDEX('حضور رفائيل'!$BM$7:$BM$36,$O144),INDEX('حضور ميخائيل'!$BM$7:$BM$36,$O144)),""))</f>
        <v/>
      </c>
      <c r="W144" t="str">
        <f>IF(OR(V144=3,V144=4),COUNTIFS(V$6:V144,3)+COUNTIFS(V$6:V144,4),"")</f>
        <v/>
      </c>
    </row>
    <row r="145" spans="1:23" ht="25.5" customHeight="1">
      <c r="A145" s="13" t="str">
        <f t="shared" si="6"/>
        <v/>
      </c>
      <c r="B145" s="14" t="str">
        <f t="shared" si="7"/>
        <v/>
      </c>
      <c r="C145" s="15"/>
      <c r="D145" s="16"/>
      <c r="E145" s="16"/>
      <c r="F145" s="16"/>
      <c r="G145" s="16"/>
      <c r="H145" s="17"/>
      <c r="I145" s="17"/>
      <c r="J145" s="18"/>
      <c r="K145" s="16"/>
      <c r="L145" s="18"/>
      <c r="M145" s="16"/>
      <c r="N145" s="19" t="str">
        <f t="shared" si="8"/>
        <v/>
      </c>
      <c r="O145" s="19" t="str">
        <f>IF(OR(C145="",F145=""),"",COUNTIFS(F$6:F145,F145,C$6:C145,"&lt;&gt;"))</f>
        <v/>
      </c>
      <c r="P145" s="20" t="str">
        <f>IF($O145="","",IFERROR(CHOOSE(MATCH($F145,الإعدادات!$B$4:$B$7,0),INDEX('حضور سوريال'!$C$7:$C$36,$O145),INDEX('حضور غبريال'!$C$7:$C$36,$O145),INDEX('حضور رفائيل'!$C$7:$C$36,$O145),INDEX('حضور ميخائيل'!$C$7:$C$36,$O145)),""))</f>
        <v/>
      </c>
      <c r="Q145" s="20" t="str">
        <f>IF($O145="","",IFERROR(CHOOSE(MATCH($F145,الإعدادات!$B$4:$B$7,0),INDEX('حضور سوريال'!$D$7:$D$36,$O145),INDEX('حضور غبريال'!$D$7:$D$36,$O145),INDEX('حضور رفائيل'!$D$7:$D$36,$O145),INDEX('حضور ميخائيل'!$D$7:$D$36,$O145)),""))</f>
        <v/>
      </c>
      <c r="R145" s="21" t="str">
        <f>IF($O145="","",IFERROR(CHOOSE(MATCH($F145,الإعدادات!$B$4:$B$7,0),INDEX('حضور سوريال'!$F$7:$F$36,$O145),INDEX('حضور غبريال'!$F$7:$F$36,$O145),INDEX('حضور رفائيل'!$F$7:$F$36,$O145),INDEX('حضور ميخائيل'!$F$7:$F$36,$O145)),""))</f>
        <v/>
      </c>
      <c r="S145" s="20" t="str">
        <f>IF($O145="","",IFERROR(CHOOSE(MATCH($F145,الإعدادات!$B$4:$B$7,0),INDEX('حضور سوريال'!$G$7:$G$36,$O145),INDEX('حضور غبريال'!$G$7:$G$36,$O145),INDEX('حضور رفائيل'!$G$7:$G$36,$O145),INDEX('حضور ميخائيل'!$G$7:$G$36,$O145)),""))</f>
        <v/>
      </c>
      <c r="T145" s="22" t="str">
        <f>IF($O145="","",IFERROR(CHOOSE(MATCH($F145,الإعدادات!$B$4:$B$7,0),INDEX('حضور سوريال'!$H$7:$H$36,$O145),INDEX('حضور غبريال'!$H$7:$H$36,$O145),INDEX('حضور رفائيل'!$H$7:$H$36,$O145),INDEX('حضور ميخائيل'!$H$7:$H$36,$O145)),""))</f>
        <v/>
      </c>
      <c r="U145" s="23" t="str">
        <f>IF($O145="","",IFERROR(CHOOSE(MATCH($F145,الإعدادات!$B$4:$B$7,0),INDEX('حضور سوريال'!$I$7:$I$36,$O145),INDEX('حضور غبريال'!$I$7:$I$36,$O145),INDEX('حضور رفائيل'!$I$7:$I$36,$O145),INDEX('حضور ميخائيل'!$I$7:$I$36,$O145)),""))</f>
        <v/>
      </c>
      <c r="V145" t="str">
        <f>IF($O145="","",IFERROR(CHOOSE(MATCH($F145,الإعدادات!$B$4:$B$7,0),INDEX('حضور سوريال'!$BM$7:$BM$36,$O145),INDEX('حضور غبريال'!$BM$7:$BM$36,$O145),INDEX('حضور رفائيل'!$BM$7:$BM$36,$O145),INDEX('حضور ميخائيل'!$BM$7:$BM$36,$O145)),""))</f>
        <v/>
      </c>
      <c r="W145" t="str">
        <f>IF(OR(V145=3,V145=4),COUNTIFS(V$6:V145,3)+COUNTIFS(V$6:V145,4),"")</f>
        <v/>
      </c>
    </row>
    <row r="146" spans="1:23" ht="25.5" customHeight="1">
      <c r="A146" s="13" t="str">
        <f t="shared" si="6"/>
        <v/>
      </c>
      <c r="B146" s="14" t="str">
        <f t="shared" si="7"/>
        <v/>
      </c>
      <c r="C146" s="15"/>
      <c r="D146" s="16"/>
      <c r="E146" s="16"/>
      <c r="F146" s="16"/>
      <c r="G146" s="16"/>
      <c r="H146" s="17"/>
      <c r="I146" s="17"/>
      <c r="J146" s="18"/>
      <c r="K146" s="16"/>
      <c r="L146" s="18"/>
      <c r="M146" s="16"/>
      <c r="N146" s="19" t="str">
        <f t="shared" si="8"/>
        <v/>
      </c>
      <c r="O146" s="19" t="str">
        <f>IF(OR(C146="",F146=""),"",COUNTIFS(F$6:F146,F146,C$6:C146,"&lt;&gt;"))</f>
        <v/>
      </c>
      <c r="P146" s="20" t="str">
        <f>IF($O146="","",IFERROR(CHOOSE(MATCH($F146,الإعدادات!$B$4:$B$7,0),INDEX('حضور سوريال'!$C$7:$C$36,$O146),INDEX('حضور غبريال'!$C$7:$C$36,$O146),INDEX('حضور رفائيل'!$C$7:$C$36,$O146),INDEX('حضور ميخائيل'!$C$7:$C$36,$O146)),""))</f>
        <v/>
      </c>
      <c r="Q146" s="20" t="str">
        <f>IF($O146="","",IFERROR(CHOOSE(MATCH($F146,الإعدادات!$B$4:$B$7,0),INDEX('حضور سوريال'!$D$7:$D$36,$O146),INDEX('حضور غبريال'!$D$7:$D$36,$O146),INDEX('حضور رفائيل'!$D$7:$D$36,$O146),INDEX('حضور ميخائيل'!$D$7:$D$36,$O146)),""))</f>
        <v/>
      </c>
      <c r="R146" s="21" t="str">
        <f>IF($O146="","",IFERROR(CHOOSE(MATCH($F146,الإعدادات!$B$4:$B$7,0),INDEX('حضور سوريال'!$F$7:$F$36,$O146),INDEX('حضور غبريال'!$F$7:$F$36,$O146),INDEX('حضور رفائيل'!$F$7:$F$36,$O146),INDEX('حضور ميخائيل'!$F$7:$F$36,$O146)),""))</f>
        <v/>
      </c>
      <c r="S146" s="20" t="str">
        <f>IF($O146="","",IFERROR(CHOOSE(MATCH($F146,الإعدادات!$B$4:$B$7,0),INDEX('حضور سوريال'!$G$7:$G$36,$O146),INDEX('حضور غبريال'!$G$7:$G$36,$O146),INDEX('حضور رفائيل'!$G$7:$G$36,$O146),INDEX('حضور ميخائيل'!$G$7:$G$36,$O146)),""))</f>
        <v/>
      </c>
      <c r="T146" s="22" t="str">
        <f>IF($O146="","",IFERROR(CHOOSE(MATCH($F146,الإعدادات!$B$4:$B$7,0),INDEX('حضور سوريال'!$H$7:$H$36,$O146),INDEX('حضور غبريال'!$H$7:$H$36,$O146),INDEX('حضور رفائيل'!$H$7:$H$36,$O146),INDEX('حضور ميخائيل'!$H$7:$H$36,$O146)),""))</f>
        <v/>
      </c>
      <c r="U146" s="23" t="str">
        <f>IF($O146="","",IFERROR(CHOOSE(MATCH($F146,الإعدادات!$B$4:$B$7,0),INDEX('حضور سوريال'!$I$7:$I$36,$O146),INDEX('حضور غبريال'!$I$7:$I$36,$O146),INDEX('حضور رفائيل'!$I$7:$I$36,$O146),INDEX('حضور ميخائيل'!$I$7:$I$36,$O146)),""))</f>
        <v/>
      </c>
      <c r="V146" t="str">
        <f>IF($O146="","",IFERROR(CHOOSE(MATCH($F146,الإعدادات!$B$4:$B$7,0),INDEX('حضور سوريال'!$BM$7:$BM$36,$O146),INDEX('حضور غبريال'!$BM$7:$BM$36,$O146),INDEX('حضور رفائيل'!$BM$7:$BM$36,$O146),INDEX('حضور ميخائيل'!$BM$7:$BM$36,$O146)),""))</f>
        <v/>
      </c>
      <c r="W146" t="str">
        <f>IF(OR(V146=3,V146=4),COUNTIFS(V$6:V146,3)+COUNTIFS(V$6:V146,4),"")</f>
        <v/>
      </c>
    </row>
    <row r="147" spans="1:23" ht="25.5" customHeight="1">
      <c r="A147" s="13" t="str">
        <f t="shared" si="6"/>
        <v/>
      </c>
      <c r="B147" s="14" t="str">
        <f t="shared" si="7"/>
        <v/>
      </c>
      <c r="C147" s="15"/>
      <c r="D147" s="16"/>
      <c r="E147" s="16"/>
      <c r="F147" s="16"/>
      <c r="G147" s="16"/>
      <c r="H147" s="17"/>
      <c r="I147" s="17"/>
      <c r="J147" s="18"/>
      <c r="K147" s="16"/>
      <c r="L147" s="18"/>
      <c r="M147" s="16"/>
      <c r="N147" s="19" t="str">
        <f t="shared" si="8"/>
        <v/>
      </c>
      <c r="O147" s="19" t="str">
        <f>IF(OR(C147="",F147=""),"",COUNTIFS(F$6:F147,F147,C$6:C147,"&lt;&gt;"))</f>
        <v/>
      </c>
      <c r="P147" s="20" t="str">
        <f>IF($O147="","",IFERROR(CHOOSE(MATCH($F147,الإعدادات!$B$4:$B$7,0),INDEX('حضور سوريال'!$C$7:$C$36,$O147),INDEX('حضور غبريال'!$C$7:$C$36,$O147),INDEX('حضور رفائيل'!$C$7:$C$36,$O147),INDEX('حضور ميخائيل'!$C$7:$C$36,$O147)),""))</f>
        <v/>
      </c>
      <c r="Q147" s="20" t="str">
        <f>IF($O147="","",IFERROR(CHOOSE(MATCH($F147,الإعدادات!$B$4:$B$7,0),INDEX('حضور سوريال'!$D$7:$D$36,$O147),INDEX('حضور غبريال'!$D$7:$D$36,$O147),INDEX('حضور رفائيل'!$D$7:$D$36,$O147),INDEX('حضور ميخائيل'!$D$7:$D$36,$O147)),""))</f>
        <v/>
      </c>
      <c r="R147" s="21" t="str">
        <f>IF($O147="","",IFERROR(CHOOSE(MATCH($F147,الإعدادات!$B$4:$B$7,0),INDEX('حضور سوريال'!$F$7:$F$36,$O147),INDEX('حضور غبريال'!$F$7:$F$36,$O147),INDEX('حضور رفائيل'!$F$7:$F$36,$O147),INDEX('حضور ميخائيل'!$F$7:$F$36,$O147)),""))</f>
        <v/>
      </c>
      <c r="S147" s="20" t="str">
        <f>IF($O147="","",IFERROR(CHOOSE(MATCH($F147,الإعدادات!$B$4:$B$7,0),INDEX('حضور سوريال'!$G$7:$G$36,$O147),INDEX('حضور غبريال'!$G$7:$G$36,$O147),INDEX('حضور رفائيل'!$G$7:$G$36,$O147),INDEX('حضور ميخائيل'!$G$7:$G$36,$O147)),""))</f>
        <v/>
      </c>
      <c r="T147" s="22" t="str">
        <f>IF($O147="","",IFERROR(CHOOSE(MATCH($F147,الإعدادات!$B$4:$B$7,0),INDEX('حضور سوريال'!$H$7:$H$36,$O147),INDEX('حضور غبريال'!$H$7:$H$36,$O147),INDEX('حضور رفائيل'!$H$7:$H$36,$O147),INDEX('حضور ميخائيل'!$H$7:$H$36,$O147)),""))</f>
        <v/>
      </c>
      <c r="U147" s="23" t="str">
        <f>IF($O147="","",IFERROR(CHOOSE(MATCH($F147,الإعدادات!$B$4:$B$7,0),INDEX('حضور سوريال'!$I$7:$I$36,$O147),INDEX('حضور غبريال'!$I$7:$I$36,$O147),INDEX('حضور رفائيل'!$I$7:$I$36,$O147),INDEX('حضور ميخائيل'!$I$7:$I$36,$O147)),""))</f>
        <v/>
      </c>
      <c r="V147" t="str">
        <f>IF($O147="","",IFERROR(CHOOSE(MATCH($F147,الإعدادات!$B$4:$B$7,0),INDEX('حضور سوريال'!$BM$7:$BM$36,$O147),INDEX('حضور غبريال'!$BM$7:$BM$36,$O147),INDEX('حضور رفائيل'!$BM$7:$BM$36,$O147),INDEX('حضور ميخائيل'!$BM$7:$BM$36,$O147)),""))</f>
        <v/>
      </c>
      <c r="W147" t="str">
        <f>IF(OR(V147=3,V147=4),COUNTIFS(V$6:V147,3)+COUNTIFS(V$6:V147,4),"")</f>
        <v/>
      </c>
    </row>
    <row r="148" spans="1:23" ht="25.5" customHeight="1">
      <c r="A148" s="13" t="str">
        <f t="shared" si="6"/>
        <v/>
      </c>
      <c r="B148" s="14" t="str">
        <f t="shared" si="7"/>
        <v/>
      </c>
      <c r="C148" s="15"/>
      <c r="D148" s="16"/>
      <c r="E148" s="16"/>
      <c r="F148" s="16"/>
      <c r="G148" s="16"/>
      <c r="H148" s="17"/>
      <c r="I148" s="17"/>
      <c r="J148" s="18"/>
      <c r="K148" s="16"/>
      <c r="L148" s="18"/>
      <c r="M148" s="16"/>
      <c r="N148" s="19" t="str">
        <f t="shared" si="8"/>
        <v/>
      </c>
      <c r="O148" s="19" t="str">
        <f>IF(OR(C148="",F148=""),"",COUNTIFS(F$6:F148,F148,C$6:C148,"&lt;&gt;"))</f>
        <v/>
      </c>
      <c r="P148" s="20" t="str">
        <f>IF($O148="","",IFERROR(CHOOSE(MATCH($F148,الإعدادات!$B$4:$B$7,0),INDEX('حضور سوريال'!$C$7:$C$36,$O148),INDEX('حضور غبريال'!$C$7:$C$36,$O148),INDEX('حضور رفائيل'!$C$7:$C$36,$O148),INDEX('حضور ميخائيل'!$C$7:$C$36,$O148)),""))</f>
        <v/>
      </c>
      <c r="Q148" s="20" t="str">
        <f>IF($O148="","",IFERROR(CHOOSE(MATCH($F148,الإعدادات!$B$4:$B$7,0),INDEX('حضور سوريال'!$D$7:$D$36,$O148),INDEX('حضور غبريال'!$D$7:$D$36,$O148),INDEX('حضور رفائيل'!$D$7:$D$36,$O148),INDEX('حضور ميخائيل'!$D$7:$D$36,$O148)),""))</f>
        <v/>
      </c>
      <c r="R148" s="21" t="str">
        <f>IF($O148="","",IFERROR(CHOOSE(MATCH($F148,الإعدادات!$B$4:$B$7,0),INDEX('حضور سوريال'!$F$7:$F$36,$O148),INDEX('حضور غبريال'!$F$7:$F$36,$O148),INDEX('حضور رفائيل'!$F$7:$F$36,$O148),INDEX('حضور ميخائيل'!$F$7:$F$36,$O148)),""))</f>
        <v/>
      </c>
      <c r="S148" s="20" t="str">
        <f>IF($O148="","",IFERROR(CHOOSE(MATCH($F148,الإعدادات!$B$4:$B$7,0),INDEX('حضور سوريال'!$G$7:$G$36,$O148),INDEX('حضور غبريال'!$G$7:$G$36,$O148),INDEX('حضور رفائيل'!$G$7:$G$36,$O148),INDEX('حضور ميخائيل'!$G$7:$G$36,$O148)),""))</f>
        <v/>
      </c>
      <c r="T148" s="22" t="str">
        <f>IF($O148="","",IFERROR(CHOOSE(MATCH($F148,الإعدادات!$B$4:$B$7,0),INDEX('حضور سوريال'!$H$7:$H$36,$O148),INDEX('حضور غبريال'!$H$7:$H$36,$O148),INDEX('حضور رفائيل'!$H$7:$H$36,$O148),INDEX('حضور ميخائيل'!$H$7:$H$36,$O148)),""))</f>
        <v/>
      </c>
      <c r="U148" s="23" t="str">
        <f>IF($O148="","",IFERROR(CHOOSE(MATCH($F148,الإعدادات!$B$4:$B$7,0),INDEX('حضور سوريال'!$I$7:$I$36,$O148),INDEX('حضور غبريال'!$I$7:$I$36,$O148),INDEX('حضور رفائيل'!$I$7:$I$36,$O148),INDEX('حضور ميخائيل'!$I$7:$I$36,$O148)),""))</f>
        <v/>
      </c>
      <c r="V148" t="str">
        <f>IF($O148="","",IFERROR(CHOOSE(MATCH($F148,الإعدادات!$B$4:$B$7,0),INDEX('حضور سوريال'!$BM$7:$BM$36,$O148),INDEX('حضور غبريال'!$BM$7:$BM$36,$O148),INDEX('حضور رفائيل'!$BM$7:$BM$36,$O148),INDEX('حضور ميخائيل'!$BM$7:$BM$36,$O148)),""))</f>
        <v/>
      </c>
      <c r="W148" t="str">
        <f>IF(OR(V148=3,V148=4),COUNTIFS(V$6:V148,3)+COUNTIFS(V$6:V148,4),"")</f>
        <v/>
      </c>
    </row>
    <row r="149" spans="1:23" ht="25.5" customHeight="1">
      <c r="A149" s="13" t="str">
        <f t="shared" si="6"/>
        <v/>
      </c>
      <c r="B149" s="14" t="str">
        <f t="shared" si="7"/>
        <v/>
      </c>
      <c r="C149" s="15"/>
      <c r="D149" s="16"/>
      <c r="E149" s="16"/>
      <c r="F149" s="16"/>
      <c r="G149" s="16"/>
      <c r="H149" s="17"/>
      <c r="I149" s="17"/>
      <c r="J149" s="18"/>
      <c r="K149" s="16"/>
      <c r="L149" s="18"/>
      <c r="M149" s="16"/>
      <c r="N149" s="19" t="str">
        <f t="shared" si="8"/>
        <v/>
      </c>
      <c r="O149" s="19" t="str">
        <f>IF(OR(C149="",F149=""),"",COUNTIFS(F$6:F149,F149,C$6:C149,"&lt;&gt;"))</f>
        <v/>
      </c>
      <c r="P149" s="20" t="str">
        <f>IF($O149="","",IFERROR(CHOOSE(MATCH($F149,الإعدادات!$B$4:$B$7,0),INDEX('حضور سوريال'!$C$7:$C$36,$O149),INDEX('حضور غبريال'!$C$7:$C$36,$O149),INDEX('حضور رفائيل'!$C$7:$C$36,$O149),INDEX('حضور ميخائيل'!$C$7:$C$36,$O149)),""))</f>
        <v/>
      </c>
      <c r="Q149" s="20" t="str">
        <f>IF($O149="","",IFERROR(CHOOSE(MATCH($F149,الإعدادات!$B$4:$B$7,0),INDEX('حضور سوريال'!$D$7:$D$36,$O149),INDEX('حضور غبريال'!$D$7:$D$36,$O149),INDEX('حضور رفائيل'!$D$7:$D$36,$O149),INDEX('حضور ميخائيل'!$D$7:$D$36,$O149)),""))</f>
        <v/>
      </c>
      <c r="R149" s="21" t="str">
        <f>IF($O149="","",IFERROR(CHOOSE(MATCH($F149,الإعدادات!$B$4:$B$7,0),INDEX('حضور سوريال'!$F$7:$F$36,$O149),INDEX('حضور غبريال'!$F$7:$F$36,$O149),INDEX('حضور رفائيل'!$F$7:$F$36,$O149),INDEX('حضور ميخائيل'!$F$7:$F$36,$O149)),""))</f>
        <v/>
      </c>
      <c r="S149" s="20" t="str">
        <f>IF($O149="","",IFERROR(CHOOSE(MATCH($F149,الإعدادات!$B$4:$B$7,0),INDEX('حضور سوريال'!$G$7:$G$36,$O149),INDEX('حضور غبريال'!$G$7:$G$36,$O149),INDEX('حضور رفائيل'!$G$7:$G$36,$O149),INDEX('حضور ميخائيل'!$G$7:$G$36,$O149)),""))</f>
        <v/>
      </c>
      <c r="T149" s="22" t="str">
        <f>IF($O149="","",IFERROR(CHOOSE(MATCH($F149,الإعدادات!$B$4:$B$7,0),INDEX('حضور سوريال'!$H$7:$H$36,$O149),INDEX('حضور غبريال'!$H$7:$H$36,$O149),INDEX('حضور رفائيل'!$H$7:$H$36,$O149),INDEX('حضور ميخائيل'!$H$7:$H$36,$O149)),""))</f>
        <v/>
      </c>
      <c r="U149" s="23" t="str">
        <f>IF($O149="","",IFERROR(CHOOSE(MATCH($F149,الإعدادات!$B$4:$B$7,0),INDEX('حضور سوريال'!$I$7:$I$36,$O149),INDEX('حضور غبريال'!$I$7:$I$36,$O149),INDEX('حضور رفائيل'!$I$7:$I$36,$O149),INDEX('حضور ميخائيل'!$I$7:$I$36,$O149)),""))</f>
        <v/>
      </c>
      <c r="V149" t="str">
        <f>IF($O149="","",IFERROR(CHOOSE(MATCH($F149,الإعدادات!$B$4:$B$7,0),INDEX('حضور سوريال'!$BM$7:$BM$36,$O149),INDEX('حضور غبريال'!$BM$7:$BM$36,$O149),INDEX('حضور رفائيل'!$BM$7:$BM$36,$O149),INDEX('حضور ميخائيل'!$BM$7:$BM$36,$O149)),""))</f>
        <v/>
      </c>
      <c r="W149" t="str">
        <f>IF(OR(V149=3,V149=4),COUNTIFS(V$6:V149,3)+COUNTIFS(V$6:V149,4),"")</f>
        <v/>
      </c>
    </row>
    <row r="150" spans="1:23" ht="25.5" customHeight="1">
      <c r="A150" s="13" t="str">
        <f t="shared" si="6"/>
        <v/>
      </c>
      <c r="B150" s="14" t="str">
        <f t="shared" si="7"/>
        <v/>
      </c>
      <c r="C150" s="15"/>
      <c r="D150" s="16"/>
      <c r="E150" s="16"/>
      <c r="F150" s="16"/>
      <c r="G150" s="16"/>
      <c r="H150" s="17"/>
      <c r="I150" s="17"/>
      <c r="J150" s="18"/>
      <c r="K150" s="16"/>
      <c r="L150" s="18"/>
      <c r="M150" s="16"/>
      <c r="N150" s="19" t="str">
        <f t="shared" si="8"/>
        <v/>
      </c>
      <c r="O150" s="19" t="str">
        <f>IF(OR(C150="",F150=""),"",COUNTIFS(F$6:F150,F150,C$6:C150,"&lt;&gt;"))</f>
        <v/>
      </c>
      <c r="P150" s="20" t="str">
        <f>IF($O150="","",IFERROR(CHOOSE(MATCH($F150,الإعدادات!$B$4:$B$7,0),INDEX('حضور سوريال'!$C$7:$C$36,$O150),INDEX('حضور غبريال'!$C$7:$C$36,$O150),INDEX('حضور رفائيل'!$C$7:$C$36,$O150),INDEX('حضور ميخائيل'!$C$7:$C$36,$O150)),""))</f>
        <v/>
      </c>
      <c r="Q150" s="20" t="str">
        <f>IF($O150="","",IFERROR(CHOOSE(MATCH($F150,الإعدادات!$B$4:$B$7,0),INDEX('حضور سوريال'!$D$7:$D$36,$O150),INDEX('حضور غبريال'!$D$7:$D$36,$O150),INDEX('حضور رفائيل'!$D$7:$D$36,$O150),INDEX('حضور ميخائيل'!$D$7:$D$36,$O150)),""))</f>
        <v/>
      </c>
      <c r="R150" s="21" t="str">
        <f>IF($O150="","",IFERROR(CHOOSE(MATCH($F150,الإعدادات!$B$4:$B$7,0),INDEX('حضور سوريال'!$F$7:$F$36,$O150),INDEX('حضور غبريال'!$F$7:$F$36,$O150),INDEX('حضور رفائيل'!$F$7:$F$36,$O150),INDEX('حضور ميخائيل'!$F$7:$F$36,$O150)),""))</f>
        <v/>
      </c>
      <c r="S150" s="20" t="str">
        <f>IF($O150="","",IFERROR(CHOOSE(MATCH($F150,الإعدادات!$B$4:$B$7,0),INDEX('حضور سوريال'!$G$7:$G$36,$O150),INDEX('حضور غبريال'!$G$7:$G$36,$O150),INDEX('حضور رفائيل'!$G$7:$G$36,$O150),INDEX('حضور ميخائيل'!$G$7:$G$36,$O150)),""))</f>
        <v/>
      </c>
      <c r="T150" s="22" t="str">
        <f>IF($O150="","",IFERROR(CHOOSE(MATCH($F150,الإعدادات!$B$4:$B$7,0),INDEX('حضور سوريال'!$H$7:$H$36,$O150),INDEX('حضور غبريال'!$H$7:$H$36,$O150),INDEX('حضور رفائيل'!$H$7:$H$36,$O150),INDEX('حضور ميخائيل'!$H$7:$H$36,$O150)),""))</f>
        <v/>
      </c>
      <c r="U150" s="23" t="str">
        <f>IF($O150="","",IFERROR(CHOOSE(MATCH($F150,الإعدادات!$B$4:$B$7,0),INDEX('حضور سوريال'!$I$7:$I$36,$O150),INDEX('حضور غبريال'!$I$7:$I$36,$O150),INDEX('حضور رفائيل'!$I$7:$I$36,$O150),INDEX('حضور ميخائيل'!$I$7:$I$36,$O150)),""))</f>
        <v/>
      </c>
      <c r="V150" t="str">
        <f>IF($O150="","",IFERROR(CHOOSE(MATCH($F150,الإعدادات!$B$4:$B$7,0),INDEX('حضور سوريال'!$BM$7:$BM$36,$O150),INDEX('حضور غبريال'!$BM$7:$BM$36,$O150),INDEX('حضور رفائيل'!$BM$7:$BM$36,$O150),INDEX('حضور ميخائيل'!$BM$7:$BM$36,$O150)),""))</f>
        <v/>
      </c>
      <c r="W150" t="str">
        <f>IF(OR(V150=3,V150=4),COUNTIFS(V$6:V150,3)+COUNTIFS(V$6:V150,4),"")</f>
        <v/>
      </c>
    </row>
    <row r="151" spans="1:23" ht="25.5" customHeight="1">
      <c r="A151" s="13" t="str">
        <f t="shared" si="6"/>
        <v/>
      </c>
      <c r="B151" s="14" t="str">
        <f t="shared" si="7"/>
        <v/>
      </c>
      <c r="C151" s="15"/>
      <c r="D151" s="16"/>
      <c r="E151" s="16"/>
      <c r="F151" s="16"/>
      <c r="G151" s="16"/>
      <c r="H151" s="17"/>
      <c r="I151" s="17"/>
      <c r="J151" s="18"/>
      <c r="K151" s="16"/>
      <c r="L151" s="18"/>
      <c r="M151" s="16"/>
      <c r="N151" s="19" t="str">
        <f t="shared" si="8"/>
        <v/>
      </c>
      <c r="O151" s="19" t="str">
        <f>IF(OR(C151="",F151=""),"",COUNTIFS(F$6:F151,F151,C$6:C151,"&lt;&gt;"))</f>
        <v/>
      </c>
      <c r="P151" s="20" t="str">
        <f>IF($O151="","",IFERROR(CHOOSE(MATCH($F151,الإعدادات!$B$4:$B$7,0),INDEX('حضور سوريال'!$C$7:$C$36,$O151),INDEX('حضور غبريال'!$C$7:$C$36,$O151),INDEX('حضور رفائيل'!$C$7:$C$36,$O151),INDEX('حضور ميخائيل'!$C$7:$C$36,$O151)),""))</f>
        <v/>
      </c>
      <c r="Q151" s="20" t="str">
        <f>IF($O151="","",IFERROR(CHOOSE(MATCH($F151,الإعدادات!$B$4:$B$7,0),INDEX('حضور سوريال'!$D$7:$D$36,$O151),INDEX('حضور غبريال'!$D$7:$D$36,$O151),INDEX('حضور رفائيل'!$D$7:$D$36,$O151),INDEX('حضور ميخائيل'!$D$7:$D$36,$O151)),""))</f>
        <v/>
      </c>
      <c r="R151" s="21" t="str">
        <f>IF($O151="","",IFERROR(CHOOSE(MATCH($F151,الإعدادات!$B$4:$B$7,0),INDEX('حضور سوريال'!$F$7:$F$36,$O151),INDEX('حضور غبريال'!$F$7:$F$36,$O151),INDEX('حضور رفائيل'!$F$7:$F$36,$O151),INDEX('حضور ميخائيل'!$F$7:$F$36,$O151)),""))</f>
        <v/>
      </c>
      <c r="S151" s="20" t="str">
        <f>IF($O151="","",IFERROR(CHOOSE(MATCH($F151,الإعدادات!$B$4:$B$7,0),INDEX('حضور سوريال'!$G$7:$G$36,$O151),INDEX('حضور غبريال'!$G$7:$G$36,$O151),INDEX('حضور رفائيل'!$G$7:$G$36,$O151),INDEX('حضور ميخائيل'!$G$7:$G$36,$O151)),""))</f>
        <v/>
      </c>
      <c r="T151" s="22" t="str">
        <f>IF($O151="","",IFERROR(CHOOSE(MATCH($F151,الإعدادات!$B$4:$B$7,0),INDEX('حضور سوريال'!$H$7:$H$36,$O151),INDEX('حضور غبريال'!$H$7:$H$36,$O151),INDEX('حضور رفائيل'!$H$7:$H$36,$O151),INDEX('حضور ميخائيل'!$H$7:$H$36,$O151)),""))</f>
        <v/>
      </c>
      <c r="U151" s="23" t="str">
        <f>IF($O151="","",IFERROR(CHOOSE(MATCH($F151,الإعدادات!$B$4:$B$7,0),INDEX('حضور سوريال'!$I$7:$I$36,$O151),INDEX('حضور غبريال'!$I$7:$I$36,$O151),INDEX('حضور رفائيل'!$I$7:$I$36,$O151),INDEX('حضور ميخائيل'!$I$7:$I$36,$O151)),""))</f>
        <v/>
      </c>
      <c r="V151" t="str">
        <f>IF($O151="","",IFERROR(CHOOSE(MATCH($F151,الإعدادات!$B$4:$B$7,0),INDEX('حضور سوريال'!$BM$7:$BM$36,$O151),INDEX('حضور غبريال'!$BM$7:$BM$36,$O151),INDEX('حضور رفائيل'!$BM$7:$BM$36,$O151),INDEX('حضور ميخائيل'!$BM$7:$BM$36,$O151)),""))</f>
        <v/>
      </c>
      <c r="W151" t="str">
        <f>IF(OR(V151=3,V151=4),COUNTIFS(V$6:V151,3)+COUNTIFS(V$6:V151,4),"")</f>
        <v/>
      </c>
    </row>
    <row r="152" spans="1:23" ht="25.5" customHeight="1">
      <c r="A152" s="13" t="str">
        <f t="shared" si="6"/>
        <v/>
      </c>
      <c r="B152" s="14" t="str">
        <f t="shared" si="7"/>
        <v/>
      </c>
      <c r="C152" s="15"/>
      <c r="D152" s="16"/>
      <c r="E152" s="16"/>
      <c r="F152" s="16"/>
      <c r="G152" s="16"/>
      <c r="H152" s="17"/>
      <c r="I152" s="17"/>
      <c r="J152" s="18"/>
      <c r="K152" s="16"/>
      <c r="L152" s="18"/>
      <c r="M152" s="16"/>
      <c r="N152" s="19" t="str">
        <f t="shared" si="8"/>
        <v/>
      </c>
      <c r="O152" s="19" t="str">
        <f>IF(OR(C152="",F152=""),"",COUNTIFS(F$6:F152,F152,C$6:C152,"&lt;&gt;"))</f>
        <v/>
      </c>
      <c r="P152" s="20" t="str">
        <f>IF($O152="","",IFERROR(CHOOSE(MATCH($F152,الإعدادات!$B$4:$B$7,0),INDEX('حضور سوريال'!$C$7:$C$36,$O152),INDEX('حضور غبريال'!$C$7:$C$36,$O152),INDEX('حضور رفائيل'!$C$7:$C$36,$O152),INDEX('حضور ميخائيل'!$C$7:$C$36,$O152)),""))</f>
        <v/>
      </c>
      <c r="Q152" s="20" t="str">
        <f>IF($O152="","",IFERROR(CHOOSE(MATCH($F152,الإعدادات!$B$4:$B$7,0),INDEX('حضور سوريال'!$D$7:$D$36,$O152),INDEX('حضور غبريال'!$D$7:$D$36,$O152),INDEX('حضور رفائيل'!$D$7:$D$36,$O152),INDEX('حضور ميخائيل'!$D$7:$D$36,$O152)),""))</f>
        <v/>
      </c>
      <c r="R152" s="21" t="str">
        <f>IF($O152="","",IFERROR(CHOOSE(MATCH($F152,الإعدادات!$B$4:$B$7,0),INDEX('حضور سوريال'!$F$7:$F$36,$O152),INDEX('حضور غبريال'!$F$7:$F$36,$O152),INDEX('حضور رفائيل'!$F$7:$F$36,$O152),INDEX('حضور ميخائيل'!$F$7:$F$36,$O152)),""))</f>
        <v/>
      </c>
      <c r="S152" s="20" t="str">
        <f>IF($O152="","",IFERROR(CHOOSE(MATCH($F152,الإعدادات!$B$4:$B$7,0),INDEX('حضور سوريال'!$G$7:$G$36,$O152),INDEX('حضور غبريال'!$G$7:$G$36,$O152),INDEX('حضور رفائيل'!$G$7:$G$36,$O152),INDEX('حضور ميخائيل'!$G$7:$G$36,$O152)),""))</f>
        <v/>
      </c>
      <c r="T152" s="22" t="str">
        <f>IF($O152="","",IFERROR(CHOOSE(MATCH($F152,الإعدادات!$B$4:$B$7,0),INDEX('حضور سوريال'!$H$7:$H$36,$O152),INDEX('حضور غبريال'!$H$7:$H$36,$O152),INDEX('حضور رفائيل'!$H$7:$H$36,$O152),INDEX('حضور ميخائيل'!$H$7:$H$36,$O152)),""))</f>
        <v/>
      </c>
      <c r="U152" s="23" t="str">
        <f>IF($O152="","",IFERROR(CHOOSE(MATCH($F152,الإعدادات!$B$4:$B$7,0),INDEX('حضور سوريال'!$I$7:$I$36,$O152),INDEX('حضور غبريال'!$I$7:$I$36,$O152),INDEX('حضور رفائيل'!$I$7:$I$36,$O152),INDEX('حضور ميخائيل'!$I$7:$I$36,$O152)),""))</f>
        <v/>
      </c>
      <c r="V152" t="str">
        <f>IF($O152="","",IFERROR(CHOOSE(MATCH($F152,الإعدادات!$B$4:$B$7,0),INDEX('حضور سوريال'!$BM$7:$BM$36,$O152),INDEX('حضور غبريال'!$BM$7:$BM$36,$O152),INDEX('حضور رفائيل'!$BM$7:$BM$36,$O152),INDEX('حضور ميخائيل'!$BM$7:$BM$36,$O152)),""))</f>
        <v/>
      </c>
      <c r="W152" t="str">
        <f>IF(OR(V152=3,V152=4),COUNTIFS(V$6:V152,3)+COUNTIFS(V$6:V152,4),"")</f>
        <v/>
      </c>
    </row>
    <row r="153" spans="1:23" ht="25.5" customHeight="1">
      <c r="A153" s="13" t="str">
        <f t="shared" si="6"/>
        <v/>
      </c>
      <c r="B153" s="14" t="str">
        <f t="shared" si="7"/>
        <v/>
      </c>
      <c r="C153" s="15"/>
      <c r="D153" s="16"/>
      <c r="E153" s="16"/>
      <c r="F153" s="16"/>
      <c r="G153" s="16"/>
      <c r="H153" s="17"/>
      <c r="I153" s="17"/>
      <c r="J153" s="18"/>
      <c r="K153" s="16"/>
      <c r="L153" s="18"/>
      <c r="M153" s="16"/>
      <c r="N153" s="19" t="str">
        <f t="shared" si="8"/>
        <v/>
      </c>
      <c r="O153" s="19" t="str">
        <f>IF(OR(C153="",F153=""),"",COUNTIFS(F$6:F153,F153,C$6:C153,"&lt;&gt;"))</f>
        <v/>
      </c>
      <c r="P153" s="20" t="str">
        <f>IF($O153="","",IFERROR(CHOOSE(MATCH($F153,الإعدادات!$B$4:$B$7,0),INDEX('حضور سوريال'!$C$7:$C$36,$O153),INDEX('حضور غبريال'!$C$7:$C$36,$O153),INDEX('حضور رفائيل'!$C$7:$C$36,$O153),INDEX('حضور ميخائيل'!$C$7:$C$36,$O153)),""))</f>
        <v/>
      </c>
      <c r="Q153" s="20" t="str">
        <f>IF($O153="","",IFERROR(CHOOSE(MATCH($F153,الإعدادات!$B$4:$B$7,0),INDEX('حضور سوريال'!$D$7:$D$36,$O153),INDEX('حضور غبريال'!$D$7:$D$36,$O153),INDEX('حضور رفائيل'!$D$7:$D$36,$O153),INDEX('حضور ميخائيل'!$D$7:$D$36,$O153)),""))</f>
        <v/>
      </c>
      <c r="R153" s="21" t="str">
        <f>IF($O153="","",IFERROR(CHOOSE(MATCH($F153,الإعدادات!$B$4:$B$7,0),INDEX('حضور سوريال'!$F$7:$F$36,$O153),INDEX('حضور غبريال'!$F$7:$F$36,$O153),INDEX('حضور رفائيل'!$F$7:$F$36,$O153),INDEX('حضور ميخائيل'!$F$7:$F$36,$O153)),""))</f>
        <v/>
      </c>
      <c r="S153" s="20" t="str">
        <f>IF($O153="","",IFERROR(CHOOSE(MATCH($F153,الإعدادات!$B$4:$B$7,0),INDEX('حضور سوريال'!$G$7:$G$36,$O153),INDEX('حضور غبريال'!$G$7:$G$36,$O153),INDEX('حضور رفائيل'!$G$7:$G$36,$O153),INDEX('حضور ميخائيل'!$G$7:$G$36,$O153)),""))</f>
        <v/>
      </c>
      <c r="T153" s="22" t="str">
        <f>IF($O153="","",IFERROR(CHOOSE(MATCH($F153,الإعدادات!$B$4:$B$7,0),INDEX('حضور سوريال'!$H$7:$H$36,$O153),INDEX('حضور غبريال'!$H$7:$H$36,$O153),INDEX('حضور رفائيل'!$H$7:$H$36,$O153),INDEX('حضور ميخائيل'!$H$7:$H$36,$O153)),""))</f>
        <v/>
      </c>
      <c r="U153" s="23" t="str">
        <f>IF($O153="","",IFERROR(CHOOSE(MATCH($F153,الإعدادات!$B$4:$B$7,0),INDEX('حضور سوريال'!$I$7:$I$36,$O153),INDEX('حضور غبريال'!$I$7:$I$36,$O153),INDEX('حضور رفائيل'!$I$7:$I$36,$O153),INDEX('حضور ميخائيل'!$I$7:$I$36,$O153)),""))</f>
        <v/>
      </c>
      <c r="V153" t="str">
        <f>IF($O153="","",IFERROR(CHOOSE(MATCH($F153,الإعدادات!$B$4:$B$7,0),INDEX('حضور سوريال'!$BM$7:$BM$36,$O153),INDEX('حضور غبريال'!$BM$7:$BM$36,$O153),INDEX('حضور رفائيل'!$BM$7:$BM$36,$O153),INDEX('حضور ميخائيل'!$BM$7:$BM$36,$O153)),""))</f>
        <v/>
      </c>
      <c r="W153" t="str">
        <f>IF(OR(V153=3,V153=4),COUNTIFS(V$6:V153,3)+COUNTIFS(V$6:V153,4),"")</f>
        <v/>
      </c>
    </row>
    <row r="154" spans="1:23" ht="25.5" customHeight="1">
      <c r="A154" s="13" t="str">
        <f t="shared" si="6"/>
        <v/>
      </c>
      <c r="B154" s="14" t="str">
        <f t="shared" si="7"/>
        <v/>
      </c>
      <c r="C154" s="15"/>
      <c r="D154" s="16"/>
      <c r="E154" s="16"/>
      <c r="F154" s="16"/>
      <c r="G154" s="16"/>
      <c r="H154" s="17"/>
      <c r="I154" s="17"/>
      <c r="J154" s="18"/>
      <c r="K154" s="16"/>
      <c r="L154" s="18"/>
      <c r="M154" s="16"/>
      <c r="N154" s="19" t="str">
        <f t="shared" si="8"/>
        <v/>
      </c>
      <c r="O154" s="19" t="str">
        <f>IF(OR(C154="",F154=""),"",COUNTIFS(F$6:F154,F154,C$6:C154,"&lt;&gt;"))</f>
        <v/>
      </c>
      <c r="P154" s="20" t="str">
        <f>IF($O154="","",IFERROR(CHOOSE(MATCH($F154,الإعدادات!$B$4:$B$7,0),INDEX('حضور سوريال'!$C$7:$C$36,$O154),INDEX('حضور غبريال'!$C$7:$C$36,$O154),INDEX('حضور رفائيل'!$C$7:$C$36,$O154),INDEX('حضور ميخائيل'!$C$7:$C$36,$O154)),""))</f>
        <v/>
      </c>
      <c r="Q154" s="20" t="str">
        <f>IF($O154="","",IFERROR(CHOOSE(MATCH($F154,الإعدادات!$B$4:$B$7,0),INDEX('حضور سوريال'!$D$7:$D$36,$O154),INDEX('حضور غبريال'!$D$7:$D$36,$O154),INDEX('حضور رفائيل'!$D$7:$D$36,$O154),INDEX('حضور ميخائيل'!$D$7:$D$36,$O154)),""))</f>
        <v/>
      </c>
      <c r="R154" s="21" t="str">
        <f>IF($O154="","",IFERROR(CHOOSE(MATCH($F154,الإعدادات!$B$4:$B$7,0),INDEX('حضور سوريال'!$F$7:$F$36,$O154),INDEX('حضور غبريال'!$F$7:$F$36,$O154),INDEX('حضور رفائيل'!$F$7:$F$36,$O154),INDEX('حضور ميخائيل'!$F$7:$F$36,$O154)),""))</f>
        <v/>
      </c>
      <c r="S154" s="20" t="str">
        <f>IF($O154="","",IFERROR(CHOOSE(MATCH($F154,الإعدادات!$B$4:$B$7,0),INDEX('حضور سوريال'!$G$7:$G$36,$O154),INDEX('حضور غبريال'!$G$7:$G$36,$O154),INDEX('حضور رفائيل'!$G$7:$G$36,$O154),INDEX('حضور ميخائيل'!$G$7:$G$36,$O154)),""))</f>
        <v/>
      </c>
      <c r="T154" s="22" t="str">
        <f>IF($O154="","",IFERROR(CHOOSE(MATCH($F154,الإعدادات!$B$4:$B$7,0),INDEX('حضور سوريال'!$H$7:$H$36,$O154),INDEX('حضور غبريال'!$H$7:$H$36,$O154),INDEX('حضور رفائيل'!$H$7:$H$36,$O154),INDEX('حضور ميخائيل'!$H$7:$H$36,$O154)),""))</f>
        <v/>
      </c>
      <c r="U154" s="23" t="str">
        <f>IF($O154="","",IFERROR(CHOOSE(MATCH($F154,الإعدادات!$B$4:$B$7,0),INDEX('حضور سوريال'!$I$7:$I$36,$O154),INDEX('حضور غبريال'!$I$7:$I$36,$O154),INDEX('حضور رفائيل'!$I$7:$I$36,$O154),INDEX('حضور ميخائيل'!$I$7:$I$36,$O154)),""))</f>
        <v/>
      </c>
      <c r="V154" t="str">
        <f>IF($O154="","",IFERROR(CHOOSE(MATCH($F154,الإعدادات!$B$4:$B$7,0),INDEX('حضور سوريال'!$BM$7:$BM$36,$O154),INDEX('حضور غبريال'!$BM$7:$BM$36,$O154),INDEX('حضور رفائيل'!$BM$7:$BM$36,$O154),INDEX('حضور ميخائيل'!$BM$7:$BM$36,$O154)),""))</f>
        <v/>
      </c>
      <c r="W154" t="str">
        <f>IF(OR(V154=3,V154=4),COUNTIFS(V$6:V154,3)+COUNTIFS(V$6:V154,4),"")</f>
        <v/>
      </c>
    </row>
    <row r="155" spans="1:23" ht="25.5" customHeight="1">
      <c r="A155" s="13" t="str">
        <f t="shared" si="6"/>
        <v/>
      </c>
      <c r="B155" s="14" t="str">
        <f t="shared" si="7"/>
        <v/>
      </c>
      <c r="C155" s="15"/>
      <c r="D155" s="16"/>
      <c r="E155" s="16"/>
      <c r="F155" s="16"/>
      <c r="G155" s="16"/>
      <c r="H155" s="17"/>
      <c r="I155" s="17"/>
      <c r="J155" s="18"/>
      <c r="K155" s="16"/>
      <c r="L155" s="18"/>
      <c r="M155" s="16"/>
      <c r="N155" s="19" t="str">
        <f t="shared" si="8"/>
        <v/>
      </c>
      <c r="O155" s="19" t="str">
        <f>IF(OR(C155="",F155=""),"",COUNTIFS(F$6:F155,F155,C$6:C155,"&lt;&gt;"))</f>
        <v/>
      </c>
      <c r="P155" s="20" t="str">
        <f>IF($O155="","",IFERROR(CHOOSE(MATCH($F155,الإعدادات!$B$4:$B$7,0),INDEX('حضور سوريال'!$C$7:$C$36,$O155),INDEX('حضور غبريال'!$C$7:$C$36,$O155),INDEX('حضور رفائيل'!$C$7:$C$36,$O155),INDEX('حضور ميخائيل'!$C$7:$C$36,$O155)),""))</f>
        <v/>
      </c>
      <c r="Q155" s="20" t="str">
        <f>IF($O155="","",IFERROR(CHOOSE(MATCH($F155,الإعدادات!$B$4:$B$7,0),INDEX('حضور سوريال'!$D$7:$D$36,$O155),INDEX('حضور غبريال'!$D$7:$D$36,$O155),INDEX('حضور رفائيل'!$D$7:$D$36,$O155),INDEX('حضور ميخائيل'!$D$7:$D$36,$O155)),""))</f>
        <v/>
      </c>
      <c r="R155" s="21" t="str">
        <f>IF($O155="","",IFERROR(CHOOSE(MATCH($F155,الإعدادات!$B$4:$B$7,0),INDEX('حضور سوريال'!$F$7:$F$36,$O155),INDEX('حضور غبريال'!$F$7:$F$36,$O155),INDEX('حضور رفائيل'!$F$7:$F$36,$O155),INDEX('حضور ميخائيل'!$F$7:$F$36,$O155)),""))</f>
        <v/>
      </c>
      <c r="S155" s="20" t="str">
        <f>IF($O155="","",IFERROR(CHOOSE(MATCH($F155,الإعدادات!$B$4:$B$7,0),INDEX('حضور سوريال'!$G$7:$G$36,$O155),INDEX('حضور غبريال'!$G$7:$G$36,$O155),INDEX('حضور رفائيل'!$G$7:$G$36,$O155),INDEX('حضور ميخائيل'!$G$7:$G$36,$O155)),""))</f>
        <v/>
      </c>
      <c r="T155" s="22" t="str">
        <f>IF($O155="","",IFERROR(CHOOSE(MATCH($F155,الإعدادات!$B$4:$B$7,0),INDEX('حضور سوريال'!$H$7:$H$36,$O155),INDEX('حضور غبريال'!$H$7:$H$36,$O155),INDEX('حضور رفائيل'!$H$7:$H$36,$O155),INDEX('حضور ميخائيل'!$H$7:$H$36,$O155)),""))</f>
        <v/>
      </c>
      <c r="U155" s="23" t="str">
        <f>IF($O155="","",IFERROR(CHOOSE(MATCH($F155,الإعدادات!$B$4:$B$7,0),INDEX('حضور سوريال'!$I$7:$I$36,$O155),INDEX('حضور غبريال'!$I$7:$I$36,$O155),INDEX('حضور رفائيل'!$I$7:$I$36,$O155),INDEX('حضور ميخائيل'!$I$7:$I$36,$O155)),""))</f>
        <v/>
      </c>
      <c r="V155" t="str">
        <f>IF($O155="","",IFERROR(CHOOSE(MATCH($F155,الإعدادات!$B$4:$B$7,0),INDEX('حضور سوريال'!$BM$7:$BM$36,$O155),INDEX('حضور غبريال'!$BM$7:$BM$36,$O155),INDEX('حضور رفائيل'!$BM$7:$BM$36,$O155),INDEX('حضور ميخائيل'!$BM$7:$BM$36,$O155)),""))</f>
        <v/>
      </c>
      <c r="W155" t="str">
        <f>IF(OR(V155=3,V155=4),COUNTIFS(V$6:V155,3)+COUNTIFS(V$6:V155,4),"")</f>
        <v/>
      </c>
    </row>
    <row r="156" spans="1:23" ht="25.5" customHeight="1">
      <c r="A156" s="13" t="str">
        <f t="shared" si="6"/>
        <v/>
      </c>
      <c r="B156" s="14" t="str">
        <f t="shared" si="7"/>
        <v/>
      </c>
      <c r="C156" s="15"/>
      <c r="D156" s="16"/>
      <c r="E156" s="16"/>
      <c r="F156" s="16"/>
      <c r="G156" s="16"/>
      <c r="H156" s="17"/>
      <c r="I156" s="17"/>
      <c r="J156" s="18"/>
      <c r="K156" s="16"/>
      <c r="L156" s="18"/>
      <c r="M156" s="16"/>
      <c r="N156" s="19" t="str">
        <f t="shared" si="8"/>
        <v/>
      </c>
      <c r="O156" s="19" t="str">
        <f>IF(OR(C156="",F156=""),"",COUNTIFS(F$6:F156,F156,C$6:C156,"&lt;&gt;"))</f>
        <v/>
      </c>
      <c r="P156" s="20" t="str">
        <f>IF($O156="","",IFERROR(CHOOSE(MATCH($F156,الإعدادات!$B$4:$B$7,0),INDEX('حضور سوريال'!$C$7:$C$36,$O156),INDEX('حضور غبريال'!$C$7:$C$36,$O156),INDEX('حضور رفائيل'!$C$7:$C$36,$O156),INDEX('حضور ميخائيل'!$C$7:$C$36,$O156)),""))</f>
        <v/>
      </c>
      <c r="Q156" s="20" t="str">
        <f>IF($O156="","",IFERROR(CHOOSE(MATCH($F156,الإعدادات!$B$4:$B$7,0),INDEX('حضور سوريال'!$D$7:$D$36,$O156),INDEX('حضور غبريال'!$D$7:$D$36,$O156),INDEX('حضور رفائيل'!$D$7:$D$36,$O156),INDEX('حضور ميخائيل'!$D$7:$D$36,$O156)),""))</f>
        <v/>
      </c>
      <c r="R156" s="21" t="str">
        <f>IF($O156="","",IFERROR(CHOOSE(MATCH($F156,الإعدادات!$B$4:$B$7,0),INDEX('حضور سوريال'!$F$7:$F$36,$O156),INDEX('حضور غبريال'!$F$7:$F$36,$O156),INDEX('حضور رفائيل'!$F$7:$F$36,$O156),INDEX('حضور ميخائيل'!$F$7:$F$36,$O156)),""))</f>
        <v/>
      </c>
      <c r="S156" s="20" t="str">
        <f>IF($O156="","",IFERROR(CHOOSE(MATCH($F156,الإعدادات!$B$4:$B$7,0),INDEX('حضور سوريال'!$G$7:$G$36,$O156),INDEX('حضور غبريال'!$G$7:$G$36,$O156),INDEX('حضور رفائيل'!$G$7:$G$36,$O156),INDEX('حضور ميخائيل'!$G$7:$G$36,$O156)),""))</f>
        <v/>
      </c>
      <c r="T156" s="22" t="str">
        <f>IF($O156="","",IFERROR(CHOOSE(MATCH($F156,الإعدادات!$B$4:$B$7,0),INDEX('حضور سوريال'!$H$7:$H$36,$O156),INDEX('حضور غبريال'!$H$7:$H$36,$O156),INDEX('حضور رفائيل'!$H$7:$H$36,$O156),INDEX('حضور ميخائيل'!$H$7:$H$36,$O156)),""))</f>
        <v/>
      </c>
      <c r="U156" s="23" t="str">
        <f>IF($O156="","",IFERROR(CHOOSE(MATCH($F156,الإعدادات!$B$4:$B$7,0),INDEX('حضور سوريال'!$I$7:$I$36,$O156),INDEX('حضور غبريال'!$I$7:$I$36,$O156),INDEX('حضور رفائيل'!$I$7:$I$36,$O156),INDEX('حضور ميخائيل'!$I$7:$I$36,$O156)),""))</f>
        <v/>
      </c>
      <c r="V156" t="str">
        <f>IF($O156="","",IFERROR(CHOOSE(MATCH($F156,الإعدادات!$B$4:$B$7,0),INDEX('حضور سوريال'!$BM$7:$BM$36,$O156),INDEX('حضور غبريال'!$BM$7:$BM$36,$O156),INDEX('حضور رفائيل'!$BM$7:$BM$36,$O156),INDEX('حضور ميخائيل'!$BM$7:$BM$36,$O156)),""))</f>
        <v/>
      </c>
      <c r="W156" t="str">
        <f>IF(OR(V156=3,V156=4),COUNTIFS(V$6:V156,3)+COUNTIFS(V$6:V156,4),"")</f>
        <v/>
      </c>
    </row>
    <row r="157" spans="1:23" ht="25.5" customHeight="1">
      <c r="A157" s="13" t="str">
        <f t="shared" si="6"/>
        <v/>
      </c>
      <c r="B157" s="14" t="str">
        <f t="shared" si="7"/>
        <v/>
      </c>
      <c r="C157" s="15"/>
      <c r="D157" s="16"/>
      <c r="E157" s="16"/>
      <c r="F157" s="16"/>
      <c r="G157" s="16"/>
      <c r="H157" s="17"/>
      <c r="I157" s="17"/>
      <c r="J157" s="18"/>
      <c r="K157" s="16"/>
      <c r="L157" s="18"/>
      <c r="M157" s="16"/>
      <c r="N157" s="19" t="str">
        <f t="shared" si="8"/>
        <v/>
      </c>
      <c r="O157" s="19" t="str">
        <f>IF(OR(C157="",F157=""),"",COUNTIFS(F$6:F157,F157,C$6:C157,"&lt;&gt;"))</f>
        <v/>
      </c>
      <c r="P157" s="20" t="str">
        <f>IF($O157="","",IFERROR(CHOOSE(MATCH($F157,الإعدادات!$B$4:$B$7,0),INDEX('حضور سوريال'!$C$7:$C$36,$O157),INDEX('حضور غبريال'!$C$7:$C$36,$O157),INDEX('حضور رفائيل'!$C$7:$C$36,$O157),INDEX('حضور ميخائيل'!$C$7:$C$36,$O157)),""))</f>
        <v/>
      </c>
      <c r="Q157" s="20" t="str">
        <f>IF($O157="","",IFERROR(CHOOSE(MATCH($F157,الإعدادات!$B$4:$B$7,0),INDEX('حضور سوريال'!$D$7:$D$36,$O157),INDEX('حضور غبريال'!$D$7:$D$36,$O157),INDEX('حضور رفائيل'!$D$7:$D$36,$O157),INDEX('حضور ميخائيل'!$D$7:$D$36,$O157)),""))</f>
        <v/>
      </c>
      <c r="R157" s="21" t="str">
        <f>IF($O157="","",IFERROR(CHOOSE(MATCH($F157,الإعدادات!$B$4:$B$7,0),INDEX('حضور سوريال'!$F$7:$F$36,$O157),INDEX('حضور غبريال'!$F$7:$F$36,$O157),INDEX('حضور رفائيل'!$F$7:$F$36,$O157),INDEX('حضور ميخائيل'!$F$7:$F$36,$O157)),""))</f>
        <v/>
      </c>
      <c r="S157" s="20" t="str">
        <f>IF($O157="","",IFERROR(CHOOSE(MATCH($F157,الإعدادات!$B$4:$B$7,0),INDEX('حضور سوريال'!$G$7:$G$36,$O157),INDEX('حضور غبريال'!$G$7:$G$36,$O157),INDEX('حضور رفائيل'!$G$7:$G$36,$O157),INDEX('حضور ميخائيل'!$G$7:$G$36,$O157)),""))</f>
        <v/>
      </c>
      <c r="T157" s="22" t="str">
        <f>IF($O157="","",IFERROR(CHOOSE(MATCH($F157,الإعدادات!$B$4:$B$7,0),INDEX('حضور سوريال'!$H$7:$H$36,$O157),INDEX('حضور غبريال'!$H$7:$H$36,$O157),INDEX('حضور رفائيل'!$H$7:$H$36,$O157),INDEX('حضور ميخائيل'!$H$7:$H$36,$O157)),""))</f>
        <v/>
      </c>
      <c r="U157" s="23" t="str">
        <f>IF($O157="","",IFERROR(CHOOSE(MATCH($F157,الإعدادات!$B$4:$B$7,0),INDEX('حضور سوريال'!$I$7:$I$36,$O157),INDEX('حضور غبريال'!$I$7:$I$36,$O157),INDEX('حضور رفائيل'!$I$7:$I$36,$O157),INDEX('حضور ميخائيل'!$I$7:$I$36,$O157)),""))</f>
        <v/>
      </c>
      <c r="V157" t="str">
        <f>IF($O157="","",IFERROR(CHOOSE(MATCH($F157,الإعدادات!$B$4:$B$7,0),INDEX('حضور سوريال'!$BM$7:$BM$36,$O157),INDEX('حضور غبريال'!$BM$7:$BM$36,$O157),INDEX('حضور رفائيل'!$BM$7:$BM$36,$O157),INDEX('حضور ميخائيل'!$BM$7:$BM$36,$O157)),""))</f>
        <v/>
      </c>
      <c r="W157" t="str">
        <f>IF(OR(V157=3,V157=4),COUNTIFS(V$6:V157,3)+COUNTIFS(V$6:V157,4),"")</f>
        <v/>
      </c>
    </row>
    <row r="158" spans="1:23" ht="25.5" customHeight="1">
      <c r="A158" s="13" t="str">
        <f t="shared" si="6"/>
        <v/>
      </c>
      <c r="B158" s="14" t="str">
        <f t="shared" si="7"/>
        <v/>
      </c>
      <c r="C158" s="15"/>
      <c r="D158" s="16"/>
      <c r="E158" s="16"/>
      <c r="F158" s="16"/>
      <c r="G158" s="16"/>
      <c r="H158" s="17"/>
      <c r="I158" s="17"/>
      <c r="J158" s="18"/>
      <c r="K158" s="16"/>
      <c r="L158" s="18"/>
      <c r="M158" s="16"/>
      <c r="N158" s="19" t="str">
        <f t="shared" si="8"/>
        <v/>
      </c>
      <c r="O158" s="19" t="str">
        <f>IF(OR(C158="",F158=""),"",COUNTIFS(F$6:F158,F158,C$6:C158,"&lt;&gt;"))</f>
        <v/>
      </c>
      <c r="P158" s="20" t="str">
        <f>IF($O158="","",IFERROR(CHOOSE(MATCH($F158,الإعدادات!$B$4:$B$7,0),INDEX('حضور سوريال'!$C$7:$C$36,$O158),INDEX('حضور غبريال'!$C$7:$C$36,$O158),INDEX('حضور رفائيل'!$C$7:$C$36,$O158),INDEX('حضور ميخائيل'!$C$7:$C$36,$O158)),""))</f>
        <v/>
      </c>
      <c r="Q158" s="20" t="str">
        <f>IF($O158="","",IFERROR(CHOOSE(MATCH($F158,الإعدادات!$B$4:$B$7,0),INDEX('حضور سوريال'!$D$7:$D$36,$O158),INDEX('حضور غبريال'!$D$7:$D$36,$O158),INDEX('حضور رفائيل'!$D$7:$D$36,$O158),INDEX('حضور ميخائيل'!$D$7:$D$36,$O158)),""))</f>
        <v/>
      </c>
      <c r="R158" s="21" t="str">
        <f>IF($O158="","",IFERROR(CHOOSE(MATCH($F158,الإعدادات!$B$4:$B$7,0),INDEX('حضور سوريال'!$F$7:$F$36,$O158),INDEX('حضور غبريال'!$F$7:$F$36,$O158),INDEX('حضور رفائيل'!$F$7:$F$36,$O158),INDEX('حضور ميخائيل'!$F$7:$F$36,$O158)),""))</f>
        <v/>
      </c>
      <c r="S158" s="20" t="str">
        <f>IF($O158="","",IFERROR(CHOOSE(MATCH($F158,الإعدادات!$B$4:$B$7,0),INDEX('حضور سوريال'!$G$7:$G$36,$O158),INDEX('حضور غبريال'!$G$7:$G$36,$O158),INDEX('حضور رفائيل'!$G$7:$G$36,$O158),INDEX('حضور ميخائيل'!$G$7:$G$36,$O158)),""))</f>
        <v/>
      </c>
      <c r="T158" s="22" t="str">
        <f>IF($O158="","",IFERROR(CHOOSE(MATCH($F158,الإعدادات!$B$4:$B$7,0),INDEX('حضور سوريال'!$H$7:$H$36,$O158),INDEX('حضور غبريال'!$H$7:$H$36,$O158),INDEX('حضور رفائيل'!$H$7:$H$36,$O158),INDEX('حضور ميخائيل'!$H$7:$H$36,$O158)),""))</f>
        <v/>
      </c>
      <c r="U158" s="23" t="str">
        <f>IF($O158="","",IFERROR(CHOOSE(MATCH($F158,الإعدادات!$B$4:$B$7,0),INDEX('حضور سوريال'!$I$7:$I$36,$O158),INDEX('حضور غبريال'!$I$7:$I$36,$O158),INDEX('حضور رفائيل'!$I$7:$I$36,$O158),INDEX('حضور ميخائيل'!$I$7:$I$36,$O158)),""))</f>
        <v/>
      </c>
      <c r="V158" t="str">
        <f>IF($O158="","",IFERROR(CHOOSE(MATCH($F158,الإعدادات!$B$4:$B$7,0),INDEX('حضور سوريال'!$BM$7:$BM$36,$O158),INDEX('حضور غبريال'!$BM$7:$BM$36,$O158),INDEX('حضور رفائيل'!$BM$7:$BM$36,$O158),INDEX('حضور ميخائيل'!$BM$7:$BM$36,$O158)),""))</f>
        <v/>
      </c>
      <c r="W158" t="str">
        <f>IF(OR(V158=3,V158=4),COUNTIFS(V$6:V158,3)+COUNTIFS(V$6:V158,4),"")</f>
        <v/>
      </c>
    </row>
    <row r="159" spans="1:23" ht="25.5" customHeight="1">
      <c r="A159" s="13" t="str">
        <f t="shared" si="6"/>
        <v/>
      </c>
      <c r="B159" s="14" t="str">
        <f t="shared" si="7"/>
        <v/>
      </c>
      <c r="C159" s="15"/>
      <c r="D159" s="16"/>
      <c r="E159" s="16"/>
      <c r="F159" s="16"/>
      <c r="G159" s="16"/>
      <c r="H159" s="17"/>
      <c r="I159" s="17"/>
      <c r="J159" s="18"/>
      <c r="K159" s="16"/>
      <c r="L159" s="18"/>
      <c r="M159" s="16"/>
      <c r="N159" s="19" t="str">
        <f t="shared" si="8"/>
        <v/>
      </c>
      <c r="O159" s="19" t="str">
        <f>IF(OR(C159="",F159=""),"",COUNTIFS(F$6:F159,F159,C$6:C159,"&lt;&gt;"))</f>
        <v/>
      </c>
      <c r="P159" s="20" t="str">
        <f>IF($O159="","",IFERROR(CHOOSE(MATCH($F159,الإعدادات!$B$4:$B$7,0),INDEX('حضور سوريال'!$C$7:$C$36,$O159),INDEX('حضور غبريال'!$C$7:$C$36,$O159),INDEX('حضور رفائيل'!$C$7:$C$36,$O159),INDEX('حضور ميخائيل'!$C$7:$C$36,$O159)),""))</f>
        <v/>
      </c>
      <c r="Q159" s="20" t="str">
        <f>IF($O159="","",IFERROR(CHOOSE(MATCH($F159,الإعدادات!$B$4:$B$7,0),INDEX('حضور سوريال'!$D$7:$D$36,$O159),INDEX('حضور غبريال'!$D$7:$D$36,$O159),INDEX('حضور رفائيل'!$D$7:$D$36,$O159),INDEX('حضور ميخائيل'!$D$7:$D$36,$O159)),""))</f>
        <v/>
      </c>
      <c r="R159" s="21" t="str">
        <f>IF($O159="","",IFERROR(CHOOSE(MATCH($F159,الإعدادات!$B$4:$B$7,0),INDEX('حضور سوريال'!$F$7:$F$36,$O159),INDEX('حضور غبريال'!$F$7:$F$36,$O159),INDEX('حضور رفائيل'!$F$7:$F$36,$O159),INDEX('حضور ميخائيل'!$F$7:$F$36,$O159)),""))</f>
        <v/>
      </c>
      <c r="S159" s="20" t="str">
        <f>IF($O159="","",IFERROR(CHOOSE(MATCH($F159,الإعدادات!$B$4:$B$7,0),INDEX('حضور سوريال'!$G$7:$G$36,$O159),INDEX('حضور غبريال'!$G$7:$G$36,$O159),INDEX('حضور رفائيل'!$G$7:$G$36,$O159),INDEX('حضور ميخائيل'!$G$7:$G$36,$O159)),""))</f>
        <v/>
      </c>
      <c r="T159" s="22" t="str">
        <f>IF($O159="","",IFERROR(CHOOSE(MATCH($F159,الإعدادات!$B$4:$B$7,0),INDEX('حضور سوريال'!$H$7:$H$36,$O159),INDEX('حضور غبريال'!$H$7:$H$36,$O159),INDEX('حضور رفائيل'!$H$7:$H$36,$O159),INDEX('حضور ميخائيل'!$H$7:$H$36,$O159)),""))</f>
        <v/>
      </c>
      <c r="U159" s="23" t="str">
        <f>IF($O159="","",IFERROR(CHOOSE(MATCH($F159,الإعدادات!$B$4:$B$7,0),INDEX('حضور سوريال'!$I$7:$I$36,$O159),INDEX('حضور غبريال'!$I$7:$I$36,$O159),INDEX('حضور رفائيل'!$I$7:$I$36,$O159),INDEX('حضور ميخائيل'!$I$7:$I$36,$O159)),""))</f>
        <v/>
      </c>
      <c r="V159" t="str">
        <f>IF($O159="","",IFERROR(CHOOSE(MATCH($F159,الإعدادات!$B$4:$B$7,0),INDEX('حضور سوريال'!$BM$7:$BM$36,$O159),INDEX('حضور غبريال'!$BM$7:$BM$36,$O159),INDEX('حضور رفائيل'!$BM$7:$BM$36,$O159),INDEX('حضور ميخائيل'!$BM$7:$BM$36,$O159)),""))</f>
        <v/>
      </c>
      <c r="W159" t="str">
        <f>IF(OR(V159=3,V159=4),COUNTIFS(V$6:V159,3)+COUNTIFS(V$6:V159,4),"")</f>
        <v/>
      </c>
    </row>
    <row r="160" spans="1:23" ht="25.5" customHeight="1">
      <c r="A160" s="13" t="str">
        <f t="shared" si="6"/>
        <v/>
      </c>
      <c r="B160" s="14" t="str">
        <f t="shared" si="7"/>
        <v/>
      </c>
      <c r="C160" s="15"/>
      <c r="D160" s="16"/>
      <c r="E160" s="16"/>
      <c r="F160" s="16"/>
      <c r="G160" s="16"/>
      <c r="H160" s="17"/>
      <c r="I160" s="17"/>
      <c r="J160" s="18"/>
      <c r="K160" s="16"/>
      <c r="L160" s="18"/>
      <c r="M160" s="16"/>
      <c r="N160" s="19" t="str">
        <f t="shared" si="8"/>
        <v/>
      </c>
      <c r="O160" s="19" t="str">
        <f>IF(OR(C160="",F160=""),"",COUNTIFS(F$6:F160,F160,C$6:C160,"&lt;&gt;"))</f>
        <v/>
      </c>
      <c r="P160" s="20" t="str">
        <f>IF($O160="","",IFERROR(CHOOSE(MATCH($F160,الإعدادات!$B$4:$B$7,0),INDEX('حضور سوريال'!$C$7:$C$36,$O160),INDEX('حضور غبريال'!$C$7:$C$36,$O160),INDEX('حضور رفائيل'!$C$7:$C$36,$O160),INDEX('حضور ميخائيل'!$C$7:$C$36,$O160)),""))</f>
        <v/>
      </c>
      <c r="Q160" s="20" t="str">
        <f>IF($O160="","",IFERROR(CHOOSE(MATCH($F160,الإعدادات!$B$4:$B$7,0),INDEX('حضور سوريال'!$D$7:$D$36,$O160),INDEX('حضور غبريال'!$D$7:$D$36,$O160),INDEX('حضور رفائيل'!$D$7:$D$36,$O160),INDEX('حضور ميخائيل'!$D$7:$D$36,$O160)),""))</f>
        <v/>
      </c>
      <c r="R160" s="21" t="str">
        <f>IF($O160="","",IFERROR(CHOOSE(MATCH($F160,الإعدادات!$B$4:$B$7,0),INDEX('حضور سوريال'!$F$7:$F$36,$O160),INDEX('حضور غبريال'!$F$7:$F$36,$O160),INDEX('حضور رفائيل'!$F$7:$F$36,$O160),INDEX('حضور ميخائيل'!$F$7:$F$36,$O160)),""))</f>
        <v/>
      </c>
      <c r="S160" s="20" t="str">
        <f>IF($O160="","",IFERROR(CHOOSE(MATCH($F160,الإعدادات!$B$4:$B$7,0),INDEX('حضور سوريال'!$G$7:$G$36,$O160),INDEX('حضور غبريال'!$G$7:$G$36,$O160),INDEX('حضور رفائيل'!$G$7:$G$36,$O160),INDEX('حضور ميخائيل'!$G$7:$G$36,$O160)),""))</f>
        <v/>
      </c>
      <c r="T160" s="22" t="str">
        <f>IF($O160="","",IFERROR(CHOOSE(MATCH($F160,الإعدادات!$B$4:$B$7,0),INDEX('حضور سوريال'!$H$7:$H$36,$O160),INDEX('حضور غبريال'!$H$7:$H$36,$O160),INDEX('حضور رفائيل'!$H$7:$H$36,$O160),INDEX('حضور ميخائيل'!$H$7:$H$36,$O160)),""))</f>
        <v/>
      </c>
      <c r="U160" s="23" t="str">
        <f>IF($O160="","",IFERROR(CHOOSE(MATCH($F160,الإعدادات!$B$4:$B$7,0),INDEX('حضور سوريال'!$I$7:$I$36,$O160),INDEX('حضور غبريال'!$I$7:$I$36,$O160),INDEX('حضور رفائيل'!$I$7:$I$36,$O160),INDEX('حضور ميخائيل'!$I$7:$I$36,$O160)),""))</f>
        <v/>
      </c>
      <c r="V160" t="str">
        <f>IF($O160="","",IFERROR(CHOOSE(MATCH($F160,الإعدادات!$B$4:$B$7,0),INDEX('حضور سوريال'!$BM$7:$BM$36,$O160),INDEX('حضور غبريال'!$BM$7:$BM$36,$O160),INDEX('حضور رفائيل'!$BM$7:$BM$36,$O160),INDEX('حضور ميخائيل'!$BM$7:$BM$36,$O160)),""))</f>
        <v/>
      </c>
      <c r="W160" t="str">
        <f>IF(OR(V160=3,V160=4),COUNTIFS(V$6:V160,3)+COUNTIFS(V$6:V160,4),"")</f>
        <v/>
      </c>
    </row>
    <row r="161" spans="1:23" ht="25.5" customHeight="1">
      <c r="A161" s="13" t="str">
        <f t="shared" si="6"/>
        <v/>
      </c>
      <c r="B161" s="14" t="str">
        <f t="shared" si="7"/>
        <v/>
      </c>
      <c r="C161" s="15"/>
      <c r="D161" s="16"/>
      <c r="E161" s="16"/>
      <c r="F161" s="16"/>
      <c r="G161" s="16"/>
      <c r="H161" s="17"/>
      <c r="I161" s="17"/>
      <c r="J161" s="18"/>
      <c r="K161" s="16"/>
      <c r="L161" s="18"/>
      <c r="M161" s="16"/>
      <c r="N161" s="19" t="str">
        <f t="shared" si="8"/>
        <v/>
      </c>
      <c r="O161" s="19" t="str">
        <f>IF(OR(C161="",F161=""),"",COUNTIFS(F$6:F161,F161,C$6:C161,"&lt;&gt;"))</f>
        <v/>
      </c>
      <c r="P161" s="20" t="str">
        <f>IF($O161="","",IFERROR(CHOOSE(MATCH($F161,الإعدادات!$B$4:$B$7,0),INDEX('حضور سوريال'!$C$7:$C$36,$O161),INDEX('حضور غبريال'!$C$7:$C$36,$O161),INDEX('حضور رفائيل'!$C$7:$C$36,$O161),INDEX('حضور ميخائيل'!$C$7:$C$36,$O161)),""))</f>
        <v/>
      </c>
      <c r="Q161" s="20" t="str">
        <f>IF($O161="","",IFERROR(CHOOSE(MATCH($F161,الإعدادات!$B$4:$B$7,0),INDEX('حضور سوريال'!$D$7:$D$36,$O161),INDEX('حضور غبريال'!$D$7:$D$36,$O161),INDEX('حضور رفائيل'!$D$7:$D$36,$O161),INDEX('حضور ميخائيل'!$D$7:$D$36,$O161)),""))</f>
        <v/>
      </c>
      <c r="R161" s="21" t="str">
        <f>IF($O161="","",IFERROR(CHOOSE(MATCH($F161,الإعدادات!$B$4:$B$7,0),INDEX('حضور سوريال'!$F$7:$F$36,$O161),INDEX('حضور غبريال'!$F$7:$F$36,$O161),INDEX('حضور رفائيل'!$F$7:$F$36,$O161),INDEX('حضور ميخائيل'!$F$7:$F$36,$O161)),""))</f>
        <v/>
      </c>
      <c r="S161" s="20" t="str">
        <f>IF($O161="","",IFERROR(CHOOSE(MATCH($F161,الإعدادات!$B$4:$B$7,0),INDEX('حضور سوريال'!$G$7:$G$36,$O161),INDEX('حضور غبريال'!$G$7:$G$36,$O161),INDEX('حضور رفائيل'!$G$7:$G$36,$O161),INDEX('حضور ميخائيل'!$G$7:$G$36,$O161)),""))</f>
        <v/>
      </c>
      <c r="T161" s="22" t="str">
        <f>IF($O161="","",IFERROR(CHOOSE(MATCH($F161,الإعدادات!$B$4:$B$7,0),INDEX('حضور سوريال'!$H$7:$H$36,$O161),INDEX('حضور غبريال'!$H$7:$H$36,$O161),INDEX('حضور رفائيل'!$H$7:$H$36,$O161),INDEX('حضور ميخائيل'!$H$7:$H$36,$O161)),""))</f>
        <v/>
      </c>
      <c r="U161" s="23" t="str">
        <f>IF($O161="","",IFERROR(CHOOSE(MATCH($F161,الإعدادات!$B$4:$B$7,0),INDEX('حضور سوريال'!$I$7:$I$36,$O161),INDEX('حضور غبريال'!$I$7:$I$36,$O161),INDEX('حضور رفائيل'!$I$7:$I$36,$O161),INDEX('حضور ميخائيل'!$I$7:$I$36,$O161)),""))</f>
        <v/>
      </c>
      <c r="V161" t="str">
        <f>IF($O161="","",IFERROR(CHOOSE(MATCH($F161,الإعدادات!$B$4:$B$7,0),INDEX('حضور سوريال'!$BM$7:$BM$36,$O161),INDEX('حضور غبريال'!$BM$7:$BM$36,$O161),INDEX('حضور رفائيل'!$BM$7:$BM$36,$O161),INDEX('حضور ميخائيل'!$BM$7:$BM$36,$O161)),""))</f>
        <v/>
      </c>
      <c r="W161" t="str">
        <f>IF(OR(V161=3,V161=4),COUNTIFS(V$6:V161,3)+COUNTIFS(V$6:V161,4),"")</f>
        <v/>
      </c>
    </row>
    <row r="162" spans="1:23" ht="25.5" customHeight="1">
      <c r="A162" s="13" t="str">
        <f t="shared" si="6"/>
        <v/>
      </c>
      <c r="B162" s="14" t="str">
        <f t="shared" si="7"/>
        <v/>
      </c>
      <c r="C162" s="15"/>
      <c r="D162" s="16"/>
      <c r="E162" s="16"/>
      <c r="F162" s="16"/>
      <c r="G162" s="16"/>
      <c r="H162" s="17"/>
      <c r="I162" s="17"/>
      <c r="J162" s="18"/>
      <c r="K162" s="16"/>
      <c r="L162" s="18"/>
      <c r="M162" s="16"/>
      <c r="N162" s="19" t="str">
        <f t="shared" si="8"/>
        <v/>
      </c>
      <c r="O162" s="19" t="str">
        <f>IF(OR(C162="",F162=""),"",COUNTIFS(F$6:F162,F162,C$6:C162,"&lt;&gt;"))</f>
        <v/>
      </c>
      <c r="P162" s="20" t="str">
        <f>IF($O162="","",IFERROR(CHOOSE(MATCH($F162,الإعدادات!$B$4:$B$7,0),INDEX('حضور سوريال'!$C$7:$C$36,$O162),INDEX('حضور غبريال'!$C$7:$C$36,$O162),INDEX('حضور رفائيل'!$C$7:$C$36,$O162),INDEX('حضور ميخائيل'!$C$7:$C$36,$O162)),""))</f>
        <v/>
      </c>
      <c r="Q162" s="20" t="str">
        <f>IF($O162="","",IFERROR(CHOOSE(MATCH($F162,الإعدادات!$B$4:$B$7,0),INDEX('حضور سوريال'!$D$7:$D$36,$O162),INDEX('حضور غبريال'!$D$7:$D$36,$O162),INDEX('حضور رفائيل'!$D$7:$D$36,$O162),INDEX('حضور ميخائيل'!$D$7:$D$36,$O162)),""))</f>
        <v/>
      </c>
      <c r="R162" s="21" t="str">
        <f>IF($O162="","",IFERROR(CHOOSE(MATCH($F162,الإعدادات!$B$4:$B$7,0),INDEX('حضور سوريال'!$F$7:$F$36,$O162),INDEX('حضور غبريال'!$F$7:$F$36,$O162),INDEX('حضور رفائيل'!$F$7:$F$36,$O162),INDEX('حضور ميخائيل'!$F$7:$F$36,$O162)),""))</f>
        <v/>
      </c>
      <c r="S162" s="20" t="str">
        <f>IF($O162="","",IFERROR(CHOOSE(MATCH($F162,الإعدادات!$B$4:$B$7,0),INDEX('حضور سوريال'!$G$7:$G$36,$O162),INDEX('حضور غبريال'!$G$7:$G$36,$O162),INDEX('حضور رفائيل'!$G$7:$G$36,$O162),INDEX('حضور ميخائيل'!$G$7:$G$36,$O162)),""))</f>
        <v/>
      </c>
      <c r="T162" s="22" t="str">
        <f>IF($O162="","",IFERROR(CHOOSE(MATCH($F162,الإعدادات!$B$4:$B$7,0),INDEX('حضور سوريال'!$H$7:$H$36,$O162),INDEX('حضور غبريال'!$H$7:$H$36,$O162),INDEX('حضور رفائيل'!$H$7:$H$36,$O162),INDEX('حضور ميخائيل'!$H$7:$H$36,$O162)),""))</f>
        <v/>
      </c>
      <c r="U162" s="23" t="str">
        <f>IF($O162="","",IFERROR(CHOOSE(MATCH($F162,الإعدادات!$B$4:$B$7,0),INDEX('حضور سوريال'!$I$7:$I$36,$O162),INDEX('حضور غبريال'!$I$7:$I$36,$O162),INDEX('حضور رفائيل'!$I$7:$I$36,$O162),INDEX('حضور ميخائيل'!$I$7:$I$36,$O162)),""))</f>
        <v/>
      </c>
      <c r="V162" t="str">
        <f>IF($O162="","",IFERROR(CHOOSE(MATCH($F162,الإعدادات!$B$4:$B$7,0),INDEX('حضور سوريال'!$BM$7:$BM$36,$O162),INDEX('حضور غبريال'!$BM$7:$BM$36,$O162),INDEX('حضور رفائيل'!$BM$7:$BM$36,$O162),INDEX('حضور ميخائيل'!$BM$7:$BM$36,$O162)),""))</f>
        <v/>
      </c>
      <c r="W162" t="str">
        <f>IF(OR(V162=3,V162=4),COUNTIFS(V$6:V162,3)+COUNTIFS(V$6:V162,4),"")</f>
        <v/>
      </c>
    </row>
    <row r="163" spans="1:23" ht="25.5" customHeight="1">
      <c r="A163" s="13" t="str">
        <f t="shared" si="6"/>
        <v/>
      </c>
      <c r="B163" s="14" t="str">
        <f t="shared" si="7"/>
        <v/>
      </c>
      <c r="C163" s="15"/>
      <c r="D163" s="16"/>
      <c r="E163" s="16"/>
      <c r="F163" s="16"/>
      <c r="G163" s="16"/>
      <c r="H163" s="17"/>
      <c r="I163" s="17"/>
      <c r="J163" s="18"/>
      <c r="K163" s="16"/>
      <c r="L163" s="18"/>
      <c r="M163" s="16"/>
      <c r="N163" s="19" t="str">
        <f t="shared" si="8"/>
        <v/>
      </c>
      <c r="O163" s="19" t="str">
        <f>IF(OR(C163="",F163=""),"",COUNTIFS(F$6:F163,F163,C$6:C163,"&lt;&gt;"))</f>
        <v/>
      </c>
      <c r="P163" s="20" t="str">
        <f>IF($O163="","",IFERROR(CHOOSE(MATCH($F163,الإعدادات!$B$4:$B$7,0),INDEX('حضور سوريال'!$C$7:$C$36,$O163),INDEX('حضور غبريال'!$C$7:$C$36,$O163),INDEX('حضور رفائيل'!$C$7:$C$36,$O163),INDEX('حضور ميخائيل'!$C$7:$C$36,$O163)),""))</f>
        <v/>
      </c>
      <c r="Q163" s="20" t="str">
        <f>IF($O163="","",IFERROR(CHOOSE(MATCH($F163,الإعدادات!$B$4:$B$7,0),INDEX('حضور سوريال'!$D$7:$D$36,$O163),INDEX('حضور غبريال'!$D$7:$D$36,$O163),INDEX('حضور رفائيل'!$D$7:$D$36,$O163),INDEX('حضور ميخائيل'!$D$7:$D$36,$O163)),""))</f>
        <v/>
      </c>
      <c r="R163" s="21" t="str">
        <f>IF($O163="","",IFERROR(CHOOSE(MATCH($F163,الإعدادات!$B$4:$B$7,0),INDEX('حضور سوريال'!$F$7:$F$36,$O163),INDEX('حضور غبريال'!$F$7:$F$36,$O163),INDEX('حضور رفائيل'!$F$7:$F$36,$O163),INDEX('حضور ميخائيل'!$F$7:$F$36,$O163)),""))</f>
        <v/>
      </c>
      <c r="S163" s="20" t="str">
        <f>IF($O163="","",IFERROR(CHOOSE(MATCH($F163,الإعدادات!$B$4:$B$7,0),INDEX('حضور سوريال'!$G$7:$G$36,$O163),INDEX('حضور غبريال'!$G$7:$G$36,$O163),INDEX('حضور رفائيل'!$G$7:$G$36,$O163),INDEX('حضور ميخائيل'!$G$7:$G$36,$O163)),""))</f>
        <v/>
      </c>
      <c r="T163" s="22" t="str">
        <f>IF($O163="","",IFERROR(CHOOSE(MATCH($F163,الإعدادات!$B$4:$B$7,0),INDEX('حضور سوريال'!$H$7:$H$36,$O163),INDEX('حضور غبريال'!$H$7:$H$36,$O163),INDEX('حضور رفائيل'!$H$7:$H$36,$O163),INDEX('حضور ميخائيل'!$H$7:$H$36,$O163)),""))</f>
        <v/>
      </c>
      <c r="U163" s="23" t="str">
        <f>IF($O163="","",IFERROR(CHOOSE(MATCH($F163,الإعدادات!$B$4:$B$7,0),INDEX('حضور سوريال'!$I$7:$I$36,$O163),INDEX('حضور غبريال'!$I$7:$I$36,$O163),INDEX('حضور رفائيل'!$I$7:$I$36,$O163),INDEX('حضور ميخائيل'!$I$7:$I$36,$O163)),""))</f>
        <v/>
      </c>
      <c r="V163" t="str">
        <f>IF($O163="","",IFERROR(CHOOSE(MATCH($F163,الإعدادات!$B$4:$B$7,0),INDEX('حضور سوريال'!$BM$7:$BM$36,$O163),INDEX('حضور غبريال'!$BM$7:$BM$36,$O163),INDEX('حضور رفائيل'!$BM$7:$BM$36,$O163),INDEX('حضور ميخائيل'!$BM$7:$BM$36,$O163)),""))</f>
        <v/>
      </c>
      <c r="W163" t="str">
        <f>IF(OR(V163=3,V163=4),COUNTIFS(V$6:V163,3)+COUNTIFS(V$6:V163,4),"")</f>
        <v/>
      </c>
    </row>
    <row r="164" spans="1:23" ht="25.5" customHeight="1">
      <c r="A164" s="13" t="str">
        <f t="shared" si="6"/>
        <v/>
      </c>
      <c r="B164" s="14" t="str">
        <f t="shared" si="7"/>
        <v/>
      </c>
      <c r="C164" s="15"/>
      <c r="D164" s="16"/>
      <c r="E164" s="16"/>
      <c r="F164" s="16"/>
      <c r="G164" s="16"/>
      <c r="H164" s="17"/>
      <c r="I164" s="17"/>
      <c r="J164" s="18"/>
      <c r="K164" s="16"/>
      <c r="L164" s="18"/>
      <c r="M164" s="16"/>
      <c r="N164" s="19" t="str">
        <f t="shared" si="8"/>
        <v/>
      </c>
      <c r="O164" s="19" t="str">
        <f>IF(OR(C164="",F164=""),"",COUNTIFS(F$6:F164,F164,C$6:C164,"&lt;&gt;"))</f>
        <v/>
      </c>
      <c r="P164" s="20" t="str">
        <f>IF($O164="","",IFERROR(CHOOSE(MATCH($F164,الإعدادات!$B$4:$B$7,0),INDEX('حضور سوريال'!$C$7:$C$36,$O164),INDEX('حضور غبريال'!$C$7:$C$36,$O164),INDEX('حضور رفائيل'!$C$7:$C$36,$O164),INDEX('حضور ميخائيل'!$C$7:$C$36,$O164)),""))</f>
        <v/>
      </c>
      <c r="Q164" s="20" t="str">
        <f>IF($O164="","",IFERROR(CHOOSE(MATCH($F164,الإعدادات!$B$4:$B$7,0),INDEX('حضور سوريال'!$D$7:$D$36,$O164),INDEX('حضور غبريال'!$D$7:$D$36,$O164),INDEX('حضور رفائيل'!$D$7:$D$36,$O164),INDEX('حضور ميخائيل'!$D$7:$D$36,$O164)),""))</f>
        <v/>
      </c>
      <c r="R164" s="21" t="str">
        <f>IF($O164="","",IFERROR(CHOOSE(MATCH($F164,الإعدادات!$B$4:$B$7,0),INDEX('حضور سوريال'!$F$7:$F$36,$O164),INDEX('حضور غبريال'!$F$7:$F$36,$O164),INDEX('حضور رفائيل'!$F$7:$F$36,$O164),INDEX('حضور ميخائيل'!$F$7:$F$36,$O164)),""))</f>
        <v/>
      </c>
      <c r="S164" s="20" t="str">
        <f>IF($O164="","",IFERROR(CHOOSE(MATCH($F164,الإعدادات!$B$4:$B$7,0),INDEX('حضور سوريال'!$G$7:$G$36,$O164),INDEX('حضور غبريال'!$G$7:$G$36,$O164),INDEX('حضور رفائيل'!$G$7:$G$36,$O164),INDEX('حضور ميخائيل'!$G$7:$G$36,$O164)),""))</f>
        <v/>
      </c>
      <c r="T164" s="22" t="str">
        <f>IF($O164="","",IFERROR(CHOOSE(MATCH($F164,الإعدادات!$B$4:$B$7,0),INDEX('حضور سوريال'!$H$7:$H$36,$O164),INDEX('حضور غبريال'!$H$7:$H$36,$O164),INDEX('حضور رفائيل'!$H$7:$H$36,$O164),INDEX('حضور ميخائيل'!$H$7:$H$36,$O164)),""))</f>
        <v/>
      </c>
      <c r="U164" s="23" t="str">
        <f>IF($O164="","",IFERROR(CHOOSE(MATCH($F164,الإعدادات!$B$4:$B$7,0),INDEX('حضور سوريال'!$I$7:$I$36,$O164),INDEX('حضور غبريال'!$I$7:$I$36,$O164),INDEX('حضور رفائيل'!$I$7:$I$36,$O164),INDEX('حضور ميخائيل'!$I$7:$I$36,$O164)),""))</f>
        <v/>
      </c>
      <c r="V164" t="str">
        <f>IF($O164="","",IFERROR(CHOOSE(MATCH($F164,الإعدادات!$B$4:$B$7,0),INDEX('حضور سوريال'!$BM$7:$BM$36,$O164),INDEX('حضور غبريال'!$BM$7:$BM$36,$O164),INDEX('حضور رفائيل'!$BM$7:$BM$36,$O164),INDEX('حضور ميخائيل'!$BM$7:$BM$36,$O164)),""))</f>
        <v/>
      </c>
      <c r="W164" t="str">
        <f>IF(OR(V164=3,V164=4),COUNTIFS(V$6:V164,3)+COUNTIFS(V$6:V164,4),"")</f>
        <v/>
      </c>
    </row>
    <row r="165" spans="1:23" ht="25.5" customHeight="1">
      <c r="A165" s="13" t="str">
        <f t="shared" si="6"/>
        <v/>
      </c>
      <c r="B165" s="14" t="str">
        <f t="shared" si="7"/>
        <v/>
      </c>
      <c r="C165" s="15"/>
      <c r="D165" s="16"/>
      <c r="E165" s="16"/>
      <c r="F165" s="16"/>
      <c r="G165" s="16"/>
      <c r="H165" s="17"/>
      <c r="I165" s="17"/>
      <c r="J165" s="18"/>
      <c r="K165" s="16"/>
      <c r="L165" s="18"/>
      <c r="M165" s="16"/>
      <c r="N165" s="19" t="str">
        <f t="shared" si="8"/>
        <v/>
      </c>
      <c r="O165" s="19" t="str">
        <f>IF(OR(C165="",F165=""),"",COUNTIFS(F$6:F165,F165,C$6:C165,"&lt;&gt;"))</f>
        <v/>
      </c>
      <c r="P165" s="20" t="str">
        <f>IF($O165="","",IFERROR(CHOOSE(MATCH($F165,الإعدادات!$B$4:$B$7,0),INDEX('حضور سوريال'!$C$7:$C$36,$O165),INDEX('حضور غبريال'!$C$7:$C$36,$O165),INDEX('حضور رفائيل'!$C$7:$C$36,$O165),INDEX('حضور ميخائيل'!$C$7:$C$36,$O165)),""))</f>
        <v/>
      </c>
      <c r="Q165" s="20" t="str">
        <f>IF($O165="","",IFERROR(CHOOSE(MATCH($F165,الإعدادات!$B$4:$B$7,0),INDEX('حضور سوريال'!$D$7:$D$36,$O165),INDEX('حضور غبريال'!$D$7:$D$36,$O165),INDEX('حضور رفائيل'!$D$7:$D$36,$O165),INDEX('حضور ميخائيل'!$D$7:$D$36,$O165)),""))</f>
        <v/>
      </c>
      <c r="R165" s="21" t="str">
        <f>IF($O165="","",IFERROR(CHOOSE(MATCH($F165,الإعدادات!$B$4:$B$7,0),INDEX('حضور سوريال'!$F$7:$F$36,$O165),INDEX('حضور غبريال'!$F$7:$F$36,$O165),INDEX('حضور رفائيل'!$F$7:$F$36,$O165),INDEX('حضور ميخائيل'!$F$7:$F$36,$O165)),""))</f>
        <v/>
      </c>
      <c r="S165" s="20" t="str">
        <f>IF($O165="","",IFERROR(CHOOSE(MATCH($F165,الإعدادات!$B$4:$B$7,0),INDEX('حضور سوريال'!$G$7:$G$36,$O165),INDEX('حضور غبريال'!$G$7:$G$36,$O165),INDEX('حضور رفائيل'!$G$7:$G$36,$O165),INDEX('حضور ميخائيل'!$G$7:$G$36,$O165)),""))</f>
        <v/>
      </c>
      <c r="T165" s="22" t="str">
        <f>IF($O165="","",IFERROR(CHOOSE(MATCH($F165,الإعدادات!$B$4:$B$7,0),INDEX('حضور سوريال'!$H$7:$H$36,$O165),INDEX('حضور غبريال'!$H$7:$H$36,$O165),INDEX('حضور رفائيل'!$H$7:$H$36,$O165),INDEX('حضور ميخائيل'!$H$7:$H$36,$O165)),""))</f>
        <v/>
      </c>
      <c r="U165" s="23" t="str">
        <f>IF($O165="","",IFERROR(CHOOSE(MATCH($F165,الإعدادات!$B$4:$B$7,0),INDEX('حضور سوريال'!$I$7:$I$36,$O165),INDEX('حضور غبريال'!$I$7:$I$36,$O165),INDEX('حضور رفائيل'!$I$7:$I$36,$O165),INDEX('حضور ميخائيل'!$I$7:$I$36,$O165)),""))</f>
        <v/>
      </c>
      <c r="V165" t="str">
        <f>IF($O165="","",IFERROR(CHOOSE(MATCH($F165,الإعدادات!$B$4:$B$7,0),INDEX('حضور سوريال'!$BM$7:$BM$36,$O165),INDEX('حضور غبريال'!$BM$7:$BM$36,$O165),INDEX('حضور رفائيل'!$BM$7:$BM$36,$O165),INDEX('حضور ميخائيل'!$BM$7:$BM$36,$O165)),""))</f>
        <v/>
      </c>
      <c r="W165" t="str">
        <f>IF(OR(V165=3,V165=4),COUNTIFS(V$6:V165,3)+COUNTIFS(V$6:V165,4),"")</f>
        <v/>
      </c>
    </row>
    <row r="166" spans="1:23" ht="25.5" customHeight="1">
      <c r="A166" s="13" t="str">
        <f t="shared" si="6"/>
        <v/>
      </c>
      <c r="B166" s="14" t="str">
        <f t="shared" si="7"/>
        <v/>
      </c>
      <c r="C166" s="15"/>
      <c r="D166" s="16"/>
      <c r="E166" s="16"/>
      <c r="F166" s="16"/>
      <c r="G166" s="16"/>
      <c r="H166" s="17"/>
      <c r="I166" s="17"/>
      <c r="J166" s="18"/>
      <c r="K166" s="16"/>
      <c r="L166" s="18"/>
      <c r="M166" s="16"/>
      <c r="N166" s="19" t="str">
        <f t="shared" si="8"/>
        <v/>
      </c>
      <c r="O166" s="19" t="str">
        <f>IF(OR(C166="",F166=""),"",COUNTIFS(F$6:F166,F166,C$6:C166,"&lt;&gt;"))</f>
        <v/>
      </c>
      <c r="P166" s="20" t="str">
        <f>IF($O166="","",IFERROR(CHOOSE(MATCH($F166,الإعدادات!$B$4:$B$7,0),INDEX('حضور سوريال'!$C$7:$C$36,$O166),INDEX('حضور غبريال'!$C$7:$C$36,$O166),INDEX('حضور رفائيل'!$C$7:$C$36,$O166),INDEX('حضور ميخائيل'!$C$7:$C$36,$O166)),""))</f>
        <v/>
      </c>
      <c r="Q166" s="20" t="str">
        <f>IF($O166="","",IFERROR(CHOOSE(MATCH($F166,الإعدادات!$B$4:$B$7,0),INDEX('حضور سوريال'!$D$7:$D$36,$O166),INDEX('حضور غبريال'!$D$7:$D$36,$O166),INDEX('حضور رفائيل'!$D$7:$D$36,$O166),INDEX('حضور ميخائيل'!$D$7:$D$36,$O166)),""))</f>
        <v/>
      </c>
      <c r="R166" s="21" t="str">
        <f>IF($O166="","",IFERROR(CHOOSE(MATCH($F166,الإعدادات!$B$4:$B$7,0),INDEX('حضور سوريال'!$F$7:$F$36,$O166),INDEX('حضور غبريال'!$F$7:$F$36,$O166),INDEX('حضور رفائيل'!$F$7:$F$36,$O166),INDEX('حضور ميخائيل'!$F$7:$F$36,$O166)),""))</f>
        <v/>
      </c>
      <c r="S166" s="20" t="str">
        <f>IF($O166="","",IFERROR(CHOOSE(MATCH($F166,الإعدادات!$B$4:$B$7,0),INDEX('حضور سوريال'!$G$7:$G$36,$O166),INDEX('حضور غبريال'!$G$7:$G$36,$O166),INDEX('حضور رفائيل'!$G$7:$G$36,$O166),INDEX('حضور ميخائيل'!$G$7:$G$36,$O166)),""))</f>
        <v/>
      </c>
      <c r="T166" s="22" t="str">
        <f>IF($O166="","",IFERROR(CHOOSE(MATCH($F166,الإعدادات!$B$4:$B$7,0),INDEX('حضور سوريال'!$H$7:$H$36,$O166),INDEX('حضور غبريال'!$H$7:$H$36,$O166),INDEX('حضور رفائيل'!$H$7:$H$36,$O166),INDEX('حضور ميخائيل'!$H$7:$H$36,$O166)),""))</f>
        <v/>
      </c>
      <c r="U166" s="23" t="str">
        <f>IF($O166="","",IFERROR(CHOOSE(MATCH($F166,الإعدادات!$B$4:$B$7,0),INDEX('حضور سوريال'!$I$7:$I$36,$O166),INDEX('حضور غبريال'!$I$7:$I$36,$O166),INDEX('حضور رفائيل'!$I$7:$I$36,$O166),INDEX('حضور ميخائيل'!$I$7:$I$36,$O166)),""))</f>
        <v/>
      </c>
      <c r="V166" t="str">
        <f>IF($O166="","",IFERROR(CHOOSE(MATCH($F166,الإعدادات!$B$4:$B$7,0),INDEX('حضور سوريال'!$BM$7:$BM$36,$O166),INDEX('حضور غبريال'!$BM$7:$BM$36,$O166),INDEX('حضور رفائيل'!$BM$7:$BM$36,$O166),INDEX('حضور ميخائيل'!$BM$7:$BM$36,$O166)),""))</f>
        <v/>
      </c>
      <c r="W166" t="str">
        <f>IF(OR(V166=3,V166=4),COUNTIFS(V$6:V166,3)+COUNTIFS(V$6:V166,4),"")</f>
        <v/>
      </c>
    </row>
    <row r="167" spans="1:23" ht="25.5" customHeight="1">
      <c r="A167" s="13" t="str">
        <f t="shared" si="6"/>
        <v/>
      </c>
      <c r="B167" s="14" t="str">
        <f t="shared" si="7"/>
        <v/>
      </c>
      <c r="C167" s="15"/>
      <c r="D167" s="16"/>
      <c r="E167" s="16"/>
      <c r="F167" s="16"/>
      <c r="G167" s="16"/>
      <c r="H167" s="17"/>
      <c r="I167" s="17"/>
      <c r="J167" s="18"/>
      <c r="K167" s="16"/>
      <c r="L167" s="18"/>
      <c r="M167" s="16"/>
      <c r="N167" s="19" t="str">
        <f t="shared" si="8"/>
        <v/>
      </c>
      <c r="O167" s="19" t="str">
        <f>IF(OR(C167="",F167=""),"",COUNTIFS(F$6:F167,F167,C$6:C167,"&lt;&gt;"))</f>
        <v/>
      </c>
      <c r="P167" s="20" t="str">
        <f>IF($O167="","",IFERROR(CHOOSE(MATCH($F167,الإعدادات!$B$4:$B$7,0),INDEX('حضور سوريال'!$C$7:$C$36,$O167),INDEX('حضور غبريال'!$C$7:$C$36,$O167),INDEX('حضور رفائيل'!$C$7:$C$36,$O167),INDEX('حضور ميخائيل'!$C$7:$C$36,$O167)),""))</f>
        <v/>
      </c>
      <c r="Q167" s="20" t="str">
        <f>IF($O167="","",IFERROR(CHOOSE(MATCH($F167,الإعدادات!$B$4:$B$7,0),INDEX('حضور سوريال'!$D$7:$D$36,$O167),INDEX('حضور غبريال'!$D$7:$D$36,$O167),INDEX('حضور رفائيل'!$D$7:$D$36,$O167),INDEX('حضور ميخائيل'!$D$7:$D$36,$O167)),""))</f>
        <v/>
      </c>
      <c r="R167" s="21" t="str">
        <f>IF($O167="","",IFERROR(CHOOSE(MATCH($F167,الإعدادات!$B$4:$B$7,0),INDEX('حضور سوريال'!$F$7:$F$36,$O167),INDEX('حضور غبريال'!$F$7:$F$36,$O167),INDEX('حضور رفائيل'!$F$7:$F$36,$O167),INDEX('حضور ميخائيل'!$F$7:$F$36,$O167)),""))</f>
        <v/>
      </c>
      <c r="S167" s="20" t="str">
        <f>IF($O167="","",IFERROR(CHOOSE(MATCH($F167,الإعدادات!$B$4:$B$7,0),INDEX('حضور سوريال'!$G$7:$G$36,$O167),INDEX('حضور غبريال'!$G$7:$G$36,$O167),INDEX('حضور رفائيل'!$G$7:$G$36,$O167),INDEX('حضور ميخائيل'!$G$7:$G$36,$O167)),""))</f>
        <v/>
      </c>
      <c r="T167" s="22" t="str">
        <f>IF($O167="","",IFERROR(CHOOSE(MATCH($F167,الإعدادات!$B$4:$B$7,0),INDEX('حضور سوريال'!$H$7:$H$36,$O167),INDEX('حضور غبريال'!$H$7:$H$36,$O167),INDEX('حضور رفائيل'!$H$7:$H$36,$O167),INDEX('حضور ميخائيل'!$H$7:$H$36,$O167)),""))</f>
        <v/>
      </c>
      <c r="U167" s="23" t="str">
        <f>IF($O167="","",IFERROR(CHOOSE(MATCH($F167,الإعدادات!$B$4:$B$7,0),INDEX('حضور سوريال'!$I$7:$I$36,$O167),INDEX('حضور غبريال'!$I$7:$I$36,$O167),INDEX('حضور رفائيل'!$I$7:$I$36,$O167),INDEX('حضور ميخائيل'!$I$7:$I$36,$O167)),""))</f>
        <v/>
      </c>
      <c r="V167" t="str">
        <f>IF($O167="","",IFERROR(CHOOSE(MATCH($F167,الإعدادات!$B$4:$B$7,0),INDEX('حضور سوريال'!$BM$7:$BM$36,$O167),INDEX('حضور غبريال'!$BM$7:$BM$36,$O167),INDEX('حضور رفائيل'!$BM$7:$BM$36,$O167),INDEX('حضور ميخائيل'!$BM$7:$BM$36,$O167)),""))</f>
        <v/>
      </c>
      <c r="W167" t="str">
        <f>IF(OR(V167=3,V167=4),COUNTIFS(V$6:V167,3)+COUNTIFS(V$6:V167,4),"")</f>
        <v/>
      </c>
    </row>
    <row r="168" spans="1:23" ht="25.5" customHeight="1">
      <c r="A168" s="13" t="str">
        <f t="shared" si="6"/>
        <v/>
      </c>
      <c r="B168" s="14" t="str">
        <f t="shared" si="7"/>
        <v/>
      </c>
      <c r="C168" s="15"/>
      <c r="D168" s="16"/>
      <c r="E168" s="16"/>
      <c r="F168" s="16"/>
      <c r="G168" s="16"/>
      <c r="H168" s="17"/>
      <c r="I168" s="17"/>
      <c r="J168" s="18"/>
      <c r="K168" s="16"/>
      <c r="L168" s="18"/>
      <c r="M168" s="16"/>
      <c r="N168" s="19" t="str">
        <f t="shared" si="8"/>
        <v/>
      </c>
      <c r="O168" s="19" t="str">
        <f>IF(OR(C168="",F168=""),"",COUNTIFS(F$6:F168,F168,C$6:C168,"&lt;&gt;"))</f>
        <v/>
      </c>
      <c r="P168" s="20" t="str">
        <f>IF($O168="","",IFERROR(CHOOSE(MATCH($F168,الإعدادات!$B$4:$B$7,0),INDEX('حضور سوريال'!$C$7:$C$36,$O168),INDEX('حضور غبريال'!$C$7:$C$36,$O168),INDEX('حضور رفائيل'!$C$7:$C$36,$O168),INDEX('حضور ميخائيل'!$C$7:$C$36,$O168)),""))</f>
        <v/>
      </c>
      <c r="Q168" s="20" t="str">
        <f>IF($O168="","",IFERROR(CHOOSE(MATCH($F168,الإعدادات!$B$4:$B$7,0),INDEX('حضور سوريال'!$D$7:$D$36,$O168),INDEX('حضور غبريال'!$D$7:$D$36,$O168),INDEX('حضور رفائيل'!$D$7:$D$36,$O168),INDEX('حضور ميخائيل'!$D$7:$D$36,$O168)),""))</f>
        <v/>
      </c>
      <c r="R168" s="21" t="str">
        <f>IF($O168="","",IFERROR(CHOOSE(MATCH($F168,الإعدادات!$B$4:$B$7,0),INDEX('حضور سوريال'!$F$7:$F$36,$O168),INDEX('حضور غبريال'!$F$7:$F$36,$O168),INDEX('حضور رفائيل'!$F$7:$F$36,$O168),INDEX('حضور ميخائيل'!$F$7:$F$36,$O168)),""))</f>
        <v/>
      </c>
      <c r="S168" s="20" t="str">
        <f>IF($O168="","",IFERROR(CHOOSE(MATCH($F168,الإعدادات!$B$4:$B$7,0),INDEX('حضور سوريال'!$G$7:$G$36,$O168),INDEX('حضور غبريال'!$G$7:$G$36,$O168),INDEX('حضور رفائيل'!$G$7:$G$36,$O168),INDEX('حضور ميخائيل'!$G$7:$G$36,$O168)),""))</f>
        <v/>
      </c>
      <c r="T168" s="22" t="str">
        <f>IF($O168="","",IFERROR(CHOOSE(MATCH($F168,الإعدادات!$B$4:$B$7,0),INDEX('حضور سوريال'!$H$7:$H$36,$O168),INDEX('حضور غبريال'!$H$7:$H$36,$O168),INDEX('حضور رفائيل'!$H$7:$H$36,$O168),INDEX('حضور ميخائيل'!$H$7:$H$36,$O168)),""))</f>
        <v/>
      </c>
      <c r="U168" s="23" t="str">
        <f>IF($O168="","",IFERROR(CHOOSE(MATCH($F168,الإعدادات!$B$4:$B$7,0),INDEX('حضور سوريال'!$I$7:$I$36,$O168),INDEX('حضور غبريال'!$I$7:$I$36,$O168),INDEX('حضور رفائيل'!$I$7:$I$36,$O168),INDEX('حضور ميخائيل'!$I$7:$I$36,$O168)),""))</f>
        <v/>
      </c>
      <c r="V168" t="str">
        <f>IF($O168="","",IFERROR(CHOOSE(MATCH($F168,الإعدادات!$B$4:$B$7,0),INDEX('حضور سوريال'!$BM$7:$BM$36,$O168),INDEX('حضور غبريال'!$BM$7:$BM$36,$O168),INDEX('حضور رفائيل'!$BM$7:$BM$36,$O168),INDEX('حضور ميخائيل'!$BM$7:$BM$36,$O168)),""))</f>
        <v/>
      </c>
      <c r="W168" t="str">
        <f>IF(OR(V168=3,V168=4),COUNTIFS(V$6:V168,3)+COUNTIFS(V$6:V168,4),"")</f>
        <v/>
      </c>
    </row>
    <row r="169" spans="1:23" ht="25.5" customHeight="1">
      <c r="A169" s="13" t="str">
        <f t="shared" si="6"/>
        <v/>
      </c>
      <c r="B169" s="14" t="str">
        <f t="shared" si="7"/>
        <v/>
      </c>
      <c r="C169" s="15"/>
      <c r="D169" s="16"/>
      <c r="E169" s="16"/>
      <c r="F169" s="16"/>
      <c r="G169" s="16"/>
      <c r="H169" s="17"/>
      <c r="I169" s="17"/>
      <c r="J169" s="18"/>
      <c r="K169" s="16"/>
      <c r="L169" s="18"/>
      <c r="M169" s="16"/>
      <c r="N169" s="19" t="str">
        <f t="shared" si="8"/>
        <v/>
      </c>
      <c r="O169" s="19" t="str">
        <f>IF(OR(C169="",F169=""),"",COUNTIFS(F$6:F169,F169,C$6:C169,"&lt;&gt;"))</f>
        <v/>
      </c>
      <c r="P169" s="20" t="str">
        <f>IF($O169="","",IFERROR(CHOOSE(MATCH($F169,الإعدادات!$B$4:$B$7,0),INDEX('حضور سوريال'!$C$7:$C$36,$O169),INDEX('حضور غبريال'!$C$7:$C$36,$O169),INDEX('حضور رفائيل'!$C$7:$C$36,$O169),INDEX('حضور ميخائيل'!$C$7:$C$36,$O169)),""))</f>
        <v/>
      </c>
      <c r="Q169" s="20" t="str">
        <f>IF($O169="","",IFERROR(CHOOSE(MATCH($F169,الإعدادات!$B$4:$B$7,0),INDEX('حضور سوريال'!$D$7:$D$36,$O169),INDEX('حضور غبريال'!$D$7:$D$36,$O169),INDEX('حضور رفائيل'!$D$7:$D$36,$O169),INDEX('حضور ميخائيل'!$D$7:$D$36,$O169)),""))</f>
        <v/>
      </c>
      <c r="R169" s="21" t="str">
        <f>IF($O169="","",IFERROR(CHOOSE(MATCH($F169,الإعدادات!$B$4:$B$7,0),INDEX('حضور سوريال'!$F$7:$F$36,$O169),INDEX('حضور غبريال'!$F$7:$F$36,$O169),INDEX('حضور رفائيل'!$F$7:$F$36,$O169),INDEX('حضور ميخائيل'!$F$7:$F$36,$O169)),""))</f>
        <v/>
      </c>
      <c r="S169" s="20" t="str">
        <f>IF($O169="","",IFERROR(CHOOSE(MATCH($F169,الإعدادات!$B$4:$B$7,0),INDEX('حضور سوريال'!$G$7:$G$36,$O169),INDEX('حضور غبريال'!$G$7:$G$36,$O169),INDEX('حضور رفائيل'!$G$7:$G$36,$O169),INDEX('حضور ميخائيل'!$G$7:$G$36,$O169)),""))</f>
        <v/>
      </c>
      <c r="T169" s="22" t="str">
        <f>IF($O169="","",IFERROR(CHOOSE(MATCH($F169,الإعدادات!$B$4:$B$7,0),INDEX('حضور سوريال'!$H$7:$H$36,$O169),INDEX('حضور غبريال'!$H$7:$H$36,$O169),INDEX('حضور رفائيل'!$H$7:$H$36,$O169),INDEX('حضور ميخائيل'!$H$7:$H$36,$O169)),""))</f>
        <v/>
      </c>
      <c r="U169" s="23" t="str">
        <f>IF($O169="","",IFERROR(CHOOSE(MATCH($F169,الإعدادات!$B$4:$B$7,0),INDEX('حضور سوريال'!$I$7:$I$36,$O169),INDEX('حضور غبريال'!$I$7:$I$36,$O169),INDEX('حضور رفائيل'!$I$7:$I$36,$O169),INDEX('حضور ميخائيل'!$I$7:$I$36,$O169)),""))</f>
        <v/>
      </c>
      <c r="V169" t="str">
        <f>IF($O169="","",IFERROR(CHOOSE(MATCH($F169,الإعدادات!$B$4:$B$7,0),INDEX('حضور سوريال'!$BM$7:$BM$36,$O169),INDEX('حضور غبريال'!$BM$7:$BM$36,$O169),INDEX('حضور رفائيل'!$BM$7:$BM$36,$O169),INDEX('حضور ميخائيل'!$BM$7:$BM$36,$O169)),""))</f>
        <v/>
      </c>
      <c r="W169" t="str">
        <f>IF(OR(V169=3,V169=4),COUNTIFS(V$6:V169,3)+COUNTIFS(V$6:V169,4),"")</f>
        <v/>
      </c>
    </row>
    <row r="170" spans="1:23" ht="25.5" customHeight="1">
      <c r="A170" s="13" t="str">
        <f t="shared" si="6"/>
        <v/>
      </c>
      <c r="B170" s="14" t="str">
        <f t="shared" si="7"/>
        <v/>
      </c>
      <c r="C170" s="15"/>
      <c r="D170" s="16"/>
      <c r="E170" s="16"/>
      <c r="F170" s="16"/>
      <c r="G170" s="16"/>
      <c r="H170" s="17"/>
      <c r="I170" s="17"/>
      <c r="J170" s="18"/>
      <c r="K170" s="16"/>
      <c r="L170" s="18"/>
      <c r="M170" s="16"/>
      <c r="N170" s="19" t="str">
        <f t="shared" si="8"/>
        <v/>
      </c>
      <c r="O170" s="19" t="str">
        <f>IF(OR(C170="",F170=""),"",COUNTIFS(F$6:F170,F170,C$6:C170,"&lt;&gt;"))</f>
        <v/>
      </c>
      <c r="P170" s="20" t="str">
        <f>IF($O170="","",IFERROR(CHOOSE(MATCH($F170,الإعدادات!$B$4:$B$7,0),INDEX('حضور سوريال'!$C$7:$C$36,$O170),INDEX('حضور غبريال'!$C$7:$C$36,$O170),INDEX('حضور رفائيل'!$C$7:$C$36,$O170),INDEX('حضور ميخائيل'!$C$7:$C$36,$O170)),""))</f>
        <v/>
      </c>
      <c r="Q170" s="20" t="str">
        <f>IF($O170="","",IFERROR(CHOOSE(MATCH($F170,الإعدادات!$B$4:$B$7,0),INDEX('حضور سوريال'!$D$7:$D$36,$O170),INDEX('حضور غبريال'!$D$7:$D$36,$O170),INDEX('حضور رفائيل'!$D$7:$D$36,$O170),INDEX('حضور ميخائيل'!$D$7:$D$36,$O170)),""))</f>
        <v/>
      </c>
      <c r="R170" s="21" t="str">
        <f>IF($O170="","",IFERROR(CHOOSE(MATCH($F170,الإعدادات!$B$4:$B$7,0),INDEX('حضور سوريال'!$F$7:$F$36,$O170),INDEX('حضور غبريال'!$F$7:$F$36,$O170),INDEX('حضور رفائيل'!$F$7:$F$36,$O170),INDEX('حضور ميخائيل'!$F$7:$F$36,$O170)),""))</f>
        <v/>
      </c>
      <c r="S170" s="20" t="str">
        <f>IF($O170="","",IFERROR(CHOOSE(MATCH($F170,الإعدادات!$B$4:$B$7,0),INDEX('حضور سوريال'!$G$7:$G$36,$O170),INDEX('حضور غبريال'!$G$7:$G$36,$O170),INDEX('حضور رفائيل'!$G$7:$G$36,$O170),INDEX('حضور ميخائيل'!$G$7:$G$36,$O170)),""))</f>
        <v/>
      </c>
      <c r="T170" s="22" t="str">
        <f>IF($O170="","",IFERROR(CHOOSE(MATCH($F170,الإعدادات!$B$4:$B$7,0),INDEX('حضور سوريال'!$H$7:$H$36,$O170),INDEX('حضور غبريال'!$H$7:$H$36,$O170),INDEX('حضور رفائيل'!$H$7:$H$36,$O170),INDEX('حضور ميخائيل'!$H$7:$H$36,$O170)),""))</f>
        <v/>
      </c>
      <c r="U170" s="23" t="str">
        <f>IF($O170="","",IFERROR(CHOOSE(MATCH($F170,الإعدادات!$B$4:$B$7,0),INDEX('حضور سوريال'!$I$7:$I$36,$O170),INDEX('حضور غبريال'!$I$7:$I$36,$O170),INDEX('حضور رفائيل'!$I$7:$I$36,$O170),INDEX('حضور ميخائيل'!$I$7:$I$36,$O170)),""))</f>
        <v/>
      </c>
      <c r="V170" t="str">
        <f>IF($O170="","",IFERROR(CHOOSE(MATCH($F170,الإعدادات!$B$4:$B$7,0),INDEX('حضور سوريال'!$BM$7:$BM$36,$O170),INDEX('حضور غبريال'!$BM$7:$BM$36,$O170),INDEX('حضور رفائيل'!$BM$7:$BM$36,$O170),INDEX('حضور ميخائيل'!$BM$7:$BM$36,$O170)),""))</f>
        <v/>
      </c>
      <c r="W170" t="str">
        <f>IF(OR(V170=3,V170=4),COUNTIFS(V$6:V170,3)+COUNTIFS(V$6:V170,4),"")</f>
        <v/>
      </c>
    </row>
    <row r="171" spans="1:23" ht="25.5" customHeight="1">
      <c r="A171" s="13" t="str">
        <f t="shared" si="6"/>
        <v/>
      </c>
      <c r="B171" s="14" t="str">
        <f t="shared" si="7"/>
        <v/>
      </c>
      <c r="C171" s="15"/>
      <c r="D171" s="16"/>
      <c r="E171" s="16"/>
      <c r="F171" s="16"/>
      <c r="G171" s="16"/>
      <c r="H171" s="17"/>
      <c r="I171" s="17"/>
      <c r="J171" s="18"/>
      <c r="K171" s="16"/>
      <c r="L171" s="18"/>
      <c r="M171" s="16"/>
      <c r="N171" s="19" t="str">
        <f t="shared" si="8"/>
        <v/>
      </c>
      <c r="O171" s="19" t="str">
        <f>IF(OR(C171="",F171=""),"",COUNTIFS(F$6:F171,F171,C$6:C171,"&lt;&gt;"))</f>
        <v/>
      </c>
      <c r="P171" s="20" t="str">
        <f>IF($O171="","",IFERROR(CHOOSE(MATCH($F171,الإعدادات!$B$4:$B$7,0),INDEX('حضور سوريال'!$C$7:$C$36,$O171),INDEX('حضور غبريال'!$C$7:$C$36,$O171),INDEX('حضور رفائيل'!$C$7:$C$36,$O171),INDEX('حضور ميخائيل'!$C$7:$C$36,$O171)),""))</f>
        <v/>
      </c>
      <c r="Q171" s="20" t="str">
        <f>IF($O171="","",IFERROR(CHOOSE(MATCH($F171,الإعدادات!$B$4:$B$7,0),INDEX('حضور سوريال'!$D$7:$D$36,$O171),INDEX('حضور غبريال'!$D$7:$D$36,$O171),INDEX('حضور رفائيل'!$D$7:$D$36,$O171),INDEX('حضور ميخائيل'!$D$7:$D$36,$O171)),""))</f>
        <v/>
      </c>
      <c r="R171" s="21" t="str">
        <f>IF($O171="","",IFERROR(CHOOSE(MATCH($F171,الإعدادات!$B$4:$B$7,0),INDEX('حضور سوريال'!$F$7:$F$36,$O171),INDEX('حضور غبريال'!$F$7:$F$36,$O171),INDEX('حضور رفائيل'!$F$7:$F$36,$O171),INDEX('حضور ميخائيل'!$F$7:$F$36,$O171)),""))</f>
        <v/>
      </c>
      <c r="S171" s="20" t="str">
        <f>IF($O171="","",IFERROR(CHOOSE(MATCH($F171,الإعدادات!$B$4:$B$7,0),INDEX('حضور سوريال'!$G$7:$G$36,$O171),INDEX('حضور غبريال'!$G$7:$G$36,$O171),INDEX('حضور رفائيل'!$G$7:$G$36,$O171),INDEX('حضور ميخائيل'!$G$7:$G$36,$O171)),""))</f>
        <v/>
      </c>
      <c r="T171" s="22" t="str">
        <f>IF($O171="","",IFERROR(CHOOSE(MATCH($F171,الإعدادات!$B$4:$B$7,0),INDEX('حضور سوريال'!$H$7:$H$36,$O171),INDEX('حضور غبريال'!$H$7:$H$36,$O171),INDEX('حضور رفائيل'!$H$7:$H$36,$O171),INDEX('حضور ميخائيل'!$H$7:$H$36,$O171)),""))</f>
        <v/>
      </c>
      <c r="U171" s="23" t="str">
        <f>IF($O171="","",IFERROR(CHOOSE(MATCH($F171,الإعدادات!$B$4:$B$7,0),INDEX('حضور سوريال'!$I$7:$I$36,$O171),INDEX('حضور غبريال'!$I$7:$I$36,$O171),INDEX('حضور رفائيل'!$I$7:$I$36,$O171),INDEX('حضور ميخائيل'!$I$7:$I$36,$O171)),""))</f>
        <v/>
      </c>
      <c r="V171" t="str">
        <f>IF($O171="","",IFERROR(CHOOSE(MATCH($F171,الإعدادات!$B$4:$B$7,0),INDEX('حضور سوريال'!$BM$7:$BM$36,$O171),INDEX('حضور غبريال'!$BM$7:$BM$36,$O171),INDEX('حضور رفائيل'!$BM$7:$BM$36,$O171),INDEX('حضور ميخائيل'!$BM$7:$BM$36,$O171)),""))</f>
        <v/>
      </c>
      <c r="W171" t="str">
        <f>IF(OR(V171=3,V171=4),COUNTIFS(V$6:V171,3)+COUNTIFS(V$6:V171,4),"")</f>
        <v/>
      </c>
    </row>
    <row r="172" spans="1:23" ht="25.5" customHeight="1">
      <c r="A172" s="13" t="str">
        <f t="shared" si="6"/>
        <v/>
      </c>
      <c r="B172" s="14" t="str">
        <f t="shared" si="7"/>
        <v/>
      </c>
      <c r="C172" s="15"/>
      <c r="D172" s="16"/>
      <c r="E172" s="16"/>
      <c r="F172" s="16"/>
      <c r="G172" s="16"/>
      <c r="H172" s="17"/>
      <c r="I172" s="17"/>
      <c r="J172" s="18"/>
      <c r="K172" s="16"/>
      <c r="L172" s="18"/>
      <c r="M172" s="16"/>
      <c r="N172" s="19" t="str">
        <f t="shared" si="8"/>
        <v/>
      </c>
      <c r="O172" s="19" t="str">
        <f>IF(OR(C172="",F172=""),"",COUNTIFS(F$6:F172,F172,C$6:C172,"&lt;&gt;"))</f>
        <v/>
      </c>
      <c r="P172" s="20" t="str">
        <f>IF($O172="","",IFERROR(CHOOSE(MATCH($F172,الإعدادات!$B$4:$B$7,0),INDEX('حضور سوريال'!$C$7:$C$36,$O172),INDEX('حضور غبريال'!$C$7:$C$36,$O172),INDEX('حضور رفائيل'!$C$7:$C$36,$O172),INDEX('حضور ميخائيل'!$C$7:$C$36,$O172)),""))</f>
        <v/>
      </c>
      <c r="Q172" s="20" t="str">
        <f>IF($O172="","",IFERROR(CHOOSE(MATCH($F172,الإعدادات!$B$4:$B$7,0),INDEX('حضور سوريال'!$D$7:$D$36,$O172),INDEX('حضور غبريال'!$D$7:$D$36,$O172),INDEX('حضور رفائيل'!$D$7:$D$36,$O172),INDEX('حضور ميخائيل'!$D$7:$D$36,$O172)),""))</f>
        <v/>
      </c>
      <c r="R172" s="21" t="str">
        <f>IF($O172="","",IFERROR(CHOOSE(MATCH($F172,الإعدادات!$B$4:$B$7,0),INDEX('حضور سوريال'!$F$7:$F$36,$O172),INDEX('حضور غبريال'!$F$7:$F$36,$O172),INDEX('حضور رفائيل'!$F$7:$F$36,$O172),INDEX('حضور ميخائيل'!$F$7:$F$36,$O172)),""))</f>
        <v/>
      </c>
      <c r="S172" s="20" t="str">
        <f>IF($O172="","",IFERROR(CHOOSE(MATCH($F172,الإعدادات!$B$4:$B$7,0),INDEX('حضور سوريال'!$G$7:$G$36,$O172),INDEX('حضور غبريال'!$G$7:$G$36,$O172),INDEX('حضور رفائيل'!$G$7:$G$36,$O172),INDEX('حضور ميخائيل'!$G$7:$G$36,$O172)),""))</f>
        <v/>
      </c>
      <c r="T172" s="22" t="str">
        <f>IF($O172="","",IFERROR(CHOOSE(MATCH($F172,الإعدادات!$B$4:$B$7,0),INDEX('حضور سوريال'!$H$7:$H$36,$O172),INDEX('حضور غبريال'!$H$7:$H$36,$O172),INDEX('حضور رفائيل'!$H$7:$H$36,$O172),INDEX('حضور ميخائيل'!$H$7:$H$36,$O172)),""))</f>
        <v/>
      </c>
      <c r="U172" s="23" t="str">
        <f>IF($O172="","",IFERROR(CHOOSE(MATCH($F172,الإعدادات!$B$4:$B$7,0),INDEX('حضور سوريال'!$I$7:$I$36,$O172),INDEX('حضور غبريال'!$I$7:$I$36,$O172),INDEX('حضور رفائيل'!$I$7:$I$36,$O172),INDEX('حضور ميخائيل'!$I$7:$I$36,$O172)),""))</f>
        <v/>
      </c>
      <c r="V172" t="str">
        <f>IF($O172="","",IFERROR(CHOOSE(MATCH($F172,الإعدادات!$B$4:$B$7,0),INDEX('حضور سوريال'!$BM$7:$BM$36,$O172),INDEX('حضور غبريال'!$BM$7:$BM$36,$O172),INDEX('حضور رفائيل'!$BM$7:$BM$36,$O172),INDEX('حضور ميخائيل'!$BM$7:$BM$36,$O172)),""))</f>
        <v/>
      </c>
      <c r="W172" t="str">
        <f>IF(OR(V172=3,V172=4),COUNTIFS(V$6:V172,3)+COUNTIFS(V$6:V172,4),"")</f>
        <v/>
      </c>
    </row>
    <row r="173" spans="1:23" ht="25.5" customHeight="1">
      <c r="A173" s="13" t="str">
        <f t="shared" si="6"/>
        <v/>
      </c>
      <c r="B173" s="14" t="str">
        <f t="shared" si="7"/>
        <v/>
      </c>
      <c r="C173" s="15"/>
      <c r="D173" s="16"/>
      <c r="E173" s="16"/>
      <c r="F173" s="16"/>
      <c r="G173" s="16"/>
      <c r="H173" s="17"/>
      <c r="I173" s="17"/>
      <c r="J173" s="18"/>
      <c r="K173" s="16"/>
      <c r="L173" s="18"/>
      <c r="M173" s="16"/>
      <c r="N173" s="19" t="str">
        <f t="shared" si="8"/>
        <v/>
      </c>
      <c r="O173" s="19" t="str">
        <f>IF(OR(C173="",F173=""),"",COUNTIFS(F$6:F173,F173,C$6:C173,"&lt;&gt;"))</f>
        <v/>
      </c>
      <c r="P173" s="20" t="str">
        <f>IF($O173="","",IFERROR(CHOOSE(MATCH($F173,الإعدادات!$B$4:$B$7,0),INDEX('حضور سوريال'!$C$7:$C$36,$O173),INDEX('حضور غبريال'!$C$7:$C$36,$O173),INDEX('حضور رفائيل'!$C$7:$C$36,$O173),INDEX('حضور ميخائيل'!$C$7:$C$36,$O173)),""))</f>
        <v/>
      </c>
      <c r="Q173" s="20" t="str">
        <f>IF($O173="","",IFERROR(CHOOSE(MATCH($F173,الإعدادات!$B$4:$B$7,0),INDEX('حضور سوريال'!$D$7:$D$36,$O173),INDEX('حضور غبريال'!$D$7:$D$36,$O173),INDEX('حضور رفائيل'!$D$7:$D$36,$O173),INDEX('حضور ميخائيل'!$D$7:$D$36,$O173)),""))</f>
        <v/>
      </c>
      <c r="R173" s="21" t="str">
        <f>IF($O173="","",IFERROR(CHOOSE(MATCH($F173,الإعدادات!$B$4:$B$7,0),INDEX('حضور سوريال'!$F$7:$F$36,$O173),INDEX('حضور غبريال'!$F$7:$F$36,$O173),INDEX('حضور رفائيل'!$F$7:$F$36,$O173),INDEX('حضور ميخائيل'!$F$7:$F$36,$O173)),""))</f>
        <v/>
      </c>
      <c r="S173" s="20" t="str">
        <f>IF($O173="","",IFERROR(CHOOSE(MATCH($F173,الإعدادات!$B$4:$B$7,0),INDEX('حضور سوريال'!$G$7:$G$36,$O173),INDEX('حضور غبريال'!$G$7:$G$36,$O173),INDEX('حضور رفائيل'!$G$7:$G$36,$O173),INDEX('حضور ميخائيل'!$G$7:$G$36,$O173)),""))</f>
        <v/>
      </c>
      <c r="T173" s="22" t="str">
        <f>IF($O173="","",IFERROR(CHOOSE(MATCH($F173,الإعدادات!$B$4:$B$7,0),INDEX('حضور سوريال'!$H$7:$H$36,$O173),INDEX('حضور غبريال'!$H$7:$H$36,$O173),INDEX('حضور رفائيل'!$H$7:$H$36,$O173),INDEX('حضور ميخائيل'!$H$7:$H$36,$O173)),""))</f>
        <v/>
      </c>
      <c r="U173" s="23" t="str">
        <f>IF($O173="","",IFERROR(CHOOSE(MATCH($F173,الإعدادات!$B$4:$B$7,0),INDEX('حضور سوريال'!$I$7:$I$36,$O173),INDEX('حضور غبريال'!$I$7:$I$36,$O173),INDEX('حضور رفائيل'!$I$7:$I$36,$O173),INDEX('حضور ميخائيل'!$I$7:$I$36,$O173)),""))</f>
        <v/>
      </c>
      <c r="V173" t="str">
        <f>IF($O173="","",IFERROR(CHOOSE(MATCH($F173,الإعدادات!$B$4:$B$7,0),INDEX('حضور سوريال'!$BM$7:$BM$36,$O173),INDEX('حضور غبريال'!$BM$7:$BM$36,$O173),INDEX('حضور رفائيل'!$BM$7:$BM$36,$O173),INDEX('حضور ميخائيل'!$BM$7:$BM$36,$O173)),""))</f>
        <v/>
      </c>
      <c r="W173" t="str">
        <f>IF(OR(V173=3,V173=4),COUNTIFS(V$6:V173,3)+COUNTIFS(V$6:V173,4),"")</f>
        <v/>
      </c>
    </row>
    <row r="174" spans="1:23" ht="25.5" customHeight="1">
      <c r="A174" s="13" t="str">
        <f t="shared" si="6"/>
        <v/>
      </c>
      <c r="B174" s="14" t="str">
        <f t="shared" si="7"/>
        <v/>
      </c>
      <c r="C174" s="15"/>
      <c r="D174" s="16"/>
      <c r="E174" s="16"/>
      <c r="F174" s="16"/>
      <c r="G174" s="16"/>
      <c r="H174" s="17"/>
      <c r="I174" s="17"/>
      <c r="J174" s="18"/>
      <c r="K174" s="16"/>
      <c r="L174" s="18"/>
      <c r="M174" s="16"/>
      <c r="N174" s="19" t="str">
        <f t="shared" si="8"/>
        <v/>
      </c>
      <c r="O174" s="19" t="str">
        <f>IF(OR(C174="",F174=""),"",COUNTIFS(F$6:F174,F174,C$6:C174,"&lt;&gt;"))</f>
        <v/>
      </c>
      <c r="P174" s="20" t="str">
        <f>IF($O174="","",IFERROR(CHOOSE(MATCH($F174,الإعدادات!$B$4:$B$7,0),INDEX('حضور سوريال'!$C$7:$C$36,$O174),INDEX('حضور غبريال'!$C$7:$C$36,$O174),INDEX('حضور رفائيل'!$C$7:$C$36,$O174),INDEX('حضور ميخائيل'!$C$7:$C$36,$O174)),""))</f>
        <v/>
      </c>
      <c r="Q174" s="20" t="str">
        <f>IF($O174="","",IFERROR(CHOOSE(MATCH($F174,الإعدادات!$B$4:$B$7,0),INDEX('حضور سوريال'!$D$7:$D$36,$O174),INDEX('حضور غبريال'!$D$7:$D$36,$O174),INDEX('حضور رفائيل'!$D$7:$D$36,$O174),INDEX('حضور ميخائيل'!$D$7:$D$36,$O174)),""))</f>
        <v/>
      </c>
      <c r="R174" s="21" t="str">
        <f>IF($O174="","",IFERROR(CHOOSE(MATCH($F174,الإعدادات!$B$4:$B$7,0),INDEX('حضور سوريال'!$F$7:$F$36,$O174),INDEX('حضور غبريال'!$F$7:$F$36,$O174),INDEX('حضور رفائيل'!$F$7:$F$36,$O174),INDEX('حضور ميخائيل'!$F$7:$F$36,$O174)),""))</f>
        <v/>
      </c>
      <c r="S174" s="20" t="str">
        <f>IF($O174="","",IFERROR(CHOOSE(MATCH($F174,الإعدادات!$B$4:$B$7,0),INDEX('حضور سوريال'!$G$7:$G$36,$O174),INDEX('حضور غبريال'!$G$7:$G$36,$O174),INDEX('حضور رفائيل'!$G$7:$G$36,$O174),INDEX('حضور ميخائيل'!$G$7:$G$36,$O174)),""))</f>
        <v/>
      </c>
      <c r="T174" s="22" t="str">
        <f>IF($O174="","",IFERROR(CHOOSE(MATCH($F174,الإعدادات!$B$4:$B$7,0),INDEX('حضور سوريال'!$H$7:$H$36,$O174),INDEX('حضور غبريال'!$H$7:$H$36,$O174),INDEX('حضور رفائيل'!$H$7:$H$36,$O174),INDEX('حضور ميخائيل'!$H$7:$H$36,$O174)),""))</f>
        <v/>
      </c>
      <c r="U174" s="23" t="str">
        <f>IF($O174="","",IFERROR(CHOOSE(MATCH($F174,الإعدادات!$B$4:$B$7,0),INDEX('حضور سوريال'!$I$7:$I$36,$O174),INDEX('حضور غبريال'!$I$7:$I$36,$O174),INDEX('حضور رفائيل'!$I$7:$I$36,$O174),INDEX('حضور ميخائيل'!$I$7:$I$36,$O174)),""))</f>
        <v/>
      </c>
      <c r="V174" t="str">
        <f>IF($O174="","",IFERROR(CHOOSE(MATCH($F174,الإعدادات!$B$4:$B$7,0),INDEX('حضور سوريال'!$BM$7:$BM$36,$O174),INDEX('حضور غبريال'!$BM$7:$BM$36,$O174),INDEX('حضور رفائيل'!$BM$7:$BM$36,$O174),INDEX('حضور ميخائيل'!$BM$7:$BM$36,$O174)),""))</f>
        <v/>
      </c>
      <c r="W174" t="str">
        <f>IF(OR(V174=3,V174=4),COUNTIFS(V$6:V174,3)+COUNTIFS(V$6:V174,4),"")</f>
        <v/>
      </c>
    </row>
    <row r="175" spans="1:23" ht="25.5" customHeight="1">
      <c r="A175" s="13" t="str">
        <f t="shared" si="6"/>
        <v/>
      </c>
      <c r="B175" s="14" t="str">
        <f t="shared" si="7"/>
        <v/>
      </c>
      <c r="C175" s="15"/>
      <c r="D175" s="16"/>
      <c r="E175" s="16"/>
      <c r="F175" s="16"/>
      <c r="G175" s="16"/>
      <c r="H175" s="17"/>
      <c r="I175" s="17"/>
      <c r="J175" s="18"/>
      <c r="K175" s="16"/>
      <c r="L175" s="18"/>
      <c r="M175" s="16"/>
      <c r="N175" s="19" t="str">
        <f t="shared" si="8"/>
        <v/>
      </c>
      <c r="O175" s="19" t="str">
        <f>IF(OR(C175="",F175=""),"",COUNTIFS(F$6:F175,F175,C$6:C175,"&lt;&gt;"))</f>
        <v/>
      </c>
      <c r="P175" s="20" t="str">
        <f>IF($O175="","",IFERROR(CHOOSE(MATCH($F175,الإعدادات!$B$4:$B$7,0),INDEX('حضور سوريال'!$C$7:$C$36,$O175),INDEX('حضور غبريال'!$C$7:$C$36,$O175),INDEX('حضور رفائيل'!$C$7:$C$36,$O175),INDEX('حضور ميخائيل'!$C$7:$C$36,$O175)),""))</f>
        <v/>
      </c>
      <c r="Q175" s="20" t="str">
        <f>IF($O175="","",IFERROR(CHOOSE(MATCH($F175,الإعدادات!$B$4:$B$7,0),INDEX('حضور سوريال'!$D$7:$D$36,$O175),INDEX('حضور غبريال'!$D$7:$D$36,$O175),INDEX('حضور رفائيل'!$D$7:$D$36,$O175),INDEX('حضور ميخائيل'!$D$7:$D$36,$O175)),""))</f>
        <v/>
      </c>
      <c r="R175" s="21" t="str">
        <f>IF($O175="","",IFERROR(CHOOSE(MATCH($F175,الإعدادات!$B$4:$B$7,0),INDEX('حضور سوريال'!$F$7:$F$36,$O175),INDEX('حضور غبريال'!$F$7:$F$36,$O175),INDEX('حضور رفائيل'!$F$7:$F$36,$O175),INDEX('حضور ميخائيل'!$F$7:$F$36,$O175)),""))</f>
        <v/>
      </c>
      <c r="S175" s="20" t="str">
        <f>IF($O175="","",IFERROR(CHOOSE(MATCH($F175,الإعدادات!$B$4:$B$7,0),INDEX('حضور سوريال'!$G$7:$G$36,$O175),INDEX('حضور غبريال'!$G$7:$G$36,$O175),INDEX('حضور رفائيل'!$G$7:$G$36,$O175),INDEX('حضور ميخائيل'!$G$7:$G$36,$O175)),""))</f>
        <v/>
      </c>
      <c r="T175" s="22" t="str">
        <f>IF($O175="","",IFERROR(CHOOSE(MATCH($F175,الإعدادات!$B$4:$B$7,0),INDEX('حضور سوريال'!$H$7:$H$36,$O175),INDEX('حضور غبريال'!$H$7:$H$36,$O175),INDEX('حضور رفائيل'!$H$7:$H$36,$O175),INDEX('حضور ميخائيل'!$H$7:$H$36,$O175)),""))</f>
        <v/>
      </c>
      <c r="U175" s="23" t="str">
        <f>IF($O175="","",IFERROR(CHOOSE(MATCH($F175,الإعدادات!$B$4:$B$7,0),INDEX('حضور سوريال'!$I$7:$I$36,$O175),INDEX('حضور غبريال'!$I$7:$I$36,$O175),INDEX('حضور رفائيل'!$I$7:$I$36,$O175),INDEX('حضور ميخائيل'!$I$7:$I$36,$O175)),""))</f>
        <v/>
      </c>
      <c r="V175" t="str">
        <f>IF($O175="","",IFERROR(CHOOSE(MATCH($F175,الإعدادات!$B$4:$B$7,0),INDEX('حضور سوريال'!$BM$7:$BM$36,$O175),INDEX('حضور غبريال'!$BM$7:$BM$36,$O175),INDEX('حضور رفائيل'!$BM$7:$BM$36,$O175),INDEX('حضور ميخائيل'!$BM$7:$BM$36,$O175)),""))</f>
        <v/>
      </c>
      <c r="W175" t="str">
        <f>IF(OR(V175=3,V175=4),COUNTIFS(V$6:V175,3)+COUNTIFS(V$6:V175,4),"")</f>
        <v/>
      </c>
    </row>
    <row r="176" spans="1:23" ht="25.5" customHeight="1">
      <c r="A176" s="13" t="str">
        <f t="shared" si="6"/>
        <v/>
      </c>
      <c r="B176" s="14" t="str">
        <f t="shared" si="7"/>
        <v/>
      </c>
      <c r="C176" s="15"/>
      <c r="D176" s="16"/>
      <c r="E176" s="16"/>
      <c r="F176" s="16"/>
      <c r="G176" s="16"/>
      <c r="H176" s="17"/>
      <c r="I176" s="17"/>
      <c r="J176" s="18"/>
      <c r="K176" s="16"/>
      <c r="L176" s="18"/>
      <c r="M176" s="16"/>
      <c r="N176" s="19" t="str">
        <f t="shared" si="8"/>
        <v/>
      </c>
      <c r="O176" s="19" t="str">
        <f>IF(OR(C176="",F176=""),"",COUNTIFS(F$6:F176,F176,C$6:C176,"&lt;&gt;"))</f>
        <v/>
      </c>
      <c r="P176" s="20" t="str">
        <f>IF($O176="","",IFERROR(CHOOSE(MATCH($F176,الإعدادات!$B$4:$B$7,0),INDEX('حضور سوريال'!$C$7:$C$36,$O176),INDEX('حضور غبريال'!$C$7:$C$36,$O176),INDEX('حضور رفائيل'!$C$7:$C$36,$O176),INDEX('حضور ميخائيل'!$C$7:$C$36,$O176)),""))</f>
        <v/>
      </c>
      <c r="Q176" s="20" t="str">
        <f>IF($O176="","",IFERROR(CHOOSE(MATCH($F176,الإعدادات!$B$4:$B$7,0),INDEX('حضور سوريال'!$D$7:$D$36,$O176),INDEX('حضور غبريال'!$D$7:$D$36,$O176),INDEX('حضور رفائيل'!$D$7:$D$36,$O176),INDEX('حضور ميخائيل'!$D$7:$D$36,$O176)),""))</f>
        <v/>
      </c>
      <c r="R176" s="21" t="str">
        <f>IF($O176="","",IFERROR(CHOOSE(MATCH($F176,الإعدادات!$B$4:$B$7,0),INDEX('حضور سوريال'!$F$7:$F$36,$O176),INDEX('حضور غبريال'!$F$7:$F$36,$O176),INDEX('حضور رفائيل'!$F$7:$F$36,$O176),INDEX('حضور ميخائيل'!$F$7:$F$36,$O176)),""))</f>
        <v/>
      </c>
      <c r="S176" s="20" t="str">
        <f>IF($O176="","",IFERROR(CHOOSE(MATCH($F176,الإعدادات!$B$4:$B$7,0),INDEX('حضور سوريال'!$G$7:$G$36,$O176),INDEX('حضور غبريال'!$G$7:$G$36,$O176),INDEX('حضور رفائيل'!$G$7:$G$36,$O176),INDEX('حضور ميخائيل'!$G$7:$G$36,$O176)),""))</f>
        <v/>
      </c>
      <c r="T176" s="22" t="str">
        <f>IF($O176="","",IFERROR(CHOOSE(MATCH($F176,الإعدادات!$B$4:$B$7,0),INDEX('حضور سوريال'!$H$7:$H$36,$O176),INDEX('حضور غبريال'!$H$7:$H$36,$O176),INDEX('حضور رفائيل'!$H$7:$H$36,$O176),INDEX('حضور ميخائيل'!$H$7:$H$36,$O176)),""))</f>
        <v/>
      </c>
      <c r="U176" s="23" t="str">
        <f>IF($O176="","",IFERROR(CHOOSE(MATCH($F176,الإعدادات!$B$4:$B$7,0),INDEX('حضور سوريال'!$I$7:$I$36,$O176),INDEX('حضور غبريال'!$I$7:$I$36,$O176),INDEX('حضور رفائيل'!$I$7:$I$36,$O176),INDEX('حضور ميخائيل'!$I$7:$I$36,$O176)),""))</f>
        <v/>
      </c>
      <c r="V176" t="str">
        <f>IF($O176="","",IFERROR(CHOOSE(MATCH($F176,الإعدادات!$B$4:$B$7,0),INDEX('حضور سوريال'!$BM$7:$BM$36,$O176),INDEX('حضور غبريال'!$BM$7:$BM$36,$O176),INDEX('حضور رفائيل'!$BM$7:$BM$36,$O176),INDEX('حضور ميخائيل'!$BM$7:$BM$36,$O176)),""))</f>
        <v/>
      </c>
      <c r="W176" t="str">
        <f>IF(OR(V176=3,V176=4),COUNTIFS(V$6:V176,3)+COUNTIFS(V$6:V176,4),"")</f>
        <v/>
      </c>
    </row>
    <row r="177" spans="1:23" ht="25.5" customHeight="1">
      <c r="A177" s="13" t="str">
        <f t="shared" si="6"/>
        <v/>
      </c>
      <c r="B177" s="14" t="str">
        <f t="shared" si="7"/>
        <v/>
      </c>
      <c r="C177" s="15"/>
      <c r="D177" s="16"/>
      <c r="E177" s="16"/>
      <c r="F177" s="16"/>
      <c r="G177" s="16"/>
      <c r="H177" s="17"/>
      <c r="I177" s="17"/>
      <c r="J177" s="18"/>
      <c r="K177" s="16"/>
      <c r="L177" s="18"/>
      <c r="M177" s="16"/>
      <c r="N177" s="19" t="str">
        <f t="shared" si="8"/>
        <v/>
      </c>
      <c r="O177" s="19" t="str">
        <f>IF(OR(C177="",F177=""),"",COUNTIFS(F$6:F177,F177,C$6:C177,"&lt;&gt;"))</f>
        <v/>
      </c>
      <c r="P177" s="20" t="str">
        <f>IF($O177="","",IFERROR(CHOOSE(MATCH($F177,الإعدادات!$B$4:$B$7,0),INDEX('حضور سوريال'!$C$7:$C$36,$O177),INDEX('حضور غبريال'!$C$7:$C$36,$O177),INDEX('حضور رفائيل'!$C$7:$C$36,$O177),INDEX('حضور ميخائيل'!$C$7:$C$36,$O177)),""))</f>
        <v/>
      </c>
      <c r="Q177" s="20" t="str">
        <f>IF($O177="","",IFERROR(CHOOSE(MATCH($F177,الإعدادات!$B$4:$B$7,0),INDEX('حضور سوريال'!$D$7:$D$36,$O177),INDEX('حضور غبريال'!$D$7:$D$36,$O177),INDEX('حضور رفائيل'!$D$7:$D$36,$O177),INDEX('حضور ميخائيل'!$D$7:$D$36,$O177)),""))</f>
        <v/>
      </c>
      <c r="R177" s="21" t="str">
        <f>IF($O177="","",IFERROR(CHOOSE(MATCH($F177,الإعدادات!$B$4:$B$7,0),INDEX('حضور سوريال'!$F$7:$F$36,$O177),INDEX('حضور غبريال'!$F$7:$F$36,$O177),INDEX('حضور رفائيل'!$F$7:$F$36,$O177),INDEX('حضور ميخائيل'!$F$7:$F$36,$O177)),""))</f>
        <v/>
      </c>
      <c r="S177" s="20" t="str">
        <f>IF($O177="","",IFERROR(CHOOSE(MATCH($F177,الإعدادات!$B$4:$B$7,0),INDEX('حضور سوريال'!$G$7:$G$36,$O177),INDEX('حضور غبريال'!$G$7:$G$36,$O177),INDEX('حضور رفائيل'!$G$7:$G$36,$O177),INDEX('حضور ميخائيل'!$G$7:$G$36,$O177)),""))</f>
        <v/>
      </c>
      <c r="T177" s="22" t="str">
        <f>IF($O177="","",IFERROR(CHOOSE(MATCH($F177,الإعدادات!$B$4:$B$7,0),INDEX('حضور سوريال'!$H$7:$H$36,$O177),INDEX('حضور غبريال'!$H$7:$H$36,$O177),INDEX('حضور رفائيل'!$H$7:$H$36,$O177),INDEX('حضور ميخائيل'!$H$7:$H$36,$O177)),""))</f>
        <v/>
      </c>
      <c r="U177" s="23" t="str">
        <f>IF($O177="","",IFERROR(CHOOSE(MATCH($F177,الإعدادات!$B$4:$B$7,0),INDEX('حضور سوريال'!$I$7:$I$36,$O177),INDEX('حضور غبريال'!$I$7:$I$36,$O177),INDEX('حضور رفائيل'!$I$7:$I$36,$O177),INDEX('حضور ميخائيل'!$I$7:$I$36,$O177)),""))</f>
        <v/>
      </c>
      <c r="V177" t="str">
        <f>IF($O177="","",IFERROR(CHOOSE(MATCH($F177,الإعدادات!$B$4:$B$7,0),INDEX('حضور سوريال'!$BM$7:$BM$36,$O177),INDEX('حضور غبريال'!$BM$7:$BM$36,$O177),INDEX('حضور رفائيل'!$BM$7:$BM$36,$O177),INDEX('حضور ميخائيل'!$BM$7:$BM$36,$O177)),""))</f>
        <v/>
      </c>
      <c r="W177" t="str">
        <f>IF(OR(V177=3,V177=4),COUNTIFS(V$6:V177,3)+COUNTIFS(V$6:V177,4),"")</f>
        <v/>
      </c>
    </row>
    <row r="178" spans="1:23" ht="25.5" customHeight="1">
      <c r="A178" s="13" t="str">
        <f t="shared" si="6"/>
        <v/>
      </c>
      <c r="B178" s="14" t="str">
        <f t="shared" si="7"/>
        <v/>
      </c>
      <c r="C178" s="15"/>
      <c r="D178" s="16"/>
      <c r="E178" s="16"/>
      <c r="F178" s="16"/>
      <c r="G178" s="16"/>
      <c r="H178" s="17"/>
      <c r="I178" s="17"/>
      <c r="J178" s="18"/>
      <c r="K178" s="16"/>
      <c r="L178" s="18"/>
      <c r="M178" s="16"/>
      <c r="N178" s="19" t="str">
        <f t="shared" si="8"/>
        <v/>
      </c>
      <c r="O178" s="19" t="str">
        <f>IF(OR(C178="",F178=""),"",COUNTIFS(F$6:F178,F178,C$6:C178,"&lt;&gt;"))</f>
        <v/>
      </c>
      <c r="P178" s="20" t="str">
        <f>IF($O178="","",IFERROR(CHOOSE(MATCH($F178,الإعدادات!$B$4:$B$7,0),INDEX('حضور سوريال'!$C$7:$C$36,$O178),INDEX('حضور غبريال'!$C$7:$C$36,$O178),INDEX('حضور رفائيل'!$C$7:$C$36,$O178),INDEX('حضور ميخائيل'!$C$7:$C$36,$O178)),""))</f>
        <v/>
      </c>
      <c r="Q178" s="20" t="str">
        <f>IF($O178="","",IFERROR(CHOOSE(MATCH($F178,الإعدادات!$B$4:$B$7,0),INDEX('حضور سوريال'!$D$7:$D$36,$O178),INDEX('حضور غبريال'!$D$7:$D$36,$O178),INDEX('حضور رفائيل'!$D$7:$D$36,$O178),INDEX('حضور ميخائيل'!$D$7:$D$36,$O178)),""))</f>
        <v/>
      </c>
      <c r="R178" s="21" t="str">
        <f>IF($O178="","",IFERROR(CHOOSE(MATCH($F178,الإعدادات!$B$4:$B$7,0),INDEX('حضور سوريال'!$F$7:$F$36,$O178),INDEX('حضور غبريال'!$F$7:$F$36,$O178),INDEX('حضور رفائيل'!$F$7:$F$36,$O178),INDEX('حضور ميخائيل'!$F$7:$F$36,$O178)),""))</f>
        <v/>
      </c>
      <c r="S178" s="20" t="str">
        <f>IF($O178="","",IFERROR(CHOOSE(MATCH($F178,الإعدادات!$B$4:$B$7,0),INDEX('حضور سوريال'!$G$7:$G$36,$O178),INDEX('حضور غبريال'!$G$7:$G$36,$O178),INDEX('حضور رفائيل'!$G$7:$G$36,$O178),INDEX('حضور ميخائيل'!$G$7:$G$36,$O178)),""))</f>
        <v/>
      </c>
      <c r="T178" s="22" t="str">
        <f>IF($O178="","",IFERROR(CHOOSE(MATCH($F178,الإعدادات!$B$4:$B$7,0),INDEX('حضور سوريال'!$H$7:$H$36,$O178),INDEX('حضور غبريال'!$H$7:$H$36,$O178),INDEX('حضور رفائيل'!$H$7:$H$36,$O178),INDEX('حضور ميخائيل'!$H$7:$H$36,$O178)),""))</f>
        <v/>
      </c>
      <c r="U178" s="23" t="str">
        <f>IF($O178="","",IFERROR(CHOOSE(MATCH($F178,الإعدادات!$B$4:$B$7,0),INDEX('حضور سوريال'!$I$7:$I$36,$O178),INDEX('حضور غبريال'!$I$7:$I$36,$O178),INDEX('حضور رفائيل'!$I$7:$I$36,$O178),INDEX('حضور ميخائيل'!$I$7:$I$36,$O178)),""))</f>
        <v/>
      </c>
      <c r="V178" t="str">
        <f>IF($O178="","",IFERROR(CHOOSE(MATCH($F178,الإعدادات!$B$4:$B$7,0),INDEX('حضور سوريال'!$BM$7:$BM$36,$O178),INDEX('حضور غبريال'!$BM$7:$BM$36,$O178),INDEX('حضور رفائيل'!$BM$7:$BM$36,$O178),INDEX('حضور ميخائيل'!$BM$7:$BM$36,$O178)),""))</f>
        <v/>
      </c>
      <c r="W178" t="str">
        <f>IF(OR(V178=3,V178=4),COUNTIFS(V$6:V178,3)+COUNTIFS(V$6:V178,4),"")</f>
        <v/>
      </c>
    </row>
    <row r="179" spans="1:23" ht="25.5" customHeight="1">
      <c r="A179" s="13" t="str">
        <f t="shared" si="6"/>
        <v/>
      </c>
      <c r="B179" s="14" t="str">
        <f t="shared" si="7"/>
        <v/>
      </c>
      <c r="C179" s="15"/>
      <c r="D179" s="16"/>
      <c r="E179" s="16"/>
      <c r="F179" s="16"/>
      <c r="G179" s="16"/>
      <c r="H179" s="17"/>
      <c r="I179" s="17"/>
      <c r="J179" s="18"/>
      <c r="K179" s="16"/>
      <c r="L179" s="18"/>
      <c r="M179" s="16"/>
      <c r="N179" s="19" t="str">
        <f t="shared" si="8"/>
        <v/>
      </c>
      <c r="O179" s="19" t="str">
        <f>IF(OR(C179="",F179=""),"",COUNTIFS(F$6:F179,F179,C$6:C179,"&lt;&gt;"))</f>
        <v/>
      </c>
      <c r="P179" s="20" t="str">
        <f>IF($O179="","",IFERROR(CHOOSE(MATCH($F179,الإعدادات!$B$4:$B$7,0),INDEX('حضور سوريال'!$C$7:$C$36,$O179),INDEX('حضور غبريال'!$C$7:$C$36,$O179),INDEX('حضور رفائيل'!$C$7:$C$36,$O179),INDEX('حضور ميخائيل'!$C$7:$C$36,$O179)),""))</f>
        <v/>
      </c>
      <c r="Q179" s="20" t="str">
        <f>IF($O179="","",IFERROR(CHOOSE(MATCH($F179,الإعدادات!$B$4:$B$7,0),INDEX('حضور سوريال'!$D$7:$D$36,$O179),INDEX('حضور غبريال'!$D$7:$D$36,$O179),INDEX('حضور رفائيل'!$D$7:$D$36,$O179),INDEX('حضور ميخائيل'!$D$7:$D$36,$O179)),""))</f>
        <v/>
      </c>
      <c r="R179" s="21" t="str">
        <f>IF($O179="","",IFERROR(CHOOSE(MATCH($F179,الإعدادات!$B$4:$B$7,0),INDEX('حضور سوريال'!$F$7:$F$36,$O179),INDEX('حضور غبريال'!$F$7:$F$36,$O179),INDEX('حضور رفائيل'!$F$7:$F$36,$O179),INDEX('حضور ميخائيل'!$F$7:$F$36,$O179)),""))</f>
        <v/>
      </c>
      <c r="S179" s="20" t="str">
        <f>IF($O179="","",IFERROR(CHOOSE(MATCH($F179,الإعدادات!$B$4:$B$7,0),INDEX('حضور سوريال'!$G$7:$G$36,$O179),INDEX('حضور غبريال'!$G$7:$G$36,$O179),INDEX('حضور رفائيل'!$G$7:$G$36,$O179),INDEX('حضور ميخائيل'!$G$7:$G$36,$O179)),""))</f>
        <v/>
      </c>
      <c r="T179" s="22" t="str">
        <f>IF($O179="","",IFERROR(CHOOSE(MATCH($F179,الإعدادات!$B$4:$B$7,0),INDEX('حضور سوريال'!$H$7:$H$36,$O179),INDEX('حضور غبريال'!$H$7:$H$36,$O179),INDEX('حضور رفائيل'!$H$7:$H$36,$O179),INDEX('حضور ميخائيل'!$H$7:$H$36,$O179)),""))</f>
        <v/>
      </c>
      <c r="U179" s="23" t="str">
        <f>IF($O179="","",IFERROR(CHOOSE(MATCH($F179,الإعدادات!$B$4:$B$7,0),INDEX('حضور سوريال'!$I$7:$I$36,$O179),INDEX('حضور غبريال'!$I$7:$I$36,$O179),INDEX('حضور رفائيل'!$I$7:$I$36,$O179),INDEX('حضور ميخائيل'!$I$7:$I$36,$O179)),""))</f>
        <v/>
      </c>
      <c r="V179" t="str">
        <f>IF($O179="","",IFERROR(CHOOSE(MATCH($F179,الإعدادات!$B$4:$B$7,0),INDEX('حضور سوريال'!$BM$7:$BM$36,$O179),INDEX('حضور غبريال'!$BM$7:$BM$36,$O179),INDEX('حضور رفائيل'!$BM$7:$BM$36,$O179),INDEX('حضور ميخائيل'!$BM$7:$BM$36,$O179)),""))</f>
        <v/>
      </c>
      <c r="W179" t="str">
        <f>IF(OR(V179=3,V179=4),COUNTIFS(V$6:V179,3)+COUNTIFS(V$6:V179,4),"")</f>
        <v/>
      </c>
    </row>
    <row r="180" spans="1:23" ht="25.5" customHeight="1">
      <c r="A180" s="13" t="str">
        <f t="shared" si="6"/>
        <v/>
      </c>
      <c r="B180" s="14" t="str">
        <f t="shared" si="7"/>
        <v/>
      </c>
      <c r="C180" s="15"/>
      <c r="D180" s="16"/>
      <c r="E180" s="16"/>
      <c r="F180" s="16"/>
      <c r="G180" s="16"/>
      <c r="H180" s="17"/>
      <c r="I180" s="17"/>
      <c r="J180" s="18"/>
      <c r="K180" s="16"/>
      <c r="L180" s="18"/>
      <c r="M180" s="16"/>
      <c r="N180" s="19" t="str">
        <f t="shared" si="8"/>
        <v/>
      </c>
      <c r="O180" s="19" t="str">
        <f>IF(OR(C180="",F180=""),"",COUNTIFS(F$6:F180,F180,C$6:C180,"&lt;&gt;"))</f>
        <v/>
      </c>
      <c r="P180" s="20" t="str">
        <f>IF($O180="","",IFERROR(CHOOSE(MATCH($F180,الإعدادات!$B$4:$B$7,0),INDEX('حضور سوريال'!$C$7:$C$36,$O180),INDEX('حضور غبريال'!$C$7:$C$36,$O180),INDEX('حضور رفائيل'!$C$7:$C$36,$O180),INDEX('حضور ميخائيل'!$C$7:$C$36,$O180)),""))</f>
        <v/>
      </c>
      <c r="Q180" s="20" t="str">
        <f>IF($O180="","",IFERROR(CHOOSE(MATCH($F180,الإعدادات!$B$4:$B$7,0),INDEX('حضور سوريال'!$D$7:$D$36,$O180),INDEX('حضور غبريال'!$D$7:$D$36,$O180),INDEX('حضور رفائيل'!$D$7:$D$36,$O180),INDEX('حضور ميخائيل'!$D$7:$D$36,$O180)),""))</f>
        <v/>
      </c>
      <c r="R180" s="21" t="str">
        <f>IF($O180="","",IFERROR(CHOOSE(MATCH($F180,الإعدادات!$B$4:$B$7,0),INDEX('حضور سوريال'!$F$7:$F$36,$O180),INDEX('حضور غبريال'!$F$7:$F$36,$O180),INDEX('حضور رفائيل'!$F$7:$F$36,$O180),INDEX('حضور ميخائيل'!$F$7:$F$36,$O180)),""))</f>
        <v/>
      </c>
      <c r="S180" s="20" t="str">
        <f>IF($O180="","",IFERROR(CHOOSE(MATCH($F180,الإعدادات!$B$4:$B$7,0),INDEX('حضور سوريال'!$G$7:$G$36,$O180),INDEX('حضور غبريال'!$G$7:$G$36,$O180),INDEX('حضور رفائيل'!$G$7:$G$36,$O180),INDEX('حضور ميخائيل'!$G$7:$G$36,$O180)),""))</f>
        <v/>
      </c>
      <c r="T180" s="22" t="str">
        <f>IF($O180="","",IFERROR(CHOOSE(MATCH($F180,الإعدادات!$B$4:$B$7,0),INDEX('حضور سوريال'!$H$7:$H$36,$O180),INDEX('حضور غبريال'!$H$7:$H$36,$O180),INDEX('حضور رفائيل'!$H$7:$H$36,$O180),INDEX('حضور ميخائيل'!$H$7:$H$36,$O180)),""))</f>
        <v/>
      </c>
      <c r="U180" s="23" t="str">
        <f>IF($O180="","",IFERROR(CHOOSE(MATCH($F180,الإعدادات!$B$4:$B$7,0),INDEX('حضور سوريال'!$I$7:$I$36,$O180),INDEX('حضور غبريال'!$I$7:$I$36,$O180),INDEX('حضور رفائيل'!$I$7:$I$36,$O180),INDEX('حضور ميخائيل'!$I$7:$I$36,$O180)),""))</f>
        <v/>
      </c>
      <c r="V180" t="str">
        <f>IF($O180="","",IFERROR(CHOOSE(MATCH($F180,الإعدادات!$B$4:$B$7,0),INDEX('حضور سوريال'!$BM$7:$BM$36,$O180),INDEX('حضور غبريال'!$BM$7:$BM$36,$O180),INDEX('حضور رفائيل'!$BM$7:$BM$36,$O180),INDEX('حضور ميخائيل'!$BM$7:$BM$36,$O180)),""))</f>
        <v/>
      </c>
      <c r="W180" t="str">
        <f>IF(OR(V180=3,V180=4),COUNTIFS(V$6:V180,3)+COUNTIFS(V$6:V180,4),"")</f>
        <v/>
      </c>
    </row>
    <row r="181" spans="1:23" ht="25.5" customHeight="1">
      <c r="A181" s="13" t="str">
        <f t="shared" si="6"/>
        <v/>
      </c>
      <c r="B181" s="14" t="str">
        <f t="shared" si="7"/>
        <v/>
      </c>
      <c r="C181" s="15"/>
      <c r="D181" s="16"/>
      <c r="E181" s="16"/>
      <c r="F181" s="16"/>
      <c r="G181" s="16"/>
      <c r="H181" s="17"/>
      <c r="I181" s="17"/>
      <c r="J181" s="18"/>
      <c r="K181" s="16"/>
      <c r="L181" s="18"/>
      <c r="M181" s="16"/>
      <c r="N181" s="19" t="str">
        <f t="shared" si="8"/>
        <v/>
      </c>
      <c r="O181" s="19" t="str">
        <f>IF(OR(C181="",F181=""),"",COUNTIFS(F$6:F181,F181,C$6:C181,"&lt;&gt;"))</f>
        <v/>
      </c>
      <c r="P181" s="20" t="str">
        <f>IF($O181="","",IFERROR(CHOOSE(MATCH($F181,الإعدادات!$B$4:$B$7,0),INDEX('حضور سوريال'!$C$7:$C$36,$O181),INDEX('حضور غبريال'!$C$7:$C$36,$O181),INDEX('حضور رفائيل'!$C$7:$C$36,$O181),INDEX('حضور ميخائيل'!$C$7:$C$36,$O181)),""))</f>
        <v/>
      </c>
      <c r="Q181" s="20" t="str">
        <f>IF($O181="","",IFERROR(CHOOSE(MATCH($F181,الإعدادات!$B$4:$B$7,0),INDEX('حضور سوريال'!$D$7:$D$36,$O181),INDEX('حضور غبريال'!$D$7:$D$36,$O181),INDEX('حضور رفائيل'!$D$7:$D$36,$O181),INDEX('حضور ميخائيل'!$D$7:$D$36,$O181)),""))</f>
        <v/>
      </c>
      <c r="R181" s="21" t="str">
        <f>IF($O181="","",IFERROR(CHOOSE(MATCH($F181,الإعدادات!$B$4:$B$7,0),INDEX('حضور سوريال'!$F$7:$F$36,$O181),INDEX('حضور غبريال'!$F$7:$F$36,$O181),INDEX('حضور رفائيل'!$F$7:$F$36,$O181),INDEX('حضور ميخائيل'!$F$7:$F$36,$O181)),""))</f>
        <v/>
      </c>
      <c r="S181" s="20" t="str">
        <f>IF($O181="","",IFERROR(CHOOSE(MATCH($F181,الإعدادات!$B$4:$B$7,0),INDEX('حضور سوريال'!$G$7:$G$36,$O181),INDEX('حضور غبريال'!$G$7:$G$36,$O181),INDEX('حضور رفائيل'!$G$7:$G$36,$O181),INDEX('حضور ميخائيل'!$G$7:$G$36,$O181)),""))</f>
        <v/>
      </c>
      <c r="T181" s="22" t="str">
        <f>IF($O181="","",IFERROR(CHOOSE(MATCH($F181,الإعدادات!$B$4:$B$7,0),INDEX('حضور سوريال'!$H$7:$H$36,$O181),INDEX('حضور غبريال'!$H$7:$H$36,$O181),INDEX('حضور رفائيل'!$H$7:$H$36,$O181),INDEX('حضور ميخائيل'!$H$7:$H$36,$O181)),""))</f>
        <v/>
      </c>
      <c r="U181" s="23" t="str">
        <f>IF($O181="","",IFERROR(CHOOSE(MATCH($F181,الإعدادات!$B$4:$B$7,0),INDEX('حضور سوريال'!$I$7:$I$36,$O181),INDEX('حضور غبريال'!$I$7:$I$36,$O181),INDEX('حضور رفائيل'!$I$7:$I$36,$O181),INDEX('حضور ميخائيل'!$I$7:$I$36,$O181)),""))</f>
        <v/>
      </c>
      <c r="V181" t="str">
        <f>IF($O181="","",IFERROR(CHOOSE(MATCH($F181,الإعدادات!$B$4:$B$7,0),INDEX('حضور سوريال'!$BM$7:$BM$36,$O181),INDEX('حضور غبريال'!$BM$7:$BM$36,$O181),INDEX('حضور رفائيل'!$BM$7:$BM$36,$O181),INDEX('حضور ميخائيل'!$BM$7:$BM$36,$O181)),""))</f>
        <v/>
      </c>
      <c r="W181" t="str">
        <f>IF(OR(V181=3,V181=4),COUNTIFS(V$6:V181,3)+COUNTIFS(V$6:V181,4),"")</f>
        <v/>
      </c>
    </row>
    <row r="182" spans="1:23" ht="25.5" customHeight="1">
      <c r="A182" s="13" t="str">
        <f t="shared" si="6"/>
        <v/>
      </c>
      <c r="B182" s="14" t="str">
        <f t="shared" si="7"/>
        <v/>
      </c>
      <c r="C182" s="15"/>
      <c r="D182" s="16"/>
      <c r="E182" s="16"/>
      <c r="F182" s="16"/>
      <c r="G182" s="16"/>
      <c r="H182" s="17"/>
      <c r="I182" s="17"/>
      <c r="J182" s="18"/>
      <c r="K182" s="16"/>
      <c r="L182" s="18"/>
      <c r="M182" s="16"/>
      <c r="N182" s="19" t="str">
        <f t="shared" si="8"/>
        <v/>
      </c>
      <c r="O182" s="19" t="str">
        <f>IF(OR(C182="",F182=""),"",COUNTIFS(F$6:F182,F182,C$6:C182,"&lt;&gt;"))</f>
        <v/>
      </c>
      <c r="P182" s="20" t="str">
        <f>IF($O182="","",IFERROR(CHOOSE(MATCH($F182,الإعدادات!$B$4:$B$7,0),INDEX('حضور سوريال'!$C$7:$C$36,$O182),INDEX('حضور غبريال'!$C$7:$C$36,$O182),INDEX('حضور رفائيل'!$C$7:$C$36,$O182),INDEX('حضور ميخائيل'!$C$7:$C$36,$O182)),""))</f>
        <v/>
      </c>
      <c r="Q182" s="20" t="str">
        <f>IF($O182="","",IFERROR(CHOOSE(MATCH($F182,الإعدادات!$B$4:$B$7,0),INDEX('حضور سوريال'!$D$7:$D$36,$O182),INDEX('حضور غبريال'!$D$7:$D$36,$O182),INDEX('حضور رفائيل'!$D$7:$D$36,$O182),INDEX('حضور ميخائيل'!$D$7:$D$36,$O182)),""))</f>
        <v/>
      </c>
      <c r="R182" s="21" t="str">
        <f>IF($O182="","",IFERROR(CHOOSE(MATCH($F182,الإعدادات!$B$4:$B$7,0),INDEX('حضور سوريال'!$F$7:$F$36,$O182),INDEX('حضور غبريال'!$F$7:$F$36,$O182),INDEX('حضور رفائيل'!$F$7:$F$36,$O182),INDEX('حضور ميخائيل'!$F$7:$F$36,$O182)),""))</f>
        <v/>
      </c>
      <c r="S182" s="20" t="str">
        <f>IF($O182="","",IFERROR(CHOOSE(MATCH($F182,الإعدادات!$B$4:$B$7,0),INDEX('حضور سوريال'!$G$7:$G$36,$O182),INDEX('حضور غبريال'!$G$7:$G$36,$O182),INDEX('حضور رفائيل'!$G$7:$G$36,$O182),INDEX('حضور ميخائيل'!$G$7:$G$36,$O182)),""))</f>
        <v/>
      </c>
      <c r="T182" s="22" t="str">
        <f>IF($O182="","",IFERROR(CHOOSE(MATCH($F182,الإعدادات!$B$4:$B$7,0),INDEX('حضور سوريال'!$H$7:$H$36,$O182),INDEX('حضور غبريال'!$H$7:$H$36,$O182),INDEX('حضور رفائيل'!$H$7:$H$36,$O182),INDEX('حضور ميخائيل'!$H$7:$H$36,$O182)),""))</f>
        <v/>
      </c>
      <c r="U182" s="23" t="str">
        <f>IF($O182="","",IFERROR(CHOOSE(MATCH($F182,الإعدادات!$B$4:$B$7,0),INDEX('حضور سوريال'!$I$7:$I$36,$O182),INDEX('حضور غبريال'!$I$7:$I$36,$O182),INDEX('حضور رفائيل'!$I$7:$I$36,$O182),INDEX('حضور ميخائيل'!$I$7:$I$36,$O182)),""))</f>
        <v/>
      </c>
      <c r="V182" t="str">
        <f>IF($O182="","",IFERROR(CHOOSE(MATCH($F182,الإعدادات!$B$4:$B$7,0),INDEX('حضور سوريال'!$BM$7:$BM$36,$O182),INDEX('حضور غبريال'!$BM$7:$BM$36,$O182),INDEX('حضور رفائيل'!$BM$7:$BM$36,$O182),INDEX('حضور ميخائيل'!$BM$7:$BM$36,$O182)),""))</f>
        <v/>
      </c>
      <c r="W182" t="str">
        <f>IF(OR(V182=3,V182=4),COUNTIFS(V$6:V182,3)+COUNTIFS(V$6:V182,4),"")</f>
        <v/>
      </c>
    </row>
    <row r="183" spans="1:23" ht="25.5" customHeight="1">
      <c r="A183" s="13" t="str">
        <f t="shared" si="6"/>
        <v/>
      </c>
      <c r="B183" s="14" t="str">
        <f t="shared" si="7"/>
        <v/>
      </c>
      <c r="C183" s="15"/>
      <c r="D183" s="16"/>
      <c r="E183" s="16"/>
      <c r="F183" s="16"/>
      <c r="G183" s="16"/>
      <c r="H183" s="17"/>
      <c r="I183" s="17"/>
      <c r="J183" s="18"/>
      <c r="K183" s="16"/>
      <c r="L183" s="18"/>
      <c r="M183" s="16"/>
      <c r="N183" s="19" t="str">
        <f t="shared" si="8"/>
        <v/>
      </c>
      <c r="O183" s="19" t="str">
        <f>IF(OR(C183="",F183=""),"",COUNTIFS(F$6:F183,F183,C$6:C183,"&lt;&gt;"))</f>
        <v/>
      </c>
      <c r="P183" s="20" t="str">
        <f>IF($O183="","",IFERROR(CHOOSE(MATCH($F183,الإعدادات!$B$4:$B$7,0),INDEX('حضور سوريال'!$C$7:$C$36,$O183),INDEX('حضور غبريال'!$C$7:$C$36,$O183),INDEX('حضور رفائيل'!$C$7:$C$36,$O183),INDEX('حضور ميخائيل'!$C$7:$C$36,$O183)),""))</f>
        <v/>
      </c>
      <c r="Q183" s="20" t="str">
        <f>IF($O183="","",IFERROR(CHOOSE(MATCH($F183,الإعدادات!$B$4:$B$7,0),INDEX('حضور سوريال'!$D$7:$D$36,$O183),INDEX('حضور غبريال'!$D$7:$D$36,$O183),INDEX('حضور رفائيل'!$D$7:$D$36,$O183),INDEX('حضور ميخائيل'!$D$7:$D$36,$O183)),""))</f>
        <v/>
      </c>
      <c r="R183" s="21" t="str">
        <f>IF($O183="","",IFERROR(CHOOSE(MATCH($F183,الإعدادات!$B$4:$B$7,0),INDEX('حضور سوريال'!$F$7:$F$36,$O183),INDEX('حضور غبريال'!$F$7:$F$36,$O183),INDEX('حضور رفائيل'!$F$7:$F$36,$O183),INDEX('حضور ميخائيل'!$F$7:$F$36,$O183)),""))</f>
        <v/>
      </c>
      <c r="S183" s="20" t="str">
        <f>IF($O183="","",IFERROR(CHOOSE(MATCH($F183,الإعدادات!$B$4:$B$7,0),INDEX('حضور سوريال'!$G$7:$G$36,$O183),INDEX('حضور غبريال'!$G$7:$G$36,$O183),INDEX('حضور رفائيل'!$G$7:$G$36,$O183),INDEX('حضور ميخائيل'!$G$7:$G$36,$O183)),""))</f>
        <v/>
      </c>
      <c r="T183" s="22" t="str">
        <f>IF($O183="","",IFERROR(CHOOSE(MATCH($F183,الإعدادات!$B$4:$B$7,0),INDEX('حضور سوريال'!$H$7:$H$36,$O183),INDEX('حضور غبريال'!$H$7:$H$36,$O183),INDEX('حضور رفائيل'!$H$7:$H$36,$O183),INDEX('حضور ميخائيل'!$H$7:$H$36,$O183)),""))</f>
        <v/>
      </c>
      <c r="U183" s="23" t="str">
        <f>IF($O183="","",IFERROR(CHOOSE(MATCH($F183,الإعدادات!$B$4:$B$7,0),INDEX('حضور سوريال'!$I$7:$I$36,$O183),INDEX('حضور غبريال'!$I$7:$I$36,$O183),INDEX('حضور رفائيل'!$I$7:$I$36,$O183),INDEX('حضور ميخائيل'!$I$7:$I$36,$O183)),""))</f>
        <v/>
      </c>
      <c r="V183" t="str">
        <f>IF($O183="","",IFERROR(CHOOSE(MATCH($F183,الإعدادات!$B$4:$B$7,0),INDEX('حضور سوريال'!$BM$7:$BM$36,$O183),INDEX('حضور غبريال'!$BM$7:$BM$36,$O183),INDEX('حضور رفائيل'!$BM$7:$BM$36,$O183),INDEX('حضور ميخائيل'!$BM$7:$BM$36,$O183)),""))</f>
        <v/>
      </c>
      <c r="W183" t="str">
        <f>IF(OR(V183=3,V183=4),COUNTIFS(V$6:V183,3)+COUNTIFS(V$6:V183,4),"")</f>
        <v/>
      </c>
    </row>
    <row r="184" spans="1:23" ht="25.5" customHeight="1">
      <c r="A184" s="13" t="str">
        <f t="shared" si="6"/>
        <v/>
      </c>
      <c r="B184" s="14" t="str">
        <f t="shared" si="7"/>
        <v/>
      </c>
      <c r="C184" s="15"/>
      <c r="D184" s="16"/>
      <c r="E184" s="16"/>
      <c r="F184" s="16"/>
      <c r="G184" s="16"/>
      <c r="H184" s="17"/>
      <c r="I184" s="17"/>
      <c r="J184" s="18"/>
      <c r="K184" s="16"/>
      <c r="L184" s="18"/>
      <c r="M184" s="16"/>
      <c r="N184" s="19" t="str">
        <f t="shared" si="8"/>
        <v/>
      </c>
      <c r="O184" s="19" t="str">
        <f>IF(OR(C184="",F184=""),"",COUNTIFS(F$6:F184,F184,C$6:C184,"&lt;&gt;"))</f>
        <v/>
      </c>
      <c r="P184" s="20" t="str">
        <f>IF($O184="","",IFERROR(CHOOSE(MATCH($F184,الإعدادات!$B$4:$B$7,0),INDEX('حضور سوريال'!$C$7:$C$36,$O184),INDEX('حضور غبريال'!$C$7:$C$36,$O184),INDEX('حضور رفائيل'!$C$7:$C$36,$O184),INDEX('حضور ميخائيل'!$C$7:$C$36,$O184)),""))</f>
        <v/>
      </c>
      <c r="Q184" s="20" t="str">
        <f>IF($O184="","",IFERROR(CHOOSE(MATCH($F184,الإعدادات!$B$4:$B$7,0),INDEX('حضور سوريال'!$D$7:$D$36,$O184),INDEX('حضور غبريال'!$D$7:$D$36,$O184),INDEX('حضور رفائيل'!$D$7:$D$36,$O184),INDEX('حضور ميخائيل'!$D$7:$D$36,$O184)),""))</f>
        <v/>
      </c>
      <c r="R184" s="21" t="str">
        <f>IF($O184="","",IFERROR(CHOOSE(MATCH($F184,الإعدادات!$B$4:$B$7,0),INDEX('حضور سوريال'!$F$7:$F$36,$O184),INDEX('حضور غبريال'!$F$7:$F$36,$O184),INDEX('حضور رفائيل'!$F$7:$F$36,$O184),INDEX('حضور ميخائيل'!$F$7:$F$36,$O184)),""))</f>
        <v/>
      </c>
      <c r="S184" s="20" t="str">
        <f>IF($O184="","",IFERROR(CHOOSE(MATCH($F184,الإعدادات!$B$4:$B$7,0),INDEX('حضور سوريال'!$G$7:$G$36,$O184),INDEX('حضور غبريال'!$G$7:$G$36,$O184),INDEX('حضور رفائيل'!$G$7:$G$36,$O184),INDEX('حضور ميخائيل'!$G$7:$G$36,$O184)),""))</f>
        <v/>
      </c>
      <c r="T184" s="22" t="str">
        <f>IF($O184="","",IFERROR(CHOOSE(MATCH($F184,الإعدادات!$B$4:$B$7,0),INDEX('حضور سوريال'!$H$7:$H$36,$O184),INDEX('حضور غبريال'!$H$7:$H$36,$O184),INDEX('حضور رفائيل'!$H$7:$H$36,$O184),INDEX('حضور ميخائيل'!$H$7:$H$36,$O184)),""))</f>
        <v/>
      </c>
      <c r="U184" s="23" t="str">
        <f>IF($O184="","",IFERROR(CHOOSE(MATCH($F184,الإعدادات!$B$4:$B$7,0),INDEX('حضور سوريال'!$I$7:$I$36,$O184),INDEX('حضور غبريال'!$I$7:$I$36,$O184),INDEX('حضور رفائيل'!$I$7:$I$36,$O184),INDEX('حضور ميخائيل'!$I$7:$I$36,$O184)),""))</f>
        <v/>
      </c>
      <c r="V184" t="str">
        <f>IF($O184="","",IFERROR(CHOOSE(MATCH($F184,الإعدادات!$B$4:$B$7,0),INDEX('حضور سوريال'!$BM$7:$BM$36,$O184),INDEX('حضور غبريال'!$BM$7:$BM$36,$O184),INDEX('حضور رفائيل'!$BM$7:$BM$36,$O184),INDEX('حضور ميخائيل'!$BM$7:$BM$36,$O184)),""))</f>
        <v/>
      </c>
      <c r="W184" t="str">
        <f>IF(OR(V184=3,V184=4),COUNTIFS(V$6:V184,3)+COUNTIFS(V$6:V184,4),"")</f>
        <v/>
      </c>
    </row>
    <row r="185" spans="1:23" ht="25.5" customHeight="1">
      <c r="A185" s="13" t="str">
        <f t="shared" si="6"/>
        <v/>
      </c>
      <c r="B185" s="14" t="str">
        <f t="shared" si="7"/>
        <v/>
      </c>
      <c r="C185" s="15"/>
      <c r="D185" s="16"/>
      <c r="E185" s="16"/>
      <c r="F185" s="16"/>
      <c r="G185" s="16"/>
      <c r="H185" s="17"/>
      <c r="I185" s="17"/>
      <c r="J185" s="18"/>
      <c r="K185" s="16"/>
      <c r="L185" s="18"/>
      <c r="M185" s="16"/>
      <c r="N185" s="19" t="str">
        <f t="shared" si="8"/>
        <v/>
      </c>
      <c r="O185" s="19" t="str">
        <f>IF(OR(C185="",F185=""),"",COUNTIFS(F$6:F185,F185,C$6:C185,"&lt;&gt;"))</f>
        <v/>
      </c>
      <c r="P185" s="20" t="str">
        <f>IF($O185="","",IFERROR(CHOOSE(MATCH($F185,الإعدادات!$B$4:$B$7,0),INDEX('حضور سوريال'!$C$7:$C$36,$O185),INDEX('حضور غبريال'!$C$7:$C$36,$O185),INDEX('حضور رفائيل'!$C$7:$C$36,$O185),INDEX('حضور ميخائيل'!$C$7:$C$36,$O185)),""))</f>
        <v/>
      </c>
      <c r="Q185" s="20" t="str">
        <f>IF($O185="","",IFERROR(CHOOSE(MATCH($F185,الإعدادات!$B$4:$B$7,0),INDEX('حضور سوريال'!$D$7:$D$36,$O185),INDEX('حضور غبريال'!$D$7:$D$36,$O185),INDEX('حضور رفائيل'!$D$7:$D$36,$O185),INDEX('حضور ميخائيل'!$D$7:$D$36,$O185)),""))</f>
        <v/>
      </c>
      <c r="R185" s="21" t="str">
        <f>IF($O185="","",IFERROR(CHOOSE(MATCH($F185,الإعدادات!$B$4:$B$7,0),INDEX('حضور سوريال'!$F$7:$F$36,$O185),INDEX('حضور غبريال'!$F$7:$F$36,$O185),INDEX('حضور رفائيل'!$F$7:$F$36,$O185),INDEX('حضور ميخائيل'!$F$7:$F$36,$O185)),""))</f>
        <v/>
      </c>
      <c r="S185" s="20" t="str">
        <f>IF($O185="","",IFERROR(CHOOSE(MATCH($F185,الإعدادات!$B$4:$B$7,0),INDEX('حضور سوريال'!$G$7:$G$36,$O185),INDEX('حضور غبريال'!$G$7:$G$36,$O185),INDEX('حضور رفائيل'!$G$7:$G$36,$O185),INDEX('حضور ميخائيل'!$G$7:$G$36,$O185)),""))</f>
        <v/>
      </c>
      <c r="T185" s="22" t="str">
        <f>IF($O185="","",IFERROR(CHOOSE(MATCH($F185,الإعدادات!$B$4:$B$7,0),INDEX('حضور سوريال'!$H$7:$H$36,$O185),INDEX('حضور غبريال'!$H$7:$H$36,$O185),INDEX('حضور رفائيل'!$H$7:$H$36,$O185),INDEX('حضور ميخائيل'!$H$7:$H$36,$O185)),""))</f>
        <v/>
      </c>
      <c r="U185" s="23" t="str">
        <f>IF($O185="","",IFERROR(CHOOSE(MATCH($F185,الإعدادات!$B$4:$B$7,0),INDEX('حضور سوريال'!$I$7:$I$36,$O185),INDEX('حضور غبريال'!$I$7:$I$36,$O185),INDEX('حضور رفائيل'!$I$7:$I$36,$O185),INDEX('حضور ميخائيل'!$I$7:$I$36,$O185)),""))</f>
        <v/>
      </c>
      <c r="V185" t="str">
        <f>IF($O185="","",IFERROR(CHOOSE(MATCH($F185,الإعدادات!$B$4:$B$7,0),INDEX('حضور سوريال'!$BM$7:$BM$36,$O185),INDEX('حضور غبريال'!$BM$7:$BM$36,$O185),INDEX('حضور رفائيل'!$BM$7:$BM$36,$O185),INDEX('حضور ميخائيل'!$BM$7:$BM$36,$O185)),""))</f>
        <v/>
      </c>
      <c r="W185" t="str">
        <f>IF(OR(V185=3,V185=4),COUNTIFS(V$6:V185,3)+COUNTIFS(V$6:V185,4),"")</f>
        <v/>
      </c>
    </row>
    <row r="186" spans="1:23" ht="25.5" customHeight="1">
      <c r="A186" s="13" t="str">
        <f t="shared" si="6"/>
        <v/>
      </c>
      <c r="B186" s="14" t="str">
        <f t="shared" si="7"/>
        <v/>
      </c>
      <c r="C186" s="15"/>
      <c r="D186" s="16"/>
      <c r="E186" s="16"/>
      <c r="F186" s="16"/>
      <c r="G186" s="16"/>
      <c r="H186" s="17"/>
      <c r="I186" s="17"/>
      <c r="J186" s="18"/>
      <c r="K186" s="16"/>
      <c r="L186" s="18"/>
      <c r="M186" s="16"/>
      <c r="N186" s="19" t="str">
        <f t="shared" si="8"/>
        <v/>
      </c>
      <c r="O186" s="19" t="str">
        <f>IF(OR(C186="",F186=""),"",COUNTIFS(F$6:F186,F186,C$6:C186,"&lt;&gt;"))</f>
        <v/>
      </c>
      <c r="P186" s="20" t="str">
        <f>IF($O186="","",IFERROR(CHOOSE(MATCH($F186,الإعدادات!$B$4:$B$7,0),INDEX('حضور سوريال'!$C$7:$C$36,$O186),INDEX('حضور غبريال'!$C$7:$C$36,$O186),INDEX('حضور رفائيل'!$C$7:$C$36,$O186),INDEX('حضور ميخائيل'!$C$7:$C$36,$O186)),""))</f>
        <v/>
      </c>
      <c r="Q186" s="20" t="str">
        <f>IF($O186="","",IFERROR(CHOOSE(MATCH($F186,الإعدادات!$B$4:$B$7,0),INDEX('حضور سوريال'!$D$7:$D$36,$O186),INDEX('حضور غبريال'!$D$7:$D$36,$O186),INDEX('حضور رفائيل'!$D$7:$D$36,$O186),INDEX('حضور ميخائيل'!$D$7:$D$36,$O186)),""))</f>
        <v/>
      </c>
      <c r="R186" s="21" t="str">
        <f>IF($O186="","",IFERROR(CHOOSE(MATCH($F186,الإعدادات!$B$4:$B$7,0),INDEX('حضور سوريال'!$F$7:$F$36,$O186),INDEX('حضور غبريال'!$F$7:$F$36,$O186),INDEX('حضور رفائيل'!$F$7:$F$36,$O186),INDEX('حضور ميخائيل'!$F$7:$F$36,$O186)),""))</f>
        <v/>
      </c>
      <c r="S186" s="20" t="str">
        <f>IF($O186="","",IFERROR(CHOOSE(MATCH($F186,الإعدادات!$B$4:$B$7,0),INDEX('حضور سوريال'!$G$7:$G$36,$O186),INDEX('حضور غبريال'!$G$7:$G$36,$O186),INDEX('حضور رفائيل'!$G$7:$G$36,$O186),INDEX('حضور ميخائيل'!$G$7:$G$36,$O186)),""))</f>
        <v/>
      </c>
      <c r="T186" s="22" t="str">
        <f>IF($O186="","",IFERROR(CHOOSE(MATCH($F186,الإعدادات!$B$4:$B$7,0),INDEX('حضور سوريال'!$H$7:$H$36,$O186),INDEX('حضور غبريال'!$H$7:$H$36,$O186),INDEX('حضور رفائيل'!$H$7:$H$36,$O186),INDEX('حضور ميخائيل'!$H$7:$H$36,$O186)),""))</f>
        <v/>
      </c>
      <c r="U186" s="23" t="str">
        <f>IF($O186="","",IFERROR(CHOOSE(MATCH($F186,الإعدادات!$B$4:$B$7,0),INDEX('حضور سوريال'!$I$7:$I$36,$O186),INDEX('حضور غبريال'!$I$7:$I$36,$O186),INDEX('حضور رفائيل'!$I$7:$I$36,$O186),INDEX('حضور ميخائيل'!$I$7:$I$36,$O186)),""))</f>
        <v/>
      </c>
      <c r="V186" t="str">
        <f>IF($O186="","",IFERROR(CHOOSE(MATCH($F186,الإعدادات!$B$4:$B$7,0),INDEX('حضور سوريال'!$BM$7:$BM$36,$O186),INDEX('حضور غبريال'!$BM$7:$BM$36,$O186),INDEX('حضور رفائيل'!$BM$7:$BM$36,$O186),INDEX('حضور ميخائيل'!$BM$7:$BM$36,$O186)),""))</f>
        <v/>
      </c>
      <c r="W186" t="str">
        <f>IF(OR(V186=3,V186=4),COUNTIFS(V$6:V186,3)+COUNTIFS(V$6:V186,4),"")</f>
        <v/>
      </c>
    </row>
    <row r="187" spans="1:23" ht="25.5" customHeight="1">
      <c r="A187" s="13" t="str">
        <f t="shared" si="6"/>
        <v/>
      </c>
      <c r="B187" s="14" t="str">
        <f t="shared" si="7"/>
        <v/>
      </c>
      <c r="C187" s="15"/>
      <c r="D187" s="16"/>
      <c r="E187" s="16"/>
      <c r="F187" s="16"/>
      <c r="G187" s="16"/>
      <c r="H187" s="17"/>
      <c r="I187" s="17"/>
      <c r="J187" s="18"/>
      <c r="K187" s="16"/>
      <c r="L187" s="18"/>
      <c r="M187" s="16"/>
      <c r="N187" s="19" t="str">
        <f t="shared" si="8"/>
        <v/>
      </c>
      <c r="O187" s="19" t="str">
        <f>IF(OR(C187="",F187=""),"",COUNTIFS(F$6:F187,F187,C$6:C187,"&lt;&gt;"))</f>
        <v/>
      </c>
      <c r="P187" s="20" t="str">
        <f>IF($O187="","",IFERROR(CHOOSE(MATCH($F187,الإعدادات!$B$4:$B$7,0),INDEX('حضور سوريال'!$C$7:$C$36,$O187),INDEX('حضور غبريال'!$C$7:$C$36,$O187),INDEX('حضور رفائيل'!$C$7:$C$36,$O187),INDEX('حضور ميخائيل'!$C$7:$C$36,$O187)),""))</f>
        <v/>
      </c>
      <c r="Q187" s="20" t="str">
        <f>IF($O187="","",IFERROR(CHOOSE(MATCH($F187,الإعدادات!$B$4:$B$7,0),INDEX('حضور سوريال'!$D$7:$D$36,$O187),INDEX('حضور غبريال'!$D$7:$D$36,$O187),INDEX('حضور رفائيل'!$D$7:$D$36,$O187),INDEX('حضور ميخائيل'!$D$7:$D$36,$O187)),""))</f>
        <v/>
      </c>
      <c r="R187" s="21" t="str">
        <f>IF($O187="","",IFERROR(CHOOSE(MATCH($F187,الإعدادات!$B$4:$B$7,0),INDEX('حضور سوريال'!$F$7:$F$36,$O187),INDEX('حضور غبريال'!$F$7:$F$36,$O187),INDEX('حضور رفائيل'!$F$7:$F$36,$O187),INDEX('حضور ميخائيل'!$F$7:$F$36,$O187)),""))</f>
        <v/>
      </c>
      <c r="S187" s="20" t="str">
        <f>IF($O187="","",IFERROR(CHOOSE(MATCH($F187,الإعدادات!$B$4:$B$7,0),INDEX('حضور سوريال'!$G$7:$G$36,$O187),INDEX('حضور غبريال'!$G$7:$G$36,$O187),INDEX('حضور رفائيل'!$G$7:$G$36,$O187),INDEX('حضور ميخائيل'!$G$7:$G$36,$O187)),""))</f>
        <v/>
      </c>
      <c r="T187" s="22" t="str">
        <f>IF($O187="","",IFERROR(CHOOSE(MATCH($F187,الإعدادات!$B$4:$B$7,0),INDEX('حضور سوريال'!$H$7:$H$36,$O187),INDEX('حضور غبريال'!$H$7:$H$36,$O187),INDEX('حضور رفائيل'!$H$7:$H$36,$O187),INDEX('حضور ميخائيل'!$H$7:$H$36,$O187)),""))</f>
        <v/>
      </c>
      <c r="U187" s="23" t="str">
        <f>IF($O187="","",IFERROR(CHOOSE(MATCH($F187,الإعدادات!$B$4:$B$7,0),INDEX('حضور سوريال'!$I$7:$I$36,$O187),INDEX('حضور غبريال'!$I$7:$I$36,$O187),INDEX('حضور رفائيل'!$I$7:$I$36,$O187),INDEX('حضور ميخائيل'!$I$7:$I$36,$O187)),""))</f>
        <v/>
      </c>
      <c r="V187" t="str">
        <f>IF($O187="","",IFERROR(CHOOSE(MATCH($F187,الإعدادات!$B$4:$B$7,0),INDEX('حضور سوريال'!$BM$7:$BM$36,$O187),INDEX('حضور غبريال'!$BM$7:$BM$36,$O187),INDEX('حضور رفائيل'!$BM$7:$BM$36,$O187),INDEX('حضور ميخائيل'!$BM$7:$BM$36,$O187)),""))</f>
        <v/>
      </c>
      <c r="W187" t="str">
        <f>IF(OR(V187=3,V187=4),COUNTIFS(V$6:V187,3)+COUNTIFS(V$6:V187,4),"")</f>
        <v/>
      </c>
    </row>
    <row r="188" spans="1:23" ht="25.5" customHeight="1">
      <c r="A188" s="13" t="str">
        <f t="shared" si="6"/>
        <v/>
      </c>
      <c r="B188" s="14" t="str">
        <f t="shared" si="7"/>
        <v/>
      </c>
      <c r="C188" s="15"/>
      <c r="D188" s="16"/>
      <c r="E188" s="16"/>
      <c r="F188" s="16"/>
      <c r="G188" s="16"/>
      <c r="H188" s="17"/>
      <c r="I188" s="17"/>
      <c r="J188" s="18"/>
      <c r="K188" s="16"/>
      <c r="L188" s="18"/>
      <c r="M188" s="16"/>
      <c r="N188" s="19" t="str">
        <f t="shared" si="8"/>
        <v/>
      </c>
      <c r="O188" s="19" t="str">
        <f>IF(OR(C188="",F188=""),"",COUNTIFS(F$6:F188,F188,C$6:C188,"&lt;&gt;"))</f>
        <v/>
      </c>
      <c r="P188" s="20" t="str">
        <f>IF($O188="","",IFERROR(CHOOSE(MATCH($F188,الإعدادات!$B$4:$B$7,0),INDEX('حضور سوريال'!$C$7:$C$36,$O188),INDEX('حضور غبريال'!$C$7:$C$36,$O188),INDEX('حضور رفائيل'!$C$7:$C$36,$O188),INDEX('حضور ميخائيل'!$C$7:$C$36,$O188)),""))</f>
        <v/>
      </c>
      <c r="Q188" s="20" t="str">
        <f>IF($O188="","",IFERROR(CHOOSE(MATCH($F188,الإعدادات!$B$4:$B$7,0),INDEX('حضور سوريال'!$D$7:$D$36,$O188),INDEX('حضور غبريال'!$D$7:$D$36,$O188),INDEX('حضور رفائيل'!$D$7:$D$36,$O188),INDEX('حضور ميخائيل'!$D$7:$D$36,$O188)),""))</f>
        <v/>
      </c>
      <c r="R188" s="21" t="str">
        <f>IF($O188="","",IFERROR(CHOOSE(MATCH($F188,الإعدادات!$B$4:$B$7,0),INDEX('حضور سوريال'!$F$7:$F$36,$O188),INDEX('حضور غبريال'!$F$7:$F$36,$O188),INDEX('حضور رفائيل'!$F$7:$F$36,$O188),INDEX('حضور ميخائيل'!$F$7:$F$36,$O188)),""))</f>
        <v/>
      </c>
      <c r="S188" s="20" t="str">
        <f>IF($O188="","",IFERROR(CHOOSE(MATCH($F188,الإعدادات!$B$4:$B$7,0),INDEX('حضور سوريال'!$G$7:$G$36,$O188),INDEX('حضور غبريال'!$G$7:$G$36,$O188),INDEX('حضور رفائيل'!$G$7:$G$36,$O188),INDEX('حضور ميخائيل'!$G$7:$G$36,$O188)),""))</f>
        <v/>
      </c>
      <c r="T188" s="22" t="str">
        <f>IF($O188="","",IFERROR(CHOOSE(MATCH($F188,الإعدادات!$B$4:$B$7,0),INDEX('حضور سوريال'!$H$7:$H$36,$O188),INDEX('حضور غبريال'!$H$7:$H$36,$O188),INDEX('حضور رفائيل'!$H$7:$H$36,$O188),INDEX('حضور ميخائيل'!$H$7:$H$36,$O188)),""))</f>
        <v/>
      </c>
      <c r="U188" s="23" t="str">
        <f>IF($O188="","",IFERROR(CHOOSE(MATCH($F188,الإعدادات!$B$4:$B$7,0),INDEX('حضور سوريال'!$I$7:$I$36,$O188),INDEX('حضور غبريال'!$I$7:$I$36,$O188),INDEX('حضور رفائيل'!$I$7:$I$36,$O188),INDEX('حضور ميخائيل'!$I$7:$I$36,$O188)),""))</f>
        <v/>
      </c>
      <c r="V188" t="str">
        <f>IF($O188="","",IFERROR(CHOOSE(MATCH($F188,الإعدادات!$B$4:$B$7,0),INDEX('حضور سوريال'!$BM$7:$BM$36,$O188),INDEX('حضور غبريال'!$BM$7:$BM$36,$O188),INDEX('حضور رفائيل'!$BM$7:$BM$36,$O188),INDEX('حضور ميخائيل'!$BM$7:$BM$36,$O188)),""))</f>
        <v/>
      </c>
      <c r="W188" t="str">
        <f>IF(OR(V188=3,V188=4),COUNTIFS(V$6:V188,3)+COUNTIFS(V$6:V188,4),"")</f>
        <v/>
      </c>
    </row>
    <row r="189" spans="1:23" ht="25.5" customHeight="1">
      <c r="A189" s="13" t="str">
        <f t="shared" si="6"/>
        <v/>
      </c>
      <c r="B189" s="14" t="str">
        <f t="shared" si="7"/>
        <v/>
      </c>
      <c r="C189" s="15"/>
      <c r="D189" s="16"/>
      <c r="E189" s="16"/>
      <c r="F189" s="16"/>
      <c r="G189" s="16"/>
      <c r="H189" s="17"/>
      <c r="I189" s="17"/>
      <c r="J189" s="18"/>
      <c r="K189" s="16"/>
      <c r="L189" s="18"/>
      <c r="M189" s="16"/>
      <c r="N189" s="19" t="str">
        <f t="shared" si="8"/>
        <v/>
      </c>
      <c r="O189" s="19" t="str">
        <f>IF(OR(C189="",F189=""),"",COUNTIFS(F$6:F189,F189,C$6:C189,"&lt;&gt;"))</f>
        <v/>
      </c>
      <c r="P189" s="20" t="str">
        <f>IF($O189="","",IFERROR(CHOOSE(MATCH($F189,الإعدادات!$B$4:$B$7,0),INDEX('حضور سوريال'!$C$7:$C$36,$O189),INDEX('حضور غبريال'!$C$7:$C$36,$O189),INDEX('حضور رفائيل'!$C$7:$C$36,$O189),INDEX('حضور ميخائيل'!$C$7:$C$36,$O189)),""))</f>
        <v/>
      </c>
      <c r="Q189" s="20" t="str">
        <f>IF($O189="","",IFERROR(CHOOSE(MATCH($F189,الإعدادات!$B$4:$B$7,0),INDEX('حضور سوريال'!$D$7:$D$36,$O189),INDEX('حضور غبريال'!$D$7:$D$36,$O189),INDEX('حضور رفائيل'!$D$7:$D$36,$O189),INDEX('حضور ميخائيل'!$D$7:$D$36,$O189)),""))</f>
        <v/>
      </c>
      <c r="R189" s="21" t="str">
        <f>IF($O189="","",IFERROR(CHOOSE(MATCH($F189,الإعدادات!$B$4:$B$7,0),INDEX('حضور سوريال'!$F$7:$F$36,$O189),INDEX('حضور غبريال'!$F$7:$F$36,$O189),INDEX('حضور رفائيل'!$F$7:$F$36,$O189),INDEX('حضور ميخائيل'!$F$7:$F$36,$O189)),""))</f>
        <v/>
      </c>
      <c r="S189" s="20" t="str">
        <f>IF($O189="","",IFERROR(CHOOSE(MATCH($F189,الإعدادات!$B$4:$B$7,0),INDEX('حضور سوريال'!$G$7:$G$36,$O189),INDEX('حضور غبريال'!$G$7:$G$36,$O189),INDEX('حضور رفائيل'!$G$7:$G$36,$O189),INDEX('حضور ميخائيل'!$G$7:$G$36,$O189)),""))</f>
        <v/>
      </c>
      <c r="T189" s="22" t="str">
        <f>IF($O189="","",IFERROR(CHOOSE(MATCH($F189,الإعدادات!$B$4:$B$7,0),INDEX('حضور سوريال'!$H$7:$H$36,$O189),INDEX('حضور غبريال'!$H$7:$H$36,$O189),INDEX('حضور رفائيل'!$H$7:$H$36,$O189),INDEX('حضور ميخائيل'!$H$7:$H$36,$O189)),""))</f>
        <v/>
      </c>
      <c r="U189" s="23" t="str">
        <f>IF($O189="","",IFERROR(CHOOSE(MATCH($F189,الإعدادات!$B$4:$B$7,0),INDEX('حضور سوريال'!$I$7:$I$36,$O189),INDEX('حضور غبريال'!$I$7:$I$36,$O189),INDEX('حضور رفائيل'!$I$7:$I$36,$O189),INDEX('حضور ميخائيل'!$I$7:$I$36,$O189)),""))</f>
        <v/>
      </c>
      <c r="V189" t="str">
        <f>IF($O189="","",IFERROR(CHOOSE(MATCH($F189,الإعدادات!$B$4:$B$7,0),INDEX('حضور سوريال'!$BM$7:$BM$36,$O189),INDEX('حضور غبريال'!$BM$7:$BM$36,$O189),INDEX('حضور رفائيل'!$BM$7:$BM$36,$O189),INDEX('حضور ميخائيل'!$BM$7:$BM$36,$O189)),""))</f>
        <v/>
      </c>
      <c r="W189" t="str">
        <f>IF(OR(V189=3,V189=4),COUNTIFS(V$6:V189,3)+COUNTIFS(V$6:V189,4),"")</f>
        <v/>
      </c>
    </row>
    <row r="190" spans="1:23" ht="25.5" customHeight="1">
      <c r="A190" s="13" t="str">
        <f t="shared" si="6"/>
        <v/>
      </c>
      <c r="B190" s="14" t="str">
        <f t="shared" si="7"/>
        <v/>
      </c>
      <c r="C190" s="15"/>
      <c r="D190" s="16"/>
      <c r="E190" s="16"/>
      <c r="F190" s="16"/>
      <c r="G190" s="16"/>
      <c r="H190" s="17"/>
      <c r="I190" s="17"/>
      <c r="J190" s="18"/>
      <c r="K190" s="16"/>
      <c r="L190" s="18"/>
      <c r="M190" s="16"/>
      <c r="N190" s="19" t="str">
        <f t="shared" si="8"/>
        <v/>
      </c>
      <c r="O190" s="19" t="str">
        <f>IF(OR(C190="",F190=""),"",COUNTIFS(F$6:F190,F190,C$6:C190,"&lt;&gt;"))</f>
        <v/>
      </c>
      <c r="P190" s="20" t="str">
        <f>IF($O190="","",IFERROR(CHOOSE(MATCH($F190,الإعدادات!$B$4:$B$7,0),INDEX('حضور سوريال'!$C$7:$C$36,$O190),INDEX('حضور غبريال'!$C$7:$C$36,$O190),INDEX('حضور رفائيل'!$C$7:$C$36,$O190),INDEX('حضور ميخائيل'!$C$7:$C$36,$O190)),""))</f>
        <v/>
      </c>
      <c r="Q190" s="20" t="str">
        <f>IF($O190="","",IFERROR(CHOOSE(MATCH($F190,الإعدادات!$B$4:$B$7,0),INDEX('حضور سوريال'!$D$7:$D$36,$O190),INDEX('حضور غبريال'!$D$7:$D$36,$O190),INDEX('حضور رفائيل'!$D$7:$D$36,$O190),INDEX('حضور ميخائيل'!$D$7:$D$36,$O190)),""))</f>
        <v/>
      </c>
      <c r="R190" s="21" t="str">
        <f>IF($O190="","",IFERROR(CHOOSE(MATCH($F190,الإعدادات!$B$4:$B$7,0),INDEX('حضور سوريال'!$F$7:$F$36,$O190),INDEX('حضور غبريال'!$F$7:$F$36,$O190),INDEX('حضور رفائيل'!$F$7:$F$36,$O190),INDEX('حضور ميخائيل'!$F$7:$F$36,$O190)),""))</f>
        <v/>
      </c>
      <c r="S190" s="20" t="str">
        <f>IF($O190="","",IFERROR(CHOOSE(MATCH($F190,الإعدادات!$B$4:$B$7,0),INDEX('حضور سوريال'!$G$7:$G$36,$O190),INDEX('حضور غبريال'!$G$7:$G$36,$O190),INDEX('حضور رفائيل'!$G$7:$G$36,$O190),INDEX('حضور ميخائيل'!$G$7:$G$36,$O190)),""))</f>
        <v/>
      </c>
      <c r="T190" s="22" t="str">
        <f>IF($O190="","",IFERROR(CHOOSE(MATCH($F190,الإعدادات!$B$4:$B$7,0),INDEX('حضور سوريال'!$H$7:$H$36,$O190),INDEX('حضور غبريال'!$H$7:$H$36,$O190),INDEX('حضور رفائيل'!$H$7:$H$36,$O190),INDEX('حضور ميخائيل'!$H$7:$H$36,$O190)),""))</f>
        <v/>
      </c>
      <c r="U190" s="23" t="str">
        <f>IF($O190="","",IFERROR(CHOOSE(MATCH($F190,الإعدادات!$B$4:$B$7,0),INDEX('حضور سوريال'!$I$7:$I$36,$O190),INDEX('حضور غبريال'!$I$7:$I$36,$O190),INDEX('حضور رفائيل'!$I$7:$I$36,$O190),INDEX('حضور ميخائيل'!$I$7:$I$36,$O190)),""))</f>
        <v/>
      </c>
      <c r="V190" t="str">
        <f>IF($O190="","",IFERROR(CHOOSE(MATCH($F190,الإعدادات!$B$4:$B$7,0),INDEX('حضور سوريال'!$BM$7:$BM$36,$O190),INDEX('حضور غبريال'!$BM$7:$BM$36,$O190),INDEX('حضور رفائيل'!$BM$7:$BM$36,$O190),INDEX('حضور ميخائيل'!$BM$7:$BM$36,$O190)),""))</f>
        <v/>
      </c>
      <c r="W190" t="str">
        <f>IF(OR(V190=3,V190=4),COUNTIFS(V$6:V190,3)+COUNTIFS(V$6:V190,4),"")</f>
        <v/>
      </c>
    </row>
    <row r="191" spans="1:23" ht="25.5" customHeight="1">
      <c r="A191" s="13" t="str">
        <f t="shared" si="6"/>
        <v/>
      </c>
      <c r="B191" s="14" t="str">
        <f t="shared" si="7"/>
        <v/>
      </c>
      <c r="C191" s="15"/>
      <c r="D191" s="16"/>
      <c r="E191" s="16"/>
      <c r="F191" s="16"/>
      <c r="G191" s="16"/>
      <c r="H191" s="17"/>
      <c r="I191" s="17"/>
      <c r="J191" s="18"/>
      <c r="K191" s="16"/>
      <c r="L191" s="18"/>
      <c r="M191" s="16"/>
      <c r="N191" s="19" t="str">
        <f t="shared" si="8"/>
        <v/>
      </c>
      <c r="O191" s="19" t="str">
        <f>IF(OR(C191="",F191=""),"",COUNTIFS(F$6:F191,F191,C$6:C191,"&lt;&gt;"))</f>
        <v/>
      </c>
      <c r="P191" s="20" t="str">
        <f>IF($O191="","",IFERROR(CHOOSE(MATCH($F191,الإعدادات!$B$4:$B$7,0),INDEX('حضور سوريال'!$C$7:$C$36,$O191),INDEX('حضور غبريال'!$C$7:$C$36,$O191),INDEX('حضور رفائيل'!$C$7:$C$36,$O191),INDEX('حضور ميخائيل'!$C$7:$C$36,$O191)),""))</f>
        <v/>
      </c>
      <c r="Q191" s="20" t="str">
        <f>IF($O191="","",IFERROR(CHOOSE(MATCH($F191,الإعدادات!$B$4:$B$7,0),INDEX('حضور سوريال'!$D$7:$D$36,$O191),INDEX('حضور غبريال'!$D$7:$D$36,$O191),INDEX('حضور رفائيل'!$D$7:$D$36,$O191),INDEX('حضور ميخائيل'!$D$7:$D$36,$O191)),""))</f>
        <v/>
      </c>
      <c r="R191" s="21" t="str">
        <f>IF($O191="","",IFERROR(CHOOSE(MATCH($F191,الإعدادات!$B$4:$B$7,0),INDEX('حضور سوريال'!$F$7:$F$36,$O191),INDEX('حضور غبريال'!$F$7:$F$36,$O191),INDEX('حضور رفائيل'!$F$7:$F$36,$O191),INDEX('حضور ميخائيل'!$F$7:$F$36,$O191)),""))</f>
        <v/>
      </c>
      <c r="S191" s="20" t="str">
        <f>IF($O191="","",IFERROR(CHOOSE(MATCH($F191,الإعدادات!$B$4:$B$7,0),INDEX('حضور سوريال'!$G$7:$G$36,$O191),INDEX('حضور غبريال'!$G$7:$G$36,$O191),INDEX('حضور رفائيل'!$G$7:$G$36,$O191),INDEX('حضور ميخائيل'!$G$7:$G$36,$O191)),""))</f>
        <v/>
      </c>
      <c r="T191" s="22" t="str">
        <f>IF($O191="","",IFERROR(CHOOSE(MATCH($F191,الإعدادات!$B$4:$B$7,0),INDEX('حضور سوريال'!$H$7:$H$36,$O191),INDEX('حضور غبريال'!$H$7:$H$36,$O191),INDEX('حضور رفائيل'!$H$7:$H$36,$O191),INDEX('حضور ميخائيل'!$H$7:$H$36,$O191)),""))</f>
        <v/>
      </c>
      <c r="U191" s="23" t="str">
        <f>IF($O191="","",IFERROR(CHOOSE(MATCH($F191,الإعدادات!$B$4:$B$7,0),INDEX('حضور سوريال'!$I$7:$I$36,$O191),INDEX('حضور غبريال'!$I$7:$I$36,$O191),INDEX('حضور رفائيل'!$I$7:$I$36,$O191),INDEX('حضور ميخائيل'!$I$7:$I$36,$O191)),""))</f>
        <v/>
      </c>
      <c r="V191" t="str">
        <f>IF($O191="","",IFERROR(CHOOSE(MATCH($F191,الإعدادات!$B$4:$B$7,0),INDEX('حضور سوريال'!$BM$7:$BM$36,$O191),INDEX('حضور غبريال'!$BM$7:$BM$36,$O191),INDEX('حضور رفائيل'!$BM$7:$BM$36,$O191),INDEX('حضور ميخائيل'!$BM$7:$BM$36,$O191)),""))</f>
        <v/>
      </c>
      <c r="W191" t="str">
        <f>IF(OR(V191=3,V191=4),COUNTIFS(V$6:V191,3)+COUNTIFS(V$6:V191,4),"")</f>
        <v/>
      </c>
    </row>
    <row r="192" spans="1:23" ht="25.5" customHeight="1">
      <c r="A192" s="13" t="str">
        <f t="shared" si="6"/>
        <v/>
      </c>
      <c r="B192" s="14" t="str">
        <f t="shared" si="7"/>
        <v/>
      </c>
      <c r="C192" s="15"/>
      <c r="D192" s="16"/>
      <c r="E192" s="16"/>
      <c r="F192" s="16"/>
      <c r="G192" s="16"/>
      <c r="H192" s="17"/>
      <c r="I192" s="17"/>
      <c r="J192" s="18"/>
      <c r="K192" s="16"/>
      <c r="L192" s="18"/>
      <c r="M192" s="16"/>
      <c r="N192" s="19" t="str">
        <f t="shared" si="8"/>
        <v/>
      </c>
      <c r="O192" s="19" t="str">
        <f>IF(OR(C192="",F192=""),"",COUNTIFS(F$6:F192,F192,C$6:C192,"&lt;&gt;"))</f>
        <v/>
      </c>
      <c r="P192" s="20" t="str">
        <f>IF($O192="","",IFERROR(CHOOSE(MATCH($F192,الإعدادات!$B$4:$B$7,0),INDEX('حضور سوريال'!$C$7:$C$36,$O192),INDEX('حضور غبريال'!$C$7:$C$36,$O192),INDEX('حضور رفائيل'!$C$7:$C$36,$O192),INDEX('حضور ميخائيل'!$C$7:$C$36,$O192)),""))</f>
        <v/>
      </c>
      <c r="Q192" s="20" t="str">
        <f>IF($O192="","",IFERROR(CHOOSE(MATCH($F192,الإعدادات!$B$4:$B$7,0),INDEX('حضور سوريال'!$D$7:$D$36,$O192),INDEX('حضور غبريال'!$D$7:$D$36,$O192),INDEX('حضور رفائيل'!$D$7:$D$36,$O192),INDEX('حضور ميخائيل'!$D$7:$D$36,$O192)),""))</f>
        <v/>
      </c>
      <c r="R192" s="21" t="str">
        <f>IF($O192="","",IFERROR(CHOOSE(MATCH($F192,الإعدادات!$B$4:$B$7,0),INDEX('حضور سوريال'!$F$7:$F$36,$O192),INDEX('حضور غبريال'!$F$7:$F$36,$O192),INDEX('حضور رفائيل'!$F$7:$F$36,$O192),INDEX('حضور ميخائيل'!$F$7:$F$36,$O192)),""))</f>
        <v/>
      </c>
      <c r="S192" s="20" t="str">
        <f>IF($O192="","",IFERROR(CHOOSE(MATCH($F192,الإعدادات!$B$4:$B$7,0),INDEX('حضور سوريال'!$G$7:$G$36,$O192),INDEX('حضور غبريال'!$G$7:$G$36,$O192),INDEX('حضور رفائيل'!$G$7:$G$36,$O192),INDEX('حضور ميخائيل'!$G$7:$G$36,$O192)),""))</f>
        <v/>
      </c>
      <c r="T192" s="22" t="str">
        <f>IF($O192="","",IFERROR(CHOOSE(MATCH($F192,الإعدادات!$B$4:$B$7,0),INDEX('حضور سوريال'!$H$7:$H$36,$O192),INDEX('حضور غبريال'!$H$7:$H$36,$O192),INDEX('حضور رفائيل'!$H$7:$H$36,$O192),INDEX('حضور ميخائيل'!$H$7:$H$36,$O192)),""))</f>
        <v/>
      </c>
      <c r="U192" s="23" t="str">
        <f>IF($O192="","",IFERROR(CHOOSE(MATCH($F192,الإعدادات!$B$4:$B$7,0),INDEX('حضور سوريال'!$I$7:$I$36,$O192),INDEX('حضور غبريال'!$I$7:$I$36,$O192),INDEX('حضور رفائيل'!$I$7:$I$36,$O192),INDEX('حضور ميخائيل'!$I$7:$I$36,$O192)),""))</f>
        <v/>
      </c>
      <c r="V192" t="str">
        <f>IF($O192="","",IFERROR(CHOOSE(MATCH($F192,الإعدادات!$B$4:$B$7,0),INDEX('حضور سوريال'!$BM$7:$BM$36,$O192),INDEX('حضور غبريال'!$BM$7:$BM$36,$O192),INDEX('حضور رفائيل'!$BM$7:$BM$36,$O192),INDEX('حضور ميخائيل'!$BM$7:$BM$36,$O192)),""))</f>
        <v/>
      </c>
      <c r="W192" t="str">
        <f>IF(OR(V192=3,V192=4),COUNTIFS(V$6:V192,3)+COUNTIFS(V$6:V192,4),"")</f>
        <v/>
      </c>
    </row>
    <row r="193" spans="1:23" ht="25.5" customHeight="1">
      <c r="A193" s="13" t="str">
        <f t="shared" si="6"/>
        <v/>
      </c>
      <c r="B193" s="14" t="str">
        <f t="shared" si="7"/>
        <v/>
      </c>
      <c r="C193" s="15"/>
      <c r="D193" s="16"/>
      <c r="E193" s="16"/>
      <c r="F193" s="16"/>
      <c r="G193" s="16"/>
      <c r="H193" s="17"/>
      <c r="I193" s="17"/>
      <c r="J193" s="18"/>
      <c r="K193" s="16"/>
      <c r="L193" s="18"/>
      <c r="M193" s="16"/>
      <c r="N193" s="19" t="str">
        <f t="shared" si="8"/>
        <v/>
      </c>
      <c r="O193" s="19" t="str">
        <f>IF(OR(C193="",F193=""),"",COUNTIFS(F$6:F193,F193,C$6:C193,"&lt;&gt;"))</f>
        <v/>
      </c>
      <c r="P193" s="20" t="str">
        <f>IF($O193="","",IFERROR(CHOOSE(MATCH($F193,الإعدادات!$B$4:$B$7,0),INDEX('حضور سوريال'!$C$7:$C$36,$O193),INDEX('حضور غبريال'!$C$7:$C$36,$O193),INDEX('حضور رفائيل'!$C$7:$C$36,$O193),INDEX('حضور ميخائيل'!$C$7:$C$36,$O193)),""))</f>
        <v/>
      </c>
      <c r="Q193" s="20" t="str">
        <f>IF($O193="","",IFERROR(CHOOSE(MATCH($F193,الإعدادات!$B$4:$B$7,0),INDEX('حضور سوريال'!$D$7:$D$36,$O193),INDEX('حضور غبريال'!$D$7:$D$36,$O193),INDEX('حضور رفائيل'!$D$7:$D$36,$O193),INDEX('حضور ميخائيل'!$D$7:$D$36,$O193)),""))</f>
        <v/>
      </c>
      <c r="R193" s="21" t="str">
        <f>IF($O193="","",IFERROR(CHOOSE(MATCH($F193,الإعدادات!$B$4:$B$7,0),INDEX('حضور سوريال'!$F$7:$F$36,$O193),INDEX('حضور غبريال'!$F$7:$F$36,$O193),INDEX('حضور رفائيل'!$F$7:$F$36,$O193),INDEX('حضور ميخائيل'!$F$7:$F$36,$O193)),""))</f>
        <v/>
      </c>
      <c r="S193" s="20" t="str">
        <f>IF($O193="","",IFERROR(CHOOSE(MATCH($F193,الإعدادات!$B$4:$B$7,0),INDEX('حضور سوريال'!$G$7:$G$36,$O193),INDEX('حضور غبريال'!$G$7:$G$36,$O193),INDEX('حضور رفائيل'!$G$7:$G$36,$O193),INDEX('حضور ميخائيل'!$G$7:$G$36,$O193)),""))</f>
        <v/>
      </c>
      <c r="T193" s="22" t="str">
        <f>IF($O193="","",IFERROR(CHOOSE(MATCH($F193,الإعدادات!$B$4:$B$7,0),INDEX('حضور سوريال'!$H$7:$H$36,$O193),INDEX('حضور غبريال'!$H$7:$H$36,$O193),INDEX('حضور رفائيل'!$H$7:$H$36,$O193),INDEX('حضور ميخائيل'!$H$7:$H$36,$O193)),""))</f>
        <v/>
      </c>
      <c r="U193" s="23" t="str">
        <f>IF($O193="","",IFERROR(CHOOSE(MATCH($F193,الإعدادات!$B$4:$B$7,0),INDEX('حضور سوريال'!$I$7:$I$36,$O193),INDEX('حضور غبريال'!$I$7:$I$36,$O193),INDEX('حضور رفائيل'!$I$7:$I$36,$O193),INDEX('حضور ميخائيل'!$I$7:$I$36,$O193)),""))</f>
        <v/>
      </c>
      <c r="V193" t="str">
        <f>IF($O193="","",IFERROR(CHOOSE(MATCH($F193,الإعدادات!$B$4:$B$7,0),INDEX('حضور سوريال'!$BM$7:$BM$36,$O193),INDEX('حضور غبريال'!$BM$7:$BM$36,$O193),INDEX('حضور رفائيل'!$BM$7:$BM$36,$O193),INDEX('حضور ميخائيل'!$BM$7:$BM$36,$O193)),""))</f>
        <v/>
      </c>
      <c r="W193" t="str">
        <f>IF(OR(V193=3,V193=4),COUNTIFS(V$6:V193,3)+COUNTIFS(V$6:V193,4),"")</f>
        <v/>
      </c>
    </row>
    <row r="194" spans="1:23" ht="25.5" customHeight="1">
      <c r="A194" s="13" t="str">
        <f t="shared" si="6"/>
        <v/>
      </c>
      <c r="B194" s="14" t="str">
        <f t="shared" si="7"/>
        <v/>
      </c>
      <c r="C194" s="15"/>
      <c r="D194" s="16"/>
      <c r="E194" s="16"/>
      <c r="F194" s="16"/>
      <c r="G194" s="16"/>
      <c r="H194" s="17"/>
      <c r="I194" s="17"/>
      <c r="J194" s="18"/>
      <c r="K194" s="16"/>
      <c r="L194" s="18"/>
      <c r="M194" s="16"/>
      <c r="N194" s="19" t="str">
        <f t="shared" si="8"/>
        <v/>
      </c>
      <c r="O194" s="19" t="str">
        <f>IF(OR(C194="",F194=""),"",COUNTIFS(F$6:F194,F194,C$6:C194,"&lt;&gt;"))</f>
        <v/>
      </c>
      <c r="P194" s="20" t="str">
        <f>IF($O194="","",IFERROR(CHOOSE(MATCH($F194,الإعدادات!$B$4:$B$7,0),INDEX('حضور سوريال'!$C$7:$C$36,$O194),INDEX('حضور غبريال'!$C$7:$C$36,$O194),INDEX('حضور رفائيل'!$C$7:$C$36,$O194),INDEX('حضور ميخائيل'!$C$7:$C$36,$O194)),""))</f>
        <v/>
      </c>
      <c r="Q194" s="20" t="str">
        <f>IF($O194="","",IFERROR(CHOOSE(MATCH($F194,الإعدادات!$B$4:$B$7,0),INDEX('حضور سوريال'!$D$7:$D$36,$O194),INDEX('حضور غبريال'!$D$7:$D$36,$O194),INDEX('حضور رفائيل'!$D$7:$D$36,$O194),INDEX('حضور ميخائيل'!$D$7:$D$36,$O194)),""))</f>
        <v/>
      </c>
      <c r="R194" s="21" t="str">
        <f>IF($O194="","",IFERROR(CHOOSE(MATCH($F194,الإعدادات!$B$4:$B$7,0),INDEX('حضور سوريال'!$F$7:$F$36,$O194),INDEX('حضور غبريال'!$F$7:$F$36,$O194),INDEX('حضور رفائيل'!$F$7:$F$36,$O194),INDEX('حضور ميخائيل'!$F$7:$F$36,$O194)),""))</f>
        <v/>
      </c>
      <c r="S194" s="20" t="str">
        <f>IF($O194="","",IFERROR(CHOOSE(MATCH($F194,الإعدادات!$B$4:$B$7,0),INDEX('حضور سوريال'!$G$7:$G$36,$O194),INDEX('حضور غبريال'!$G$7:$G$36,$O194),INDEX('حضور رفائيل'!$G$7:$G$36,$O194),INDEX('حضور ميخائيل'!$G$7:$G$36,$O194)),""))</f>
        <v/>
      </c>
      <c r="T194" s="22" t="str">
        <f>IF($O194="","",IFERROR(CHOOSE(MATCH($F194,الإعدادات!$B$4:$B$7,0),INDEX('حضور سوريال'!$H$7:$H$36,$O194),INDEX('حضور غبريال'!$H$7:$H$36,$O194),INDEX('حضور رفائيل'!$H$7:$H$36,$O194),INDEX('حضور ميخائيل'!$H$7:$H$36,$O194)),""))</f>
        <v/>
      </c>
      <c r="U194" s="23" t="str">
        <f>IF($O194="","",IFERROR(CHOOSE(MATCH($F194,الإعدادات!$B$4:$B$7,0),INDEX('حضور سوريال'!$I$7:$I$36,$O194),INDEX('حضور غبريال'!$I$7:$I$36,$O194),INDEX('حضور رفائيل'!$I$7:$I$36,$O194),INDEX('حضور ميخائيل'!$I$7:$I$36,$O194)),""))</f>
        <v/>
      </c>
      <c r="V194" t="str">
        <f>IF($O194="","",IFERROR(CHOOSE(MATCH($F194,الإعدادات!$B$4:$B$7,0),INDEX('حضور سوريال'!$BM$7:$BM$36,$O194),INDEX('حضور غبريال'!$BM$7:$BM$36,$O194),INDEX('حضور رفائيل'!$BM$7:$BM$36,$O194),INDEX('حضور ميخائيل'!$BM$7:$BM$36,$O194)),""))</f>
        <v/>
      </c>
      <c r="W194" t="str">
        <f>IF(OR(V194=3,V194=4),COUNTIFS(V$6:V194,3)+COUNTIFS(V$6:V194,4),"")</f>
        <v/>
      </c>
    </row>
    <row r="195" spans="1:23" ht="25.5" customHeight="1">
      <c r="A195" s="13" t="str">
        <f t="shared" si="6"/>
        <v/>
      </c>
      <c r="B195" s="14" t="str">
        <f t="shared" si="7"/>
        <v/>
      </c>
      <c r="C195" s="15"/>
      <c r="D195" s="16"/>
      <c r="E195" s="16"/>
      <c r="F195" s="16"/>
      <c r="G195" s="16"/>
      <c r="H195" s="17"/>
      <c r="I195" s="17"/>
      <c r="J195" s="18"/>
      <c r="K195" s="16"/>
      <c r="L195" s="18"/>
      <c r="M195" s="16"/>
      <c r="N195" s="19" t="str">
        <f t="shared" si="8"/>
        <v/>
      </c>
      <c r="O195" s="19" t="str">
        <f>IF(OR(C195="",F195=""),"",COUNTIFS(F$6:F195,F195,C$6:C195,"&lt;&gt;"))</f>
        <v/>
      </c>
      <c r="P195" s="20" t="str">
        <f>IF($O195="","",IFERROR(CHOOSE(MATCH($F195,الإعدادات!$B$4:$B$7,0),INDEX('حضور سوريال'!$C$7:$C$36,$O195),INDEX('حضور غبريال'!$C$7:$C$36,$O195),INDEX('حضور رفائيل'!$C$7:$C$36,$O195),INDEX('حضور ميخائيل'!$C$7:$C$36,$O195)),""))</f>
        <v/>
      </c>
      <c r="Q195" s="20" t="str">
        <f>IF($O195="","",IFERROR(CHOOSE(MATCH($F195,الإعدادات!$B$4:$B$7,0),INDEX('حضور سوريال'!$D$7:$D$36,$O195),INDEX('حضور غبريال'!$D$7:$D$36,$O195),INDEX('حضور رفائيل'!$D$7:$D$36,$O195),INDEX('حضور ميخائيل'!$D$7:$D$36,$O195)),""))</f>
        <v/>
      </c>
      <c r="R195" s="21" t="str">
        <f>IF($O195="","",IFERROR(CHOOSE(MATCH($F195,الإعدادات!$B$4:$B$7,0),INDEX('حضور سوريال'!$F$7:$F$36,$O195),INDEX('حضور غبريال'!$F$7:$F$36,$O195),INDEX('حضور رفائيل'!$F$7:$F$36,$O195),INDEX('حضور ميخائيل'!$F$7:$F$36,$O195)),""))</f>
        <v/>
      </c>
      <c r="S195" s="20" t="str">
        <f>IF($O195="","",IFERROR(CHOOSE(MATCH($F195,الإعدادات!$B$4:$B$7,0),INDEX('حضور سوريال'!$G$7:$G$36,$O195),INDEX('حضور غبريال'!$G$7:$G$36,$O195),INDEX('حضور رفائيل'!$G$7:$G$36,$O195),INDEX('حضور ميخائيل'!$G$7:$G$36,$O195)),""))</f>
        <v/>
      </c>
      <c r="T195" s="22" t="str">
        <f>IF($O195="","",IFERROR(CHOOSE(MATCH($F195,الإعدادات!$B$4:$B$7,0),INDEX('حضور سوريال'!$H$7:$H$36,$O195),INDEX('حضور غبريال'!$H$7:$H$36,$O195),INDEX('حضور رفائيل'!$H$7:$H$36,$O195),INDEX('حضور ميخائيل'!$H$7:$H$36,$O195)),""))</f>
        <v/>
      </c>
      <c r="U195" s="23" t="str">
        <f>IF($O195="","",IFERROR(CHOOSE(MATCH($F195,الإعدادات!$B$4:$B$7,0),INDEX('حضور سوريال'!$I$7:$I$36,$O195),INDEX('حضور غبريال'!$I$7:$I$36,$O195),INDEX('حضور رفائيل'!$I$7:$I$36,$O195),INDEX('حضور ميخائيل'!$I$7:$I$36,$O195)),""))</f>
        <v/>
      </c>
      <c r="V195" t="str">
        <f>IF($O195="","",IFERROR(CHOOSE(MATCH($F195,الإعدادات!$B$4:$B$7,0),INDEX('حضور سوريال'!$BM$7:$BM$36,$O195),INDEX('حضور غبريال'!$BM$7:$BM$36,$O195),INDEX('حضور رفائيل'!$BM$7:$BM$36,$O195),INDEX('حضور ميخائيل'!$BM$7:$BM$36,$O195)),""))</f>
        <v/>
      </c>
      <c r="W195" t="str">
        <f>IF(OR(V195=3,V195=4),COUNTIFS(V$6:V195,3)+COUNTIFS(V$6:V195,4),"")</f>
        <v/>
      </c>
    </row>
    <row r="196" spans="1:23" ht="25.5" customHeight="1">
      <c r="A196" s="13" t="str">
        <f t="shared" si="6"/>
        <v/>
      </c>
      <c r="B196" s="14" t="str">
        <f t="shared" si="7"/>
        <v/>
      </c>
      <c r="C196" s="15"/>
      <c r="D196" s="16"/>
      <c r="E196" s="16"/>
      <c r="F196" s="16"/>
      <c r="G196" s="16"/>
      <c r="H196" s="17"/>
      <c r="I196" s="17"/>
      <c r="J196" s="18"/>
      <c r="K196" s="16"/>
      <c r="L196" s="18"/>
      <c r="M196" s="16"/>
      <c r="N196" s="19" t="str">
        <f t="shared" si="8"/>
        <v/>
      </c>
      <c r="O196" s="19" t="str">
        <f>IF(OR(C196="",F196=""),"",COUNTIFS(F$6:F196,F196,C$6:C196,"&lt;&gt;"))</f>
        <v/>
      </c>
      <c r="P196" s="20" t="str">
        <f>IF($O196="","",IFERROR(CHOOSE(MATCH($F196,الإعدادات!$B$4:$B$7,0),INDEX('حضور سوريال'!$C$7:$C$36,$O196),INDEX('حضور غبريال'!$C$7:$C$36,$O196),INDEX('حضور رفائيل'!$C$7:$C$36,$O196),INDEX('حضور ميخائيل'!$C$7:$C$36,$O196)),""))</f>
        <v/>
      </c>
      <c r="Q196" s="20" t="str">
        <f>IF($O196="","",IFERROR(CHOOSE(MATCH($F196,الإعدادات!$B$4:$B$7,0),INDEX('حضور سوريال'!$D$7:$D$36,$O196),INDEX('حضور غبريال'!$D$7:$D$36,$O196),INDEX('حضور رفائيل'!$D$7:$D$36,$O196),INDEX('حضور ميخائيل'!$D$7:$D$36,$O196)),""))</f>
        <v/>
      </c>
      <c r="R196" s="21" t="str">
        <f>IF($O196="","",IFERROR(CHOOSE(MATCH($F196,الإعدادات!$B$4:$B$7,0),INDEX('حضور سوريال'!$F$7:$F$36,$O196),INDEX('حضور غبريال'!$F$7:$F$36,$O196),INDEX('حضور رفائيل'!$F$7:$F$36,$O196),INDEX('حضور ميخائيل'!$F$7:$F$36,$O196)),""))</f>
        <v/>
      </c>
      <c r="S196" s="20" t="str">
        <f>IF($O196="","",IFERROR(CHOOSE(MATCH($F196,الإعدادات!$B$4:$B$7,0),INDEX('حضور سوريال'!$G$7:$G$36,$O196),INDEX('حضور غبريال'!$G$7:$G$36,$O196),INDEX('حضور رفائيل'!$G$7:$G$36,$O196),INDEX('حضور ميخائيل'!$G$7:$G$36,$O196)),""))</f>
        <v/>
      </c>
      <c r="T196" s="22" t="str">
        <f>IF($O196="","",IFERROR(CHOOSE(MATCH($F196,الإعدادات!$B$4:$B$7,0),INDEX('حضور سوريال'!$H$7:$H$36,$O196),INDEX('حضور غبريال'!$H$7:$H$36,$O196),INDEX('حضور رفائيل'!$H$7:$H$36,$O196),INDEX('حضور ميخائيل'!$H$7:$H$36,$O196)),""))</f>
        <v/>
      </c>
      <c r="U196" s="23" t="str">
        <f>IF($O196="","",IFERROR(CHOOSE(MATCH($F196,الإعدادات!$B$4:$B$7,0),INDEX('حضور سوريال'!$I$7:$I$36,$O196),INDEX('حضور غبريال'!$I$7:$I$36,$O196),INDEX('حضور رفائيل'!$I$7:$I$36,$O196),INDEX('حضور ميخائيل'!$I$7:$I$36,$O196)),""))</f>
        <v/>
      </c>
      <c r="V196" t="str">
        <f>IF($O196="","",IFERROR(CHOOSE(MATCH($F196,الإعدادات!$B$4:$B$7,0),INDEX('حضور سوريال'!$BM$7:$BM$36,$O196),INDEX('حضور غبريال'!$BM$7:$BM$36,$O196),INDEX('حضور رفائيل'!$BM$7:$BM$36,$O196),INDEX('حضور ميخائيل'!$BM$7:$BM$36,$O196)),""))</f>
        <v/>
      </c>
      <c r="W196" t="str">
        <f>IF(OR(V196=3,V196=4),COUNTIFS(V$6:V196,3)+COUNTIFS(V$6:V196,4),"")</f>
        <v/>
      </c>
    </row>
    <row r="197" spans="1:23" ht="25.5" customHeight="1">
      <c r="A197" s="13" t="str">
        <f t="shared" si="6"/>
        <v/>
      </c>
      <c r="B197" s="14" t="str">
        <f t="shared" si="7"/>
        <v/>
      </c>
      <c r="C197" s="15"/>
      <c r="D197" s="16"/>
      <c r="E197" s="16"/>
      <c r="F197" s="16"/>
      <c r="G197" s="16"/>
      <c r="H197" s="17"/>
      <c r="I197" s="17"/>
      <c r="J197" s="18"/>
      <c r="K197" s="16"/>
      <c r="L197" s="18"/>
      <c r="M197" s="16"/>
      <c r="N197" s="19" t="str">
        <f t="shared" si="8"/>
        <v/>
      </c>
      <c r="O197" s="19" t="str">
        <f>IF(OR(C197="",F197=""),"",COUNTIFS(F$6:F197,F197,C$6:C197,"&lt;&gt;"))</f>
        <v/>
      </c>
      <c r="P197" s="20" t="str">
        <f>IF($O197="","",IFERROR(CHOOSE(MATCH($F197,الإعدادات!$B$4:$B$7,0),INDEX('حضور سوريال'!$C$7:$C$36,$O197),INDEX('حضور غبريال'!$C$7:$C$36,$O197),INDEX('حضور رفائيل'!$C$7:$C$36,$O197),INDEX('حضور ميخائيل'!$C$7:$C$36,$O197)),""))</f>
        <v/>
      </c>
      <c r="Q197" s="20" t="str">
        <f>IF($O197="","",IFERROR(CHOOSE(MATCH($F197,الإعدادات!$B$4:$B$7,0),INDEX('حضور سوريال'!$D$7:$D$36,$O197),INDEX('حضور غبريال'!$D$7:$D$36,$O197),INDEX('حضور رفائيل'!$D$7:$D$36,$O197),INDEX('حضور ميخائيل'!$D$7:$D$36,$O197)),""))</f>
        <v/>
      </c>
      <c r="R197" s="21" t="str">
        <f>IF($O197="","",IFERROR(CHOOSE(MATCH($F197,الإعدادات!$B$4:$B$7,0),INDEX('حضور سوريال'!$F$7:$F$36,$O197),INDEX('حضور غبريال'!$F$7:$F$36,$O197),INDEX('حضور رفائيل'!$F$7:$F$36,$O197),INDEX('حضور ميخائيل'!$F$7:$F$36,$O197)),""))</f>
        <v/>
      </c>
      <c r="S197" s="20" t="str">
        <f>IF($O197="","",IFERROR(CHOOSE(MATCH($F197,الإعدادات!$B$4:$B$7,0),INDEX('حضور سوريال'!$G$7:$G$36,$O197),INDEX('حضور غبريال'!$G$7:$G$36,$O197),INDEX('حضور رفائيل'!$G$7:$G$36,$O197),INDEX('حضور ميخائيل'!$G$7:$G$36,$O197)),""))</f>
        <v/>
      </c>
      <c r="T197" s="22" t="str">
        <f>IF($O197="","",IFERROR(CHOOSE(MATCH($F197,الإعدادات!$B$4:$B$7,0),INDEX('حضور سوريال'!$H$7:$H$36,$O197),INDEX('حضور غبريال'!$H$7:$H$36,$O197),INDEX('حضور رفائيل'!$H$7:$H$36,$O197),INDEX('حضور ميخائيل'!$H$7:$H$36,$O197)),""))</f>
        <v/>
      </c>
      <c r="U197" s="23" t="str">
        <f>IF($O197="","",IFERROR(CHOOSE(MATCH($F197,الإعدادات!$B$4:$B$7,0),INDEX('حضور سوريال'!$I$7:$I$36,$O197),INDEX('حضور غبريال'!$I$7:$I$36,$O197),INDEX('حضور رفائيل'!$I$7:$I$36,$O197),INDEX('حضور ميخائيل'!$I$7:$I$36,$O197)),""))</f>
        <v/>
      </c>
      <c r="V197" t="str">
        <f>IF($O197="","",IFERROR(CHOOSE(MATCH($F197,الإعدادات!$B$4:$B$7,0),INDEX('حضور سوريال'!$BM$7:$BM$36,$O197),INDEX('حضور غبريال'!$BM$7:$BM$36,$O197),INDEX('حضور رفائيل'!$BM$7:$BM$36,$O197),INDEX('حضور ميخائيل'!$BM$7:$BM$36,$O197)),""))</f>
        <v/>
      </c>
      <c r="W197" t="str">
        <f>IF(OR(V197=3,V197=4),COUNTIFS(V$6:V197,3)+COUNTIFS(V$6:V197,4),"")</f>
        <v/>
      </c>
    </row>
    <row r="198" spans="1:23" ht="25.5" customHeight="1">
      <c r="A198" s="13" t="str">
        <f t="shared" ref="A198:A261" si="9">IF(C198="","",ROW()-5)</f>
        <v/>
      </c>
      <c r="B198" s="14" t="str">
        <f t="shared" ref="B198:B261" si="10">IF(C198="","","B-"&amp;TEXT(ROW()-5,"000"))</f>
        <v/>
      </c>
      <c r="C198" s="15"/>
      <c r="D198" s="16"/>
      <c r="E198" s="16"/>
      <c r="F198" s="16"/>
      <c r="G198" s="16"/>
      <c r="H198" s="17"/>
      <c r="I198" s="17"/>
      <c r="J198" s="18"/>
      <c r="K198" s="16"/>
      <c r="L198" s="18"/>
      <c r="M198" s="16"/>
      <c r="N198" s="19" t="str">
        <f t="shared" ref="N198:N261" si="11">IF(O198="","",F198&amp;"|"&amp;O198)</f>
        <v/>
      </c>
      <c r="O198" s="19" t="str">
        <f>IF(OR(C198="",F198=""),"",COUNTIFS(F$6:F198,F198,C$6:C198,"&lt;&gt;"))</f>
        <v/>
      </c>
      <c r="P198" s="20" t="str">
        <f>IF($O198="","",IFERROR(CHOOSE(MATCH($F198,الإعدادات!$B$4:$B$7,0),INDEX('حضور سوريال'!$C$7:$C$36,$O198),INDEX('حضور غبريال'!$C$7:$C$36,$O198),INDEX('حضور رفائيل'!$C$7:$C$36,$O198),INDEX('حضور ميخائيل'!$C$7:$C$36,$O198)),""))</f>
        <v/>
      </c>
      <c r="Q198" s="20" t="str">
        <f>IF($O198="","",IFERROR(CHOOSE(MATCH($F198,الإعدادات!$B$4:$B$7,0),INDEX('حضور سوريال'!$D$7:$D$36,$O198),INDEX('حضور غبريال'!$D$7:$D$36,$O198),INDEX('حضور رفائيل'!$D$7:$D$36,$O198),INDEX('حضور ميخائيل'!$D$7:$D$36,$O198)),""))</f>
        <v/>
      </c>
      <c r="R198" s="21" t="str">
        <f>IF($O198="","",IFERROR(CHOOSE(MATCH($F198,الإعدادات!$B$4:$B$7,0),INDEX('حضور سوريال'!$F$7:$F$36,$O198),INDEX('حضور غبريال'!$F$7:$F$36,$O198),INDEX('حضور رفائيل'!$F$7:$F$36,$O198),INDEX('حضور ميخائيل'!$F$7:$F$36,$O198)),""))</f>
        <v/>
      </c>
      <c r="S198" s="20" t="str">
        <f>IF($O198="","",IFERROR(CHOOSE(MATCH($F198,الإعدادات!$B$4:$B$7,0),INDEX('حضور سوريال'!$G$7:$G$36,$O198),INDEX('حضور غبريال'!$G$7:$G$36,$O198),INDEX('حضور رفائيل'!$G$7:$G$36,$O198),INDEX('حضور ميخائيل'!$G$7:$G$36,$O198)),""))</f>
        <v/>
      </c>
      <c r="T198" s="22" t="str">
        <f>IF($O198="","",IFERROR(CHOOSE(MATCH($F198,الإعدادات!$B$4:$B$7,0),INDEX('حضور سوريال'!$H$7:$H$36,$O198),INDEX('حضور غبريال'!$H$7:$H$36,$O198),INDEX('حضور رفائيل'!$H$7:$H$36,$O198),INDEX('حضور ميخائيل'!$H$7:$H$36,$O198)),""))</f>
        <v/>
      </c>
      <c r="U198" s="23" t="str">
        <f>IF($O198="","",IFERROR(CHOOSE(MATCH($F198,الإعدادات!$B$4:$B$7,0),INDEX('حضور سوريال'!$I$7:$I$36,$O198),INDEX('حضور غبريال'!$I$7:$I$36,$O198),INDEX('حضور رفائيل'!$I$7:$I$36,$O198),INDEX('حضور ميخائيل'!$I$7:$I$36,$O198)),""))</f>
        <v/>
      </c>
      <c r="V198" t="str">
        <f>IF($O198="","",IFERROR(CHOOSE(MATCH($F198,الإعدادات!$B$4:$B$7,0),INDEX('حضور سوريال'!$BM$7:$BM$36,$O198),INDEX('حضور غبريال'!$BM$7:$BM$36,$O198),INDEX('حضور رفائيل'!$BM$7:$BM$36,$O198),INDEX('حضور ميخائيل'!$BM$7:$BM$36,$O198)),""))</f>
        <v/>
      </c>
      <c r="W198" t="str">
        <f>IF(OR(V198=3,V198=4),COUNTIFS(V$6:V198,3)+COUNTIFS(V$6:V198,4),"")</f>
        <v/>
      </c>
    </row>
    <row r="199" spans="1:23" ht="25.5" customHeight="1">
      <c r="A199" s="13" t="str">
        <f t="shared" si="9"/>
        <v/>
      </c>
      <c r="B199" s="14" t="str">
        <f t="shared" si="10"/>
        <v/>
      </c>
      <c r="C199" s="15"/>
      <c r="D199" s="16"/>
      <c r="E199" s="16"/>
      <c r="F199" s="16"/>
      <c r="G199" s="16"/>
      <c r="H199" s="17"/>
      <c r="I199" s="17"/>
      <c r="J199" s="18"/>
      <c r="K199" s="16"/>
      <c r="L199" s="18"/>
      <c r="M199" s="16"/>
      <c r="N199" s="19" t="str">
        <f t="shared" si="11"/>
        <v/>
      </c>
      <c r="O199" s="19" t="str">
        <f>IF(OR(C199="",F199=""),"",COUNTIFS(F$6:F199,F199,C$6:C199,"&lt;&gt;"))</f>
        <v/>
      </c>
      <c r="P199" s="20" t="str">
        <f>IF($O199="","",IFERROR(CHOOSE(MATCH($F199,الإعدادات!$B$4:$B$7,0),INDEX('حضور سوريال'!$C$7:$C$36,$O199),INDEX('حضور غبريال'!$C$7:$C$36,$O199),INDEX('حضور رفائيل'!$C$7:$C$36,$O199),INDEX('حضور ميخائيل'!$C$7:$C$36,$O199)),""))</f>
        <v/>
      </c>
      <c r="Q199" s="20" t="str">
        <f>IF($O199="","",IFERROR(CHOOSE(MATCH($F199,الإعدادات!$B$4:$B$7,0),INDEX('حضور سوريال'!$D$7:$D$36,$O199),INDEX('حضور غبريال'!$D$7:$D$36,$O199),INDEX('حضور رفائيل'!$D$7:$D$36,$O199),INDEX('حضور ميخائيل'!$D$7:$D$36,$O199)),""))</f>
        <v/>
      </c>
      <c r="R199" s="21" t="str">
        <f>IF($O199="","",IFERROR(CHOOSE(MATCH($F199,الإعدادات!$B$4:$B$7,0),INDEX('حضور سوريال'!$F$7:$F$36,$O199),INDEX('حضور غبريال'!$F$7:$F$36,$O199),INDEX('حضور رفائيل'!$F$7:$F$36,$O199),INDEX('حضور ميخائيل'!$F$7:$F$36,$O199)),""))</f>
        <v/>
      </c>
      <c r="S199" s="20" t="str">
        <f>IF($O199="","",IFERROR(CHOOSE(MATCH($F199,الإعدادات!$B$4:$B$7,0),INDEX('حضور سوريال'!$G$7:$G$36,$O199),INDEX('حضور غبريال'!$G$7:$G$36,$O199),INDEX('حضور رفائيل'!$G$7:$G$36,$O199),INDEX('حضور ميخائيل'!$G$7:$G$36,$O199)),""))</f>
        <v/>
      </c>
      <c r="T199" s="22" t="str">
        <f>IF($O199="","",IFERROR(CHOOSE(MATCH($F199,الإعدادات!$B$4:$B$7,0),INDEX('حضور سوريال'!$H$7:$H$36,$O199),INDEX('حضور غبريال'!$H$7:$H$36,$O199),INDEX('حضور رفائيل'!$H$7:$H$36,$O199),INDEX('حضور ميخائيل'!$H$7:$H$36,$O199)),""))</f>
        <v/>
      </c>
      <c r="U199" s="23" t="str">
        <f>IF($O199="","",IFERROR(CHOOSE(MATCH($F199,الإعدادات!$B$4:$B$7,0),INDEX('حضور سوريال'!$I$7:$I$36,$O199),INDEX('حضور غبريال'!$I$7:$I$36,$O199),INDEX('حضور رفائيل'!$I$7:$I$36,$O199),INDEX('حضور ميخائيل'!$I$7:$I$36,$O199)),""))</f>
        <v/>
      </c>
      <c r="V199" t="str">
        <f>IF($O199="","",IFERROR(CHOOSE(MATCH($F199,الإعدادات!$B$4:$B$7,0),INDEX('حضور سوريال'!$BM$7:$BM$36,$O199),INDEX('حضور غبريال'!$BM$7:$BM$36,$O199),INDEX('حضور رفائيل'!$BM$7:$BM$36,$O199),INDEX('حضور ميخائيل'!$BM$7:$BM$36,$O199)),""))</f>
        <v/>
      </c>
      <c r="W199" t="str">
        <f>IF(OR(V199=3,V199=4),COUNTIFS(V$6:V199,3)+COUNTIFS(V$6:V199,4),"")</f>
        <v/>
      </c>
    </row>
    <row r="200" spans="1:23" ht="25.5" customHeight="1">
      <c r="A200" s="13" t="str">
        <f t="shared" si="9"/>
        <v/>
      </c>
      <c r="B200" s="14" t="str">
        <f t="shared" si="10"/>
        <v/>
      </c>
      <c r="C200" s="15"/>
      <c r="D200" s="16"/>
      <c r="E200" s="16"/>
      <c r="F200" s="16"/>
      <c r="G200" s="16"/>
      <c r="H200" s="17"/>
      <c r="I200" s="17"/>
      <c r="J200" s="18"/>
      <c r="K200" s="16"/>
      <c r="L200" s="18"/>
      <c r="M200" s="16"/>
      <c r="N200" s="19" t="str">
        <f t="shared" si="11"/>
        <v/>
      </c>
      <c r="O200" s="19" t="str">
        <f>IF(OR(C200="",F200=""),"",COUNTIFS(F$6:F200,F200,C$6:C200,"&lt;&gt;"))</f>
        <v/>
      </c>
      <c r="P200" s="20" t="str">
        <f>IF($O200="","",IFERROR(CHOOSE(MATCH($F200,الإعدادات!$B$4:$B$7,0),INDEX('حضور سوريال'!$C$7:$C$36,$O200),INDEX('حضور غبريال'!$C$7:$C$36,$O200),INDEX('حضور رفائيل'!$C$7:$C$36,$O200),INDEX('حضور ميخائيل'!$C$7:$C$36,$O200)),""))</f>
        <v/>
      </c>
      <c r="Q200" s="20" t="str">
        <f>IF($O200="","",IFERROR(CHOOSE(MATCH($F200,الإعدادات!$B$4:$B$7,0),INDEX('حضور سوريال'!$D$7:$D$36,$O200),INDEX('حضور غبريال'!$D$7:$D$36,$O200),INDEX('حضور رفائيل'!$D$7:$D$36,$O200),INDEX('حضور ميخائيل'!$D$7:$D$36,$O200)),""))</f>
        <v/>
      </c>
      <c r="R200" s="21" t="str">
        <f>IF($O200="","",IFERROR(CHOOSE(MATCH($F200,الإعدادات!$B$4:$B$7,0),INDEX('حضور سوريال'!$F$7:$F$36,$O200),INDEX('حضور غبريال'!$F$7:$F$36,$O200),INDEX('حضور رفائيل'!$F$7:$F$36,$O200),INDEX('حضور ميخائيل'!$F$7:$F$36,$O200)),""))</f>
        <v/>
      </c>
      <c r="S200" s="20" t="str">
        <f>IF($O200="","",IFERROR(CHOOSE(MATCH($F200,الإعدادات!$B$4:$B$7,0),INDEX('حضور سوريال'!$G$7:$G$36,$O200),INDEX('حضور غبريال'!$G$7:$G$36,$O200),INDEX('حضور رفائيل'!$G$7:$G$36,$O200),INDEX('حضور ميخائيل'!$G$7:$G$36,$O200)),""))</f>
        <v/>
      </c>
      <c r="T200" s="22" t="str">
        <f>IF($O200="","",IFERROR(CHOOSE(MATCH($F200,الإعدادات!$B$4:$B$7,0),INDEX('حضور سوريال'!$H$7:$H$36,$O200),INDEX('حضور غبريال'!$H$7:$H$36,$O200),INDEX('حضور رفائيل'!$H$7:$H$36,$O200),INDEX('حضور ميخائيل'!$H$7:$H$36,$O200)),""))</f>
        <v/>
      </c>
      <c r="U200" s="23" t="str">
        <f>IF($O200="","",IFERROR(CHOOSE(MATCH($F200,الإعدادات!$B$4:$B$7,0),INDEX('حضور سوريال'!$I$7:$I$36,$O200),INDEX('حضور غبريال'!$I$7:$I$36,$O200),INDEX('حضور رفائيل'!$I$7:$I$36,$O200),INDEX('حضور ميخائيل'!$I$7:$I$36,$O200)),""))</f>
        <v/>
      </c>
      <c r="V200" t="str">
        <f>IF($O200="","",IFERROR(CHOOSE(MATCH($F200,الإعدادات!$B$4:$B$7,0),INDEX('حضور سوريال'!$BM$7:$BM$36,$O200),INDEX('حضور غبريال'!$BM$7:$BM$36,$O200),INDEX('حضور رفائيل'!$BM$7:$BM$36,$O200),INDEX('حضور ميخائيل'!$BM$7:$BM$36,$O200)),""))</f>
        <v/>
      </c>
      <c r="W200" t="str">
        <f>IF(OR(V200=3,V200=4),COUNTIFS(V$6:V200,3)+COUNTIFS(V$6:V200,4),"")</f>
        <v/>
      </c>
    </row>
    <row r="201" spans="1:23" ht="25.5" customHeight="1">
      <c r="A201" s="13" t="str">
        <f t="shared" si="9"/>
        <v/>
      </c>
      <c r="B201" s="14" t="str">
        <f t="shared" si="10"/>
        <v/>
      </c>
      <c r="C201" s="15"/>
      <c r="D201" s="16"/>
      <c r="E201" s="16"/>
      <c r="F201" s="16"/>
      <c r="G201" s="16"/>
      <c r="H201" s="17"/>
      <c r="I201" s="17"/>
      <c r="J201" s="18"/>
      <c r="K201" s="16"/>
      <c r="L201" s="18"/>
      <c r="M201" s="16"/>
      <c r="N201" s="19" t="str">
        <f t="shared" si="11"/>
        <v/>
      </c>
      <c r="O201" s="19" t="str">
        <f>IF(OR(C201="",F201=""),"",COUNTIFS(F$6:F201,F201,C$6:C201,"&lt;&gt;"))</f>
        <v/>
      </c>
      <c r="P201" s="20" t="str">
        <f>IF($O201="","",IFERROR(CHOOSE(MATCH($F201,الإعدادات!$B$4:$B$7,0),INDEX('حضور سوريال'!$C$7:$C$36,$O201),INDEX('حضور غبريال'!$C$7:$C$36,$O201),INDEX('حضور رفائيل'!$C$7:$C$36,$O201),INDEX('حضور ميخائيل'!$C$7:$C$36,$O201)),""))</f>
        <v/>
      </c>
      <c r="Q201" s="20" t="str">
        <f>IF($O201="","",IFERROR(CHOOSE(MATCH($F201,الإعدادات!$B$4:$B$7,0),INDEX('حضور سوريال'!$D$7:$D$36,$O201),INDEX('حضور غبريال'!$D$7:$D$36,$O201),INDEX('حضور رفائيل'!$D$7:$D$36,$O201),INDEX('حضور ميخائيل'!$D$7:$D$36,$O201)),""))</f>
        <v/>
      </c>
      <c r="R201" s="21" t="str">
        <f>IF($O201="","",IFERROR(CHOOSE(MATCH($F201,الإعدادات!$B$4:$B$7,0),INDEX('حضور سوريال'!$F$7:$F$36,$O201),INDEX('حضور غبريال'!$F$7:$F$36,$O201),INDEX('حضور رفائيل'!$F$7:$F$36,$O201),INDEX('حضور ميخائيل'!$F$7:$F$36,$O201)),""))</f>
        <v/>
      </c>
      <c r="S201" s="20" t="str">
        <f>IF($O201="","",IFERROR(CHOOSE(MATCH($F201,الإعدادات!$B$4:$B$7,0),INDEX('حضور سوريال'!$G$7:$G$36,$O201),INDEX('حضور غبريال'!$G$7:$G$36,$O201),INDEX('حضور رفائيل'!$G$7:$G$36,$O201),INDEX('حضور ميخائيل'!$G$7:$G$36,$O201)),""))</f>
        <v/>
      </c>
      <c r="T201" s="22" t="str">
        <f>IF($O201="","",IFERROR(CHOOSE(MATCH($F201,الإعدادات!$B$4:$B$7,0),INDEX('حضور سوريال'!$H$7:$H$36,$O201),INDEX('حضور غبريال'!$H$7:$H$36,$O201),INDEX('حضور رفائيل'!$H$7:$H$36,$O201),INDEX('حضور ميخائيل'!$H$7:$H$36,$O201)),""))</f>
        <v/>
      </c>
      <c r="U201" s="23" t="str">
        <f>IF($O201="","",IFERROR(CHOOSE(MATCH($F201,الإعدادات!$B$4:$B$7,0),INDEX('حضور سوريال'!$I$7:$I$36,$O201),INDEX('حضور غبريال'!$I$7:$I$36,$O201),INDEX('حضور رفائيل'!$I$7:$I$36,$O201),INDEX('حضور ميخائيل'!$I$7:$I$36,$O201)),""))</f>
        <v/>
      </c>
      <c r="V201" t="str">
        <f>IF($O201="","",IFERROR(CHOOSE(MATCH($F201,الإعدادات!$B$4:$B$7,0),INDEX('حضور سوريال'!$BM$7:$BM$36,$O201),INDEX('حضور غبريال'!$BM$7:$BM$36,$O201),INDEX('حضور رفائيل'!$BM$7:$BM$36,$O201),INDEX('حضور ميخائيل'!$BM$7:$BM$36,$O201)),""))</f>
        <v/>
      </c>
      <c r="W201" t="str">
        <f>IF(OR(V201=3,V201=4),COUNTIFS(V$6:V201,3)+COUNTIFS(V$6:V201,4),"")</f>
        <v/>
      </c>
    </row>
    <row r="202" spans="1:23" ht="25.5" customHeight="1">
      <c r="A202" s="13" t="str">
        <f t="shared" si="9"/>
        <v/>
      </c>
      <c r="B202" s="14" t="str">
        <f t="shared" si="10"/>
        <v/>
      </c>
      <c r="C202" s="15"/>
      <c r="D202" s="16"/>
      <c r="E202" s="16"/>
      <c r="F202" s="16"/>
      <c r="G202" s="16"/>
      <c r="H202" s="17"/>
      <c r="I202" s="17"/>
      <c r="J202" s="18"/>
      <c r="K202" s="16"/>
      <c r="L202" s="18"/>
      <c r="M202" s="16"/>
      <c r="N202" s="19" t="str">
        <f t="shared" si="11"/>
        <v/>
      </c>
      <c r="O202" s="19" t="str">
        <f>IF(OR(C202="",F202=""),"",COUNTIFS(F$6:F202,F202,C$6:C202,"&lt;&gt;"))</f>
        <v/>
      </c>
      <c r="P202" s="20" t="str">
        <f>IF($O202="","",IFERROR(CHOOSE(MATCH($F202,الإعدادات!$B$4:$B$7,0),INDEX('حضور سوريال'!$C$7:$C$36,$O202),INDEX('حضور غبريال'!$C$7:$C$36,$O202),INDEX('حضور رفائيل'!$C$7:$C$36,$O202),INDEX('حضور ميخائيل'!$C$7:$C$36,$O202)),""))</f>
        <v/>
      </c>
      <c r="Q202" s="20" t="str">
        <f>IF($O202="","",IFERROR(CHOOSE(MATCH($F202,الإعدادات!$B$4:$B$7,0),INDEX('حضور سوريال'!$D$7:$D$36,$O202),INDEX('حضور غبريال'!$D$7:$D$36,$O202),INDEX('حضور رفائيل'!$D$7:$D$36,$O202),INDEX('حضور ميخائيل'!$D$7:$D$36,$O202)),""))</f>
        <v/>
      </c>
      <c r="R202" s="21" t="str">
        <f>IF($O202="","",IFERROR(CHOOSE(MATCH($F202,الإعدادات!$B$4:$B$7,0),INDEX('حضور سوريال'!$F$7:$F$36,$O202),INDEX('حضور غبريال'!$F$7:$F$36,$O202),INDEX('حضور رفائيل'!$F$7:$F$36,$O202),INDEX('حضور ميخائيل'!$F$7:$F$36,$O202)),""))</f>
        <v/>
      </c>
      <c r="S202" s="20" t="str">
        <f>IF($O202="","",IFERROR(CHOOSE(MATCH($F202,الإعدادات!$B$4:$B$7,0),INDEX('حضور سوريال'!$G$7:$G$36,$O202),INDEX('حضور غبريال'!$G$7:$G$36,$O202),INDEX('حضور رفائيل'!$G$7:$G$36,$O202),INDEX('حضور ميخائيل'!$G$7:$G$36,$O202)),""))</f>
        <v/>
      </c>
      <c r="T202" s="22" t="str">
        <f>IF($O202="","",IFERROR(CHOOSE(MATCH($F202,الإعدادات!$B$4:$B$7,0),INDEX('حضور سوريال'!$H$7:$H$36,$O202),INDEX('حضور غبريال'!$H$7:$H$36,$O202),INDEX('حضور رفائيل'!$H$7:$H$36,$O202),INDEX('حضور ميخائيل'!$H$7:$H$36,$O202)),""))</f>
        <v/>
      </c>
      <c r="U202" s="23" t="str">
        <f>IF($O202="","",IFERROR(CHOOSE(MATCH($F202,الإعدادات!$B$4:$B$7,0),INDEX('حضور سوريال'!$I$7:$I$36,$O202),INDEX('حضور غبريال'!$I$7:$I$36,$O202),INDEX('حضور رفائيل'!$I$7:$I$36,$O202),INDEX('حضور ميخائيل'!$I$7:$I$36,$O202)),""))</f>
        <v/>
      </c>
      <c r="V202" t="str">
        <f>IF($O202="","",IFERROR(CHOOSE(MATCH($F202,الإعدادات!$B$4:$B$7,0),INDEX('حضور سوريال'!$BM$7:$BM$36,$O202),INDEX('حضور غبريال'!$BM$7:$BM$36,$O202),INDEX('حضور رفائيل'!$BM$7:$BM$36,$O202),INDEX('حضور ميخائيل'!$BM$7:$BM$36,$O202)),""))</f>
        <v/>
      </c>
      <c r="W202" t="str">
        <f>IF(OR(V202=3,V202=4),COUNTIFS(V$6:V202,3)+COUNTIFS(V$6:V202,4),"")</f>
        <v/>
      </c>
    </row>
    <row r="203" spans="1:23" ht="25.5" customHeight="1">
      <c r="A203" s="13" t="str">
        <f t="shared" si="9"/>
        <v/>
      </c>
      <c r="B203" s="14" t="str">
        <f t="shared" si="10"/>
        <v/>
      </c>
      <c r="C203" s="15"/>
      <c r="D203" s="16"/>
      <c r="E203" s="16"/>
      <c r="F203" s="16"/>
      <c r="G203" s="16"/>
      <c r="H203" s="17"/>
      <c r="I203" s="17"/>
      <c r="J203" s="18"/>
      <c r="K203" s="16"/>
      <c r="L203" s="18"/>
      <c r="M203" s="16"/>
      <c r="N203" s="19" t="str">
        <f t="shared" si="11"/>
        <v/>
      </c>
      <c r="O203" s="19" t="str">
        <f>IF(OR(C203="",F203=""),"",COUNTIFS(F$6:F203,F203,C$6:C203,"&lt;&gt;"))</f>
        <v/>
      </c>
      <c r="P203" s="20" t="str">
        <f>IF($O203="","",IFERROR(CHOOSE(MATCH($F203,الإعدادات!$B$4:$B$7,0),INDEX('حضور سوريال'!$C$7:$C$36,$O203),INDEX('حضور غبريال'!$C$7:$C$36,$O203),INDEX('حضور رفائيل'!$C$7:$C$36,$O203),INDEX('حضور ميخائيل'!$C$7:$C$36,$O203)),""))</f>
        <v/>
      </c>
      <c r="Q203" s="20" t="str">
        <f>IF($O203="","",IFERROR(CHOOSE(MATCH($F203,الإعدادات!$B$4:$B$7,0),INDEX('حضور سوريال'!$D$7:$D$36,$O203),INDEX('حضور غبريال'!$D$7:$D$36,$O203),INDEX('حضور رفائيل'!$D$7:$D$36,$O203),INDEX('حضور ميخائيل'!$D$7:$D$36,$O203)),""))</f>
        <v/>
      </c>
      <c r="R203" s="21" t="str">
        <f>IF($O203="","",IFERROR(CHOOSE(MATCH($F203,الإعدادات!$B$4:$B$7,0),INDEX('حضور سوريال'!$F$7:$F$36,$O203),INDEX('حضور غبريال'!$F$7:$F$36,$O203),INDEX('حضور رفائيل'!$F$7:$F$36,$O203),INDEX('حضور ميخائيل'!$F$7:$F$36,$O203)),""))</f>
        <v/>
      </c>
      <c r="S203" s="20" t="str">
        <f>IF($O203="","",IFERROR(CHOOSE(MATCH($F203,الإعدادات!$B$4:$B$7,0),INDEX('حضور سوريال'!$G$7:$G$36,$O203),INDEX('حضور غبريال'!$G$7:$G$36,$O203),INDEX('حضور رفائيل'!$G$7:$G$36,$O203),INDEX('حضور ميخائيل'!$G$7:$G$36,$O203)),""))</f>
        <v/>
      </c>
      <c r="T203" s="22" t="str">
        <f>IF($O203="","",IFERROR(CHOOSE(MATCH($F203,الإعدادات!$B$4:$B$7,0),INDEX('حضور سوريال'!$H$7:$H$36,$O203),INDEX('حضور غبريال'!$H$7:$H$36,$O203),INDEX('حضور رفائيل'!$H$7:$H$36,$O203),INDEX('حضور ميخائيل'!$H$7:$H$36,$O203)),""))</f>
        <v/>
      </c>
      <c r="U203" s="23" t="str">
        <f>IF($O203="","",IFERROR(CHOOSE(MATCH($F203,الإعدادات!$B$4:$B$7,0),INDEX('حضور سوريال'!$I$7:$I$36,$O203),INDEX('حضور غبريال'!$I$7:$I$36,$O203),INDEX('حضور رفائيل'!$I$7:$I$36,$O203),INDEX('حضور ميخائيل'!$I$7:$I$36,$O203)),""))</f>
        <v/>
      </c>
      <c r="V203" t="str">
        <f>IF($O203="","",IFERROR(CHOOSE(MATCH($F203,الإعدادات!$B$4:$B$7,0),INDEX('حضور سوريال'!$BM$7:$BM$36,$O203),INDEX('حضور غبريال'!$BM$7:$BM$36,$O203),INDEX('حضور رفائيل'!$BM$7:$BM$36,$O203),INDEX('حضور ميخائيل'!$BM$7:$BM$36,$O203)),""))</f>
        <v/>
      </c>
      <c r="W203" t="str">
        <f>IF(OR(V203=3,V203=4),COUNTIFS(V$6:V203,3)+COUNTIFS(V$6:V203,4),"")</f>
        <v/>
      </c>
    </row>
    <row r="204" spans="1:23" ht="25.5" customHeight="1">
      <c r="A204" s="13" t="str">
        <f t="shared" si="9"/>
        <v/>
      </c>
      <c r="B204" s="14" t="str">
        <f t="shared" si="10"/>
        <v/>
      </c>
      <c r="C204" s="15"/>
      <c r="D204" s="16"/>
      <c r="E204" s="16"/>
      <c r="F204" s="16"/>
      <c r="G204" s="16"/>
      <c r="H204" s="17"/>
      <c r="I204" s="17"/>
      <c r="J204" s="18"/>
      <c r="K204" s="16"/>
      <c r="L204" s="18"/>
      <c r="M204" s="16"/>
      <c r="N204" s="19" t="str">
        <f t="shared" si="11"/>
        <v/>
      </c>
      <c r="O204" s="19" t="str">
        <f>IF(OR(C204="",F204=""),"",COUNTIFS(F$6:F204,F204,C$6:C204,"&lt;&gt;"))</f>
        <v/>
      </c>
      <c r="P204" s="20" t="str">
        <f>IF($O204="","",IFERROR(CHOOSE(MATCH($F204,الإعدادات!$B$4:$B$7,0),INDEX('حضور سوريال'!$C$7:$C$36,$O204),INDEX('حضور غبريال'!$C$7:$C$36,$O204),INDEX('حضور رفائيل'!$C$7:$C$36,$O204),INDEX('حضور ميخائيل'!$C$7:$C$36,$O204)),""))</f>
        <v/>
      </c>
      <c r="Q204" s="20" t="str">
        <f>IF($O204="","",IFERROR(CHOOSE(MATCH($F204,الإعدادات!$B$4:$B$7,0),INDEX('حضور سوريال'!$D$7:$D$36,$O204),INDEX('حضور غبريال'!$D$7:$D$36,$O204),INDEX('حضور رفائيل'!$D$7:$D$36,$O204),INDEX('حضور ميخائيل'!$D$7:$D$36,$O204)),""))</f>
        <v/>
      </c>
      <c r="R204" s="21" t="str">
        <f>IF($O204="","",IFERROR(CHOOSE(MATCH($F204,الإعدادات!$B$4:$B$7,0),INDEX('حضور سوريال'!$F$7:$F$36,$O204),INDEX('حضور غبريال'!$F$7:$F$36,$O204),INDEX('حضور رفائيل'!$F$7:$F$36,$O204),INDEX('حضور ميخائيل'!$F$7:$F$36,$O204)),""))</f>
        <v/>
      </c>
      <c r="S204" s="20" t="str">
        <f>IF($O204="","",IFERROR(CHOOSE(MATCH($F204,الإعدادات!$B$4:$B$7,0),INDEX('حضور سوريال'!$G$7:$G$36,$O204),INDEX('حضور غبريال'!$G$7:$G$36,$O204),INDEX('حضور رفائيل'!$G$7:$G$36,$O204),INDEX('حضور ميخائيل'!$G$7:$G$36,$O204)),""))</f>
        <v/>
      </c>
      <c r="T204" s="22" t="str">
        <f>IF($O204="","",IFERROR(CHOOSE(MATCH($F204,الإعدادات!$B$4:$B$7,0),INDEX('حضور سوريال'!$H$7:$H$36,$O204),INDEX('حضور غبريال'!$H$7:$H$36,$O204),INDEX('حضور رفائيل'!$H$7:$H$36,$O204),INDEX('حضور ميخائيل'!$H$7:$H$36,$O204)),""))</f>
        <v/>
      </c>
      <c r="U204" s="23" t="str">
        <f>IF($O204="","",IFERROR(CHOOSE(MATCH($F204,الإعدادات!$B$4:$B$7,0),INDEX('حضور سوريال'!$I$7:$I$36,$O204),INDEX('حضور غبريال'!$I$7:$I$36,$O204),INDEX('حضور رفائيل'!$I$7:$I$36,$O204),INDEX('حضور ميخائيل'!$I$7:$I$36,$O204)),""))</f>
        <v/>
      </c>
      <c r="V204" t="str">
        <f>IF($O204="","",IFERROR(CHOOSE(MATCH($F204,الإعدادات!$B$4:$B$7,0),INDEX('حضور سوريال'!$BM$7:$BM$36,$O204),INDEX('حضور غبريال'!$BM$7:$BM$36,$O204),INDEX('حضور رفائيل'!$BM$7:$BM$36,$O204),INDEX('حضور ميخائيل'!$BM$7:$BM$36,$O204)),""))</f>
        <v/>
      </c>
      <c r="W204" t="str">
        <f>IF(OR(V204=3,V204=4),COUNTIFS(V$6:V204,3)+COUNTIFS(V$6:V204,4),"")</f>
        <v/>
      </c>
    </row>
    <row r="205" spans="1:23" ht="25.5" customHeight="1">
      <c r="A205" s="13" t="str">
        <f t="shared" si="9"/>
        <v/>
      </c>
      <c r="B205" s="14" t="str">
        <f t="shared" si="10"/>
        <v/>
      </c>
      <c r="C205" s="15"/>
      <c r="D205" s="16"/>
      <c r="E205" s="16"/>
      <c r="F205" s="16"/>
      <c r="G205" s="16"/>
      <c r="H205" s="17"/>
      <c r="I205" s="17"/>
      <c r="J205" s="18"/>
      <c r="K205" s="16"/>
      <c r="L205" s="18"/>
      <c r="M205" s="16"/>
      <c r="N205" s="19" t="str">
        <f t="shared" si="11"/>
        <v/>
      </c>
      <c r="O205" s="19" t="str">
        <f>IF(OR(C205="",F205=""),"",COUNTIFS(F$6:F205,F205,C$6:C205,"&lt;&gt;"))</f>
        <v/>
      </c>
      <c r="P205" s="20" t="str">
        <f>IF($O205="","",IFERROR(CHOOSE(MATCH($F205,الإعدادات!$B$4:$B$7,0),INDEX('حضور سوريال'!$C$7:$C$36,$O205),INDEX('حضور غبريال'!$C$7:$C$36,$O205),INDEX('حضور رفائيل'!$C$7:$C$36,$O205),INDEX('حضور ميخائيل'!$C$7:$C$36,$O205)),""))</f>
        <v/>
      </c>
      <c r="Q205" s="20" t="str">
        <f>IF($O205="","",IFERROR(CHOOSE(MATCH($F205,الإعدادات!$B$4:$B$7,0),INDEX('حضور سوريال'!$D$7:$D$36,$O205),INDEX('حضور غبريال'!$D$7:$D$36,$O205),INDEX('حضور رفائيل'!$D$7:$D$36,$O205),INDEX('حضور ميخائيل'!$D$7:$D$36,$O205)),""))</f>
        <v/>
      </c>
      <c r="R205" s="21" t="str">
        <f>IF($O205="","",IFERROR(CHOOSE(MATCH($F205,الإعدادات!$B$4:$B$7,0),INDEX('حضور سوريال'!$F$7:$F$36,$O205),INDEX('حضور غبريال'!$F$7:$F$36,$O205),INDEX('حضور رفائيل'!$F$7:$F$36,$O205),INDEX('حضور ميخائيل'!$F$7:$F$36,$O205)),""))</f>
        <v/>
      </c>
      <c r="S205" s="20" t="str">
        <f>IF($O205="","",IFERROR(CHOOSE(MATCH($F205,الإعدادات!$B$4:$B$7,0),INDEX('حضور سوريال'!$G$7:$G$36,$O205),INDEX('حضور غبريال'!$G$7:$G$36,$O205),INDEX('حضور رفائيل'!$G$7:$G$36,$O205),INDEX('حضور ميخائيل'!$G$7:$G$36,$O205)),""))</f>
        <v/>
      </c>
      <c r="T205" s="22" t="str">
        <f>IF($O205="","",IFERROR(CHOOSE(MATCH($F205,الإعدادات!$B$4:$B$7,0),INDEX('حضور سوريال'!$H$7:$H$36,$O205),INDEX('حضور غبريال'!$H$7:$H$36,$O205),INDEX('حضور رفائيل'!$H$7:$H$36,$O205),INDEX('حضور ميخائيل'!$H$7:$H$36,$O205)),""))</f>
        <v/>
      </c>
      <c r="U205" s="23" t="str">
        <f>IF($O205="","",IFERROR(CHOOSE(MATCH($F205,الإعدادات!$B$4:$B$7,0),INDEX('حضور سوريال'!$I$7:$I$36,$O205),INDEX('حضور غبريال'!$I$7:$I$36,$O205),INDEX('حضور رفائيل'!$I$7:$I$36,$O205),INDEX('حضور ميخائيل'!$I$7:$I$36,$O205)),""))</f>
        <v/>
      </c>
      <c r="V205" t="str">
        <f>IF($O205="","",IFERROR(CHOOSE(MATCH($F205,الإعدادات!$B$4:$B$7,0),INDEX('حضور سوريال'!$BM$7:$BM$36,$O205),INDEX('حضور غبريال'!$BM$7:$BM$36,$O205),INDEX('حضور رفائيل'!$BM$7:$BM$36,$O205),INDEX('حضور ميخائيل'!$BM$7:$BM$36,$O205)),""))</f>
        <v/>
      </c>
      <c r="W205" t="str">
        <f>IF(OR(V205=3,V205=4),COUNTIFS(V$6:V205,3)+COUNTIFS(V$6:V205,4),"")</f>
        <v/>
      </c>
    </row>
    <row r="206" spans="1:23" ht="25.5" customHeight="1">
      <c r="A206" s="13" t="str">
        <f t="shared" si="9"/>
        <v/>
      </c>
      <c r="B206" s="14" t="str">
        <f t="shared" si="10"/>
        <v/>
      </c>
      <c r="C206" s="15"/>
      <c r="D206" s="16"/>
      <c r="E206" s="16"/>
      <c r="F206" s="16"/>
      <c r="G206" s="16"/>
      <c r="H206" s="17"/>
      <c r="I206" s="17"/>
      <c r="J206" s="18"/>
      <c r="K206" s="16"/>
      <c r="L206" s="18"/>
      <c r="M206" s="16"/>
      <c r="N206" s="19" t="str">
        <f t="shared" si="11"/>
        <v/>
      </c>
      <c r="O206" s="19" t="str">
        <f>IF(OR(C206="",F206=""),"",COUNTIFS(F$6:F206,F206,C$6:C206,"&lt;&gt;"))</f>
        <v/>
      </c>
      <c r="P206" s="20" t="str">
        <f>IF($O206="","",IFERROR(CHOOSE(MATCH($F206,الإعدادات!$B$4:$B$7,0),INDEX('حضور سوريال'!$C$7:$C$36,$O206),INDEX('حضور غبريال'!$C$7:$C$36,$O206),INDEX('حضور رفائيل'!$C$7:$C$36,$O206),INDEX('حضور ميخائيل'!$C$7:$C$36,$O206)),""))</f>
        <v/>
      </c>
      <c r="Q206" s="20" t="str">
        <f>IF($O206="","",IFERROR(CHOOSE(MATCH($F206,الإعدادات!$B$4:$B$7,0),INDEX('حضور سوريال'!$D$7:$D$36,$O206),INDEX('حضور غبريال'!$D$7:$D$36,$O206),INDEX('حضور رفائيل'!$D$7:$D$36,$O206),INDEX('حضور ميخائيل'!$D$7:$D$36,$O206)),""))</f>
        <v/>
      </c>
      <c r="R206" s="21" t="str">
        <f>IF($O206="","",IFERROR(CHOOSE(MATCH($F206,الإعدادات!$B$4:$B$7,0),INDEX('حضور سوريال'!$F$7:$F$36,$O206),INDEX('حضور غبريال'!$F$7:$F$36,$O206),INDEX('حضور رفائيل'!$F$7:$F$36,$O206),INDEX('حضور ميخائيل'!$F$7:$F$36,$O206)),""))</f>
        <v/>
      </c>
      <c r="S206" s="20" t="str">
        <f>IF($O206="","",IFERROR(CHOOSE(MATCH($F206,الإعدادات!$B$4:$B$7,0),INDEX('حضور سوريال'!$G$7:$G$36,$O206),INDEX('حضور غبريال'!$G$7:$G$36,$O206),INDEX('حضور رفائيل'!$G$7:$G$36,$O206),INDEX('حضور ميخائيل'!$G$7:$G$36,$O206)),""))</f>
        <v/>
      </c>
      <c r="T206" s="22" t="str">
        <f>IF($O206="","",IFERROR(CHOOSE(MATCH($F206,الإعدادات!$B$4:$B$7,0),INDEX('حضور سوريال'!$H$7:$H$36,$O206),INDEX('حضور غبريال'!$H$7:$H$36,$O206),INDEX('حضور رفائيل'!$H$7:$H$36,$O206),INDEX('حضور ميخائيل'!$H$7:$H$36,$O206)),""))</f>
        <v/>
      </c>
      <c r="U206" s="23" t="str">
        <f>IF($O206="","",IFERROR(CHOOSE(MATCH($F206,الإعدادات!$B$4:$B$7,0),INDEX('حضور سوريال'!$I$7:$I$36,$O206),INDEX('حضور غبريال'!$I$7:$I$36,$O206),INDEX('حضور رفائيل'!$I$7:$I$36,$O206),INDEX('حضور ميخائيل'!$I$7:$I$36,$O206)),""))</f>
        <v/>
      </c>
      <c r="V206" t="str">
        <f>IF($O206="","",IFERROR(CHOOSE(MATCH($F206,الإعدادات!$B$4:$B$7,0),INDEX('حضور سوريال'!$BM$7:$BM$36,$O206),INDEX('حضور غبريال'!$BM$7:$BM$36,$O206),INDEX('حضور رفائيل'!$BM$7:$BM$36,$O206),INDEX('حضور ميخائيل'!$BM$7:$BM$36,$O206)),""))</f>
        <v/>
      </c>
      <c r="W206" t="str">
        <f>IF(OR(V206=3,V206=4),COUNTIFS(V$6:V206,3)+COUNTIFS(V$6:V206,4),"")</f>
        <v/>
      </c>
    </row>
    <row r="207" spans="1:23" ht="25.5" customHeight="1">
      <c r="A207" s="13" t="str">
        <f t="shared" si="9"/>
        <v/>
      </c>
      <c r="B207" s="14" t="str">
        <f t="shared" si="10"/>
        <v/>
      </c>
      <c r="C207" s="15"/>
      <c r="D207" s="16"/>
      <c r="E207" s="16"/>
      <c r="F207" s="16"/>
      <c r="G207" s="16"/>
      <c r="H207" s="17"/>
      <c r="I207" s="17"/>
      <c r="J207" s="18"/>
      <c r="K207" s="16"/>
      <c r="L207" s="18"/>
      <c r="M207" s="16"/>
      <c r="N207" s="19" t="str">
        <f t="shared" si="11"/>
        <v/>
      </c>
      <c r="O207" s="19" t="str">
        <f>IF(OR(C207="",F207=""),"",COUNTIFS(F$6:F207,F207,C$6:C207,"&lt;&gt;"))</f>
        <v/>
      </c>
      <c r="P207" s="20" t="str">
        <f>IF($O207="","",IFERROR(CHOOSE(MATCH($F207,الإعدادات!$B$4:$B$7,0),INDEX('حضور سوريال'!$C$7:$C$36,$O207),INDEX('حضور غبريال'!$C$7:$C$36,$O207),INDEX('حضور رفائيل'!$C$7:$C$36,$O207),INDEX('حضور ميخائيل'!$C$7:$C$36,$O207)),""))</f>
        <v/>
      </c>
      <c r="Q207" s="20" t="str">
        <f>IF($O207="","",IFERROR(CHOOSE(MATCH($F207,الإعدادات!$B$4:$B$7,0),INDEX('حضور سوريال'!$D$7:$D$36,$O207),INDEX('حضور غبريال'!$D$7:$D$36,$O207),INDEX('حضور رفائيل'!$D$7:$D$36,$O207),INDEX('حضور ميخائيل'!$D$7:$D$36,$O207)),""))</f>
        <v/>
      </c>
      <c r="R207" s="21" t="str">
        <f>IF($O207="","",IFERROR(CHOOSE(MATCH($F207,الإعدادات!$B$4:$B$7,0),INDEX('حضور سوريال'!$F$7:$F$36,$O207),INDEX('حضور غبريال'!$F$7:$F$36,$O207),INDEX('حضور رفائيل'!$F$7:$F$36,$O207),INDEX('حضور ميخائيل'!$F$7:$F$36,$O207)),""))</f>
        <v/>
      </c>
      <c r="S207" s="20" t="str">
        <f>IF($O207="","",IFERROR(CHOOSE(MATCH($F207,الإعدادات!$B$4:$B$7,0),INDEX('حضور سوريال'!$G$7:$G$36,$O207),INDEX('حضور غبريال'!$G$7:$G$36,$O207),INDEX('حضور رفائيل'!$G$7:$G$36,$O207),INDEX('حضور ميخائيل'!$G$7:$G$36,$O207)),""))</f>
        <v/>
      </c>
      <c r="T207" s="22" t="str">
        <f>IF($O207="","",IFERROR(CHOOSE(MATCH($F207,الإعدادات!$B$4:$B$7,0),INDEX('حضور سوريال'!$H$7:$H$36,$O207),INDEX('حضور غبريال'!$H$7:$H$36,$O207),INDEX('حضور رفائيل'!$H$7:$H$36,$O207),INDEX('حضور ميخائيل'!$H$7:$H$36,$O207)),""))</f>
        <v/>
      </c>
      <c r="U207" s="23" t="str">
        <f>IF($O207="","",IFERROR(CHOOSE(MATCH($F207,الإعدادات!$B$4:$B$7,0),INDEX('حضور سوريال'!$I$7:$I$36,$O207),INDEX('حضور غبريال'!$I$7:$I$36,$O207),INDEX('حضور رفائيل'!$I$7:$I$36,$O207),INDEX('حضور ميخائيل'!$I$7:$I$36,$O207)),""))</f>
        <v/>
      </c>
      <c r="V207" t="str">
        <f>IF($O207="","",IFERROR(CHOOSE(MATCH($F207,الإعدادات!$B$4:$B$7,0),INDEX('حضور سوريال'!$BM$7:$BM$36,$O207),INDEX('حضور غبريال'!$BM$7:$BM$36,$O207),INDEX('حضور رفائيل'!$BM$7:$BM$36,$O207),INDEX('حضور ميخائيل'!$BM$7:$BM$36,$O207)),""))</f>
        <v/>
      </c>
      <c r="W207" t="str">
        <f>IF(OR(V207=3,V207=4),COUNTIFS(V$6:V207,3)+COUNTIFS(V$6:V207,4),"")</f>
        <v/>
      </c>
    </row>
    <row r="208" spans="1:23" ht="25.5" customHeight="1">
      <c r="A208" s="13" t="str">
        <f t="shared" si="9"/>
        <v/>
      </c>
      <c r="B208" s="14" t="str">
        <f t="shared" si="10"/>
        <v/>
      </c>
      <c r="C208" s="15"/>
      <c r="D208" s="16"/>
      <c r="E208" s="16"/>
      <c r="F208" s="16"/>
      <c r="G208" s="16"/>
      <c r="H208" s="17"/>
      <c r="I208" s="17"/>
      <c r="J208" s="18"/>
      <c r="K208" s="16"/>
      <c r="L208" s="18"/>
      <c r="M208" s="16"/>
      <c r="N208" s="19" t="str">
        <f t="shared" si="11"/>
        <v/>
      </c>
      <c r="O208" s="19" t="str">
        <f>IF(OR(C208="",F208=""),"",COUNTIFS(F$6:F208,F208,C$6:C208,"&lt;&gt;"))</f>
        <v/>
      </c>
      <c r="P208" s="20" t="str">
        <f>IF($O208="","",IFERROR(CHOOSE(MATCH($F208,الإعدادات!$B$4:$B$7,0),INDEX('حضور سوريال'!$C$7:$C$36,$O208),INDEX('حضور غبريال'!$C$7:$C$36,$O208),INDEX('حضور رفائيل'!$C$7:$C$36,$O208),INDEX('حضور ميخائيل'!$C$7:$C$36,$O208)),""))</f>
        <v/>
      </c>
      <c r="Q208" s="20" t="str">
        <f>IF($O208="","",IFERROR(CHOOSE(MATCH($F208,الإعدادات!$B$4:$B$7,0),INDEX('حضور سوريال'!$D$7:$D$36,$O208),INDEX('حضور غبريال'!$D$7:$D$36,$O208),INDEX('حضور رفائيل'!$D$7:$D$36,$O208),INDEX('حضور ميخائيل'!$D$7:$D$36,$O208)),""))</f>
        <v/>
      </c>
      <c r="R208" s="21" t="str">
        <f>IF($O208="","",IFERROR(CHOOSE(MATCH($F208,الإعدادات!$B$4:$B$7,0),INDEX('حضور سوريال'!$F$7:$F$36,$O208),INDEX('حضور غبريال'!$F$7:$F$36,$O208),INDEX('حضور رفائيل'!$F$7:$F$36,$O208),INDEX('حضور ميخائيل'!$F$7:$F$36,$O208)),""))</f>
        <v/>
      </c>
      <c r="S208" s="20" t="str">
        <f>IF($O208="","",IFERROR(CHOOSE(MATCH($F208,الإعدادات!$B$4:$B$7,0),INDEX('حضور سوريال'!$G$7:$G$36,$O208),INDEX('حضور غبريال'!$G$7:$G$36,$O208),INDEX('حضور رفائيل'!$G$7:$G$36,$O208),INDEX('حضور ميخائيل'!$G$7:$G$36,$O208)),""))</f>
        <v/>
      </c>
      <c r="T208" s="22" t="str">
        <f>IF($O208="","",IFERROR(CHOOSE(MATCH($F208,الإعدادات!$B$4:$B$7,0),INDEX('حضور سوريال'!$H$7:$H$36,$O208),INDEX('حضور غبريال'!$H$7:$H$36,$O208),INDEX('حضور رفائيل'!$H$7:$H$36,$O208),INDEX('حضور ميخائيل'!$H$7:$H$36,$O208)),""))</f>
        <v/>
      </c>
      <c r="U208" s="23" t="str">
        <f>IF($O208="","",IFERROR(CHOOSE(MATCH($F208,الإعدادات!$B$4:$B$7,0),INDEX('حضور سوريال'!$I$7:$I$36,$O208),INDEX('حضور غبريال'!$I$7:$I$36,$O208),INDEX('حضور رفائيل'!$I$7:$I$36,$O208),INDEX('حضور ميخائيل'!$I$7:$I$36,$O208)),""))</f>
        <v/>
      </c>
      <c r="V208" t="str">
        <f>IF($O208="","",IFERROR(CHOOSE(MATCH($F208,الإعدادات!$B$4:$B$7,0),INDEX('حضور سوريال'!$BM$7:$BM$36,$O208),INDEX('حضور غبريال'!$BM$7:$BM$36,$O208),INDEX('حضور رفائيل'!$BM$7:$BM$36,$O208),INDEX('حضور ميخائيل'!$BM$7:$BM$36,$O208)),""))</f>
        <v/>
      </c>
      <c r="W208" t="str">
        <f>IF(OR(V208=3,V208=4),COUNTIFS(V$6:V208,3)+COUNTIFS(V$6:V208,4),"")</f>
        <v/>
      </c>
    </row>
    <row r="209" spans="1:23" ht="25.5" customHeight="1">
      <c r="A209" s="13" t="str">
        <f t="shared" si="9"/>
        <v/>
      </c>
      <c r="B209" s="14" t="str">
        <f t="shared" si="10"/>
        <v/>
      </c>
      <c r="C209" s="15"/>
      <c r="D209" s="16"/>
      <c r="E209" s="16"/>
      <c r="F209" s="16"/>
      <c r="G209" s="16"/>
      <c r="H209" s="17"/>
      <c r="I209" s="17"/>
      <c r="J209" s="18"/>
      <c r="K209" s="16"/>
      <c r="L209" s="18"/>
      <c r="M209" s="16"/>
      <c r="N209" s="19" t="str">
        <f t="shared" si="11"/>
        <v/>
      </c>
      <c r="O209" s="19" t="str">
        <f>IF(OR(C209="",F209=""),"",COUNTIFS(F$6:F209,F209,C$6:C209,"&lt;&gt;"))</f>
        <v/>
      </c>
      <c r="P209" s="20" t="str">
        <f>IF($O209="","",IFERROR(CHOOSE(MATCH($F209,الإعدادات!$B$4:$B$7,0),INDEX('حضور سوريال'!$C$7:$C$36,$O209),INDEX('حضور غبريال'!$C$7:$C$36,$O209),INDEX('حضور رفائيل'!$C$7:$C$36,$O209),INDEX('حضور ميخائيل'!$C$7:$C$36,$O209)),""))</f>
        <v/>
      </c>
      <c r="Q209" s="20" t="str">
        <f>IF($O209="","",IFERROR(CHOOSE(MATCH($F209,الإعدادات!$B$4:$B$7,0),INDEX('حضور سوريال'!$D$7:$D$36,$O209),INDEX('حضور غبريال'!$D$7:$D$36,$O209),INDEX('حضور رفائيل'!$D$7:$D$36,$O209),INDEX('حضور ميخائيل'!$D$7:$D$36,$O209)),""))</f>
        <v/>
      </c>
      <c r="R209" s="21" t="str">
        <f>IF($O209="","",IFERROR(CHOOSE(MATCH($F209,الإعدادات!$B$4:$B$7,0),INDEX('حضور سوريال'!$F$7:$F$36,$O209),INDEX('حضور غبريال'!$F$7:$F$36,$O209),INDEX('حضور رفائيل'!$F$7:$F$36,$O209),INDEX('حضور ميخائيل'!$F$7:$F$36,$O209)),""))</f>
        <v/>
      </c>
      <c r="S209" s="20" t="str">
        <f>IF($O209="","",IFERROR(CHOOSE(MATCH($F209,الإعدادات!$B$4:$B$7,0),INDEX('حضور سوريال'!$G$7:$G$36,$O209),INDEX('حضور غبريال'!$G$7:$G$36,$O209),INDEX('حضور رفائيل'!$G$7:$G$36,$O209),INDEX('حضور ميخائيل'!$G$7:$G$36,$O209)),""))</f>
        <v/>
      </c>
      <c r="T209" s="22" t="str">
        <f>IF($O209="","",IFERROR(CHOOSE(MATCH($F209,الإعدادات!$B$4:$B$7,0),INDEX('حضور سوريال'!$H$7:$H$36,$O209),INDEX('حضور غبريال'!$H$7:$H$36,$O209),INDEX('حضور رفائيل'!$H$7:$H$36,$O209),INDEX('حضور ميخائيل'!$H$7:$H$36,$O209)),""))</f>
        <v/>
      </c>
      <c r="U209" s="23" t="str">
        <f>IF($O209="","",IFERROR(CHOOSE(MATCH($F209,الإعدادات!$B$4:$B$7,0),INDEX('حضور سوريال'!$I$7:$I$36,$O209),INDEX('حضور غبريال'!$I$7:$I$36,$O209),INDEX('حضور رفائيل'!$I$7:$I$36,$O209),INDEX('حضور ميخائيل'!$I$7:$I$36,$O209)),""))</f>
        <v/>
      </c>
      <c r="V209" t="str">
        <f>IF($O209="","",IFERROR(CHOOSE(MATCH($F209,الإعدادات!$B$4:$B$7,0),INDEX('حضور سوريال'!$BM$7:$BM$36,$O209),INDEX('حضور غبريال'!$BM$7:$BM$36,$O209),INDEX('حضور رفائيل'!$BM$7:$BM$36,$O209),INDEX('حضور ميخائيل'!$BM$7:$BM$36,$O209)),""))</f>
        <v/>
      </c>
      <c r="W209" t="str">
        <f>IF(OR(V209=3,V209=4),COUNTIFS(V$6:V209,3)+COUNTIFS(V$6:V209,4),"")</f>
        <v/>
      </c>
    </row>
    <row r="210" spans="1:23" ht="25.5" customHeight="1">
      <c r="A210" s="13" t="str">
        <f t="shared" si="9"/>
        <v/>
      </c>
      <c r="B210" s="14" t="str">
        <f t="shared" si="10"/>
        <v/>
      </c>
      <c r="C210" s="15"/>
      <c r="D210" s="16"/>
      <c r="E210" s="16"/>
      <c r="F210" s="16"/>
      <c r="G210" s="16"/>
      <c r="H210" s="17"/>
      <c r="I210" s="17"/>
      <c r="J210" s="18"/>
      <c r="K210" s="16"/>
      <c r="L210" s="18"/>
      <c r="M210" s="16"/>
      <c r="N210" s="19" t="str">
        <f t="shared" si="11"/>
        <v/>
      </c>
      <c r="O210" s="19" t="str">
        <f>IF(OR(C210="",F210=""),"",COUNTIFS(F$6:F210,F210,C$6:C210,"&lt;&gt;"))</f>
        <v/>
      </c>
      <c r="P210" s="20" t="str">
        <f>IF($O210="","",IFERROR(CHOOSE(MATCH($F210,الإعدادات!$B$4:$B$7,0),INDEX('حضور سوريال'!$C$7:$C$36,$O210),INDEX('حضور غبريال'!$C$7:$C$36,$O210),INDEX('حضور رفائيل'!$C$7:$C$36,$O210),INDEX('حضور ميخائيل'!$C$7:$C$36,$O210)),""))</f>
        <v/>
      </c>
      <c r="Q210" s="20" t="str">
        <f>IF($O210="","",IFERROR(CHOOSE(MATCH($F210,الإعدادات!$B$4:$B$7,0),INDEX('حضور سوريال'!$D$7:$D$36,$O210),INDEX('حضور غبريال'!$D$7:$D$36,$O210),INDEX('حضور رفائيل'!$D$7:$D$36,$O210),INDEX('حضور ميخائيل'!$D$7:$D$36,$O210)),""))</f>
        <v/>
      </c>
      <c r="R210" s="21" t="str">
        <f>IF($O210="","",IFERROR(CHOOSE(MATCH($F210,الإعدادات!$B$4:$B$7,0),INDEX('حضور سوريال'!$F$7:$F$36,$O210),INDEX('حضور غبريال'!$F$7:$F$36,$O210),INDEX('حضور رفائيل'!$F$7:$F$36,$O210),INDEX('حضور ميخائيل'!$F$7:$F$36,$O210)),""))</f>
        <v/>
      </c>
      <c r="S210" s="20" t="str">
        <f>IF($O210="","",IFERROR(CHOOSE(MATCH($F210,الإعدادات!$B$4:$B$7,0),INDEX('حضور سوريال'!$G$7:$G$36,$O210),INDEX('حضور غبريال'!$G$7:$G$36,$O210),INDEX('حضور رفائيل'!$G$7:$G$36,$O210),INDEX('حضور ميخائيل'!$G$7:$G$36,$O210)),""))</f>
        <v/>
      </c>
      <c r="T210" s="22" t="str">
        <f>IF($O210="","",IFERROR(CHOOSE(MATCH($F210,الإعدادات!$B$4:$B$7,0),INDEX('حضور سوريال'!$H$7:$H$36,$O210),INDEX('حضور غبريال'!$H$7:$H$36,$O210),INDEX('حضور رفائيل'!$H$7:$H$36,$O210),INDEX('حضور ميخائيل'!$H$7:$H$36,$O210)),""))</f>
        <v/>
      </c>
      <c r="U210" s="23" t="str">
        <f>IF($O210="","",IFERROR(CHOOSE(MATCH($F210,الإعدادات!$B$4:$B$7,0),INDEX('حضور سوريال'!$I$7:$I$36,$O210),INDEX('حضور غبريال'!$I$7:$I$36,$O210),INDEX('حضور رفائيل'!$I$7:$I$36,$O210),INDEX('حضور ميخائيل'!$I$7:$I$36,$O210)),""))</f>
        <v/>
      </c>
      <c r="V210" t="str">
        <f>IF($O210="","",IFERROR(CHOOSE(MATCH($F210,الإعدادات!$B$4:$B$7,0),INDEX('حضور سوريال'!$BM$7:$BM$36,$O210),INDEX('حضور غبريال'!$BM$7:$BM$36,$O210),INDEX('حضور رفائيل'!$BM$7:$BM$36,$O210),INDEX('حضور ميخائيل'!$BM$7:$BM$36,$O210)),""))</f>
        <v/>
      </c>
      <c r="W210" t="str">
        <f>IF(OR(V210=3,V210=4),COUNTIFS(V$6:V210,3)+COUNTIFS(V$6:V210,4),"")</f>
        <v/>
      </c>
    </row>
    <row r="211" spans="1:23" ht="25.5" customHeight="1">
      <c r="A211" s="13" t="str">
        <f t="shared" si="9"/>
        <v/>
      </c>
      <c r="B211" s="14" t="str">
        <f t="shared" si="10"/>
        <v/>
      </c>
      <c r="C211" s="15"/>
      <c r="D211" s="16"/>
      <c r="E211" s="16"/>
      <c r="F211" s="16"/>
      <c r="G211" s="16"/>
      <c r="H211" s="17"/>
      <c r="I211" s="17"/>
      <c r="J211" s="18"/>
      <c r="K211" s="16"/>
      <c r="L211" s="18"/>
      <c r="M211" s="16"/>
      <c r="N211" s="19" t="str">
        <f t="shared" si="11"/>
        <v/>
      </c>
      <c r="O211" s="19" t="str">
        <f>IF(OR(C211="",F211=""),"",COUNTIFS(F$6:F211,F211,C$6:C211,"&lt;&gt;"))</f>
        <v/>
      </c>
      <c r="P211" s="20" t="str">
        <f>IF($O211="","",IFERROR(CHOOSE(MATCH($F211,الإعدادات!$B$4:$B$7,0),INDEX('حضور سوريال'!$C$7:$C$36,$O211),INDEX('حضور غبريال'!$C$7:$C$36,$O211),INDEX('حضور رفائيل'!$C$7:$C$36,$O211),INDEX('حضور ميخائيل'!$C$7:$C$36,$O211)),""))</f>
        <v/>
      </c>
      <c r="Q211" s="20" t="str">
        <f>IF($O211="","",IFERROR(CHOOSE(MATCH($F211,الإعدادات!$B$4:$B$7,0),INDEX('حضور سوريال'!$D$7:$D$36,$O211),INDEX('حضور غبريال'!$D$7:$D$36,$O211),INDEX('حضور رفائيل'!$D$7:$D$36,$O211),INDEX('حضور ميخائيل'!$D$7:$D$36,$O211)),""))</f>
        <v/>
      </c>
      <c r="R211" s="21" t="str">
        <f>IF($O211="","",IFERROR(CHOOSE(MATCH($F211,الإعدادات!$B$4:$B$7,0),INDEX('حضور سوريال'!$F$7:$F$36,$O211),INDEX('حضور غبريال'!$F$7:$F$36,$O211),INDEX('حضور رفائيل'!$F$7:$F$36,$O211),INDEX('حضور ميخائيل'!$F$7:$F$36,$O211)),""))</f>
        <v/>
      </c>
      <c r="S211" s="20" t="str">
        <f>IF($O211="","",IFERROR(CHOOSE(MATCH($F211,الإعدادات!$B$4:$B$7,0),INDEX('حضور سوريال'!$G$7:$G$36,$O211),INDEX('حضور غبريال'!$G$7:$G$36,$O211),INDEX('حضور رفائيل'!$G$7:$G$36,$O211),INDEX('حضور ميخائيل'!$G$7:$G$36,$O211)),""))</f>
        <v/>
      </c>
      <c r="T211" s="22" t="str">
        <f>IF($O211="","",IFERROR(CHOOSE(MATCH($F211,الإعدادات!$B$4:$B$7,0),INDEX('حضور سوريال'!$H$7:$H$36,$O211),INDEX('حضور غبريال'!$H$7:$H$36,$O211),INDEX('حضور رفائيل'!$H$7:$H$36,$O211),INDEX('حضور ميخائيل'!$H$7:$H$36,$O211)),""))</f>
        <v/>
      </c>
      <c r="U211" s="23" t="str">
        <f>IF($O211="","",IFERROR(CHOOSE(MATCH($F211,الإعدادات!$B$4:$B$7,0),INDEX('حضور سوريال'!$I$7:$I$36,$O211),INDEX('حضور غبريال'!$I$7:$I$36,$O211),INDEX('حضور رفائيل'!$I$7:$I$36,$O211),INDEX('حضور ميخائيل'!$I$7:$I$36,$O211)),""))</f>
        <v/>
      </c>
      <c r="V211" t="str">
        <f>IF($O211="","",IFERROR(CHOOSE(MATCH($F211,الإعدادات!$B$4:$B$7,0),INDEX('حضور سوريال'!$BM$7:$BM$36,$O211),INDEX('حضور غبريال'!$BM$7:$BM$36,$O211),INDEX('حضور رفائيل'!$BM$7:$BM$36,$O211),INDEX('حضور ميخائيل'!$BM$7:$BM$36,$O211)),""))</f>
        <v/>
      </c>
      <c r="W211" t="str">
        <f>IF(OR(V211=3,V211=4),COUNTIFS(V$6:V211,3)+COUNTIFS(V$6:V211,4),"")</f>
        <v/>
      </c>
    </row>
    <row r="212" spans="1:23" ht="25.5" customHeight="1">
      <c r="A212" s="13" t="str">
        <f t="shared" si="9"/>
        <v/>
      </c>
      <c r="B212" s="14" t="str">
        <f t="shared" si="10"/>
        <v/>
      </c>
      <c r="C212" s="15"/>
      <c r="D212" s="16"/>
      <c r="E212" s="16"/>
      <c r="F212" s="16"/>
      <c r="G212" s="16"/>
      <c r="H212" s="17"/>
      <c r="I212" s="17"/>
      <c r="J212" s="18"/>
      <c r="K212" s="16"/>
      <c r="L212" s="18"/>
      <c r="M212" s="16"/>
      <c r="N212" s="19" t="str">
        <f t="shared" si="11"/>
        <v/>
      </c>
      <c r="O212" s="19" t="str">
        <f>IF(OR(C212="",F212=""),"",COUNTIFS(F$6:F212,F212,C$6:C212,"&lt;&gt;"))</f>
        <v/>
      </c>
      <c r="P212" s="20" t="str">
        <f>IF($O212="","",IFERROR(CHOOSE(MATCH($F212,الإعدادات!$B$4:$B$7,0),INDEX('حضور سوريال'!$C$7:$C$36,$O212),INDEX('حضور غبريال'!$C$7:$C$36,$O212),INDEX('حضور رفائيل'!$C$7:$C$36,$O212),INDEX('حضور ميخائيل'!$C$7:$C$36,$O212)),""))</f>
        <v/>
      </c>
      <c r="Q212" s="20" t="str">
        <f>IF($O212="","",IFERROR(CHOOSE(MATCH($F212,الإعدادات!$B$4:$B$7,0),INDEX('حضور سوريال'!$D$7:$D$36,$O212),INDEX('حضور غبريال'!$D$7:$D$36,$O212),INDEX('حضور رفائيل'!$D$7:$D$36,$O212),INDEX('حضور ميخائيل'!$D$7:$D$36,$O212)),""))</f>
        <v/>
      </c>
      <c r="R212" s="21" t="str">
        <f>IF($O212="","",IFERROR(CHOOSE(MATCH($F212,الإعدادات!$B$4:$B$7,0),INDEX('حضور سوريال'!$F$7:$F$36,$O212),INDEX('حضور غبريال'!$F$7:$F$36,$O212),INDEX('حضور رفائيل'!$F$7:$F$36,$O212),INDEX('حضور ميخائيل'!$F$7:$F$36,$O212)),""))</f>
        <v/>
      </c>
      <c r="S212" s="20" t="str">
        <f>IF($O212="","",IFERROR(CHOOSE(MATCH($F212,الإعدادات!$B$4:$B$7,0),INDEX('حضور سوريال'!$G$7:$G$36,$O212),INDEX('حضور غبريال'!$G$7:$G$36,$O212),INDEX('حضور رفائيل'!$G$7:$G$36,$O212),INDEX('حضور ميخائيل'!$G$7:$G$36,$O212)),""))</f>
        <v/>
      </c>
      <c r="T212" s="22" t="str">
        <f>IF($O212="","",IFERROR(CHOOSE(MATCH($F212,الإعدادات!$B$4:$B$7,0),INDEX('حضور سوريال'!$H$7:$H$36,$O212),INDEX('حضور غبريال'!$H$7:$H$36,$O212),INDEX('حضور رفائيل'!$H$7:$H$36,$O212),INDEX('حضور ميخائيل'!$H$7:$H$36,$O212)),""))</f>
        <v/>
      </c>
      <c r="U212" s="23" t="str">
        <f>IF($O212="","",IFERROR(CHOOSE(MATCH($F212,الإعدادات!$B$4:$B$7,0),INDEX('حضور سوريال'!$I$7:$I$36,$O212),INDEX('حضور غبريال'!$I$7:$I$36,$O212),INDEX('حضور رفائيل'!$I$7:$I$36,$O212),INDEX('حضور ميخائيل'!$I$7:$I$36,$O212)),""))</f>
        <v/>
      </c>
      <c r="V212" t="str">
        <f>IF($O212="","",IFERROR(CHOOSE(MATCH($F212,الإعدادات!$B$4:$B$7,0),INDEX('حضور سوريال'!$BM$7:$BM$36,$O212),INDEX('حضور غبريال'!$BM$7:$BM$36,$O212),INDEX('حضور رفائيل'!$BM$7:$BM$36,$O212),INDEX('حضور ميخائيل'!$BM$7:$BM$36,$O212)),""))</f>
        <v/>
      </c>
      <c r="W212" t="str">
        <f>IF(OR(V212=3,V212=4),COUNTIFS(V$6:V212,3)+COUNTIFS(V$6:V212,4),"")</f>
        <v/>
      </c>
    </row>
    <row r="213" spans="1:23" ht="25.5" customHeight="1">
      <c r="A213" s="13" t="str">
        <f t="shared" si="9"/>
        <v/>
      </c>
      <c r="B213" s="14" t="str">
        <f t="shared" si="10"/>
        <v/>
      </c>
      <c r="C213" s="15"/>
      <c r="D213" s="16"/>
      <c r="E213" s="16"/>
      <c r="F213" s="16"/>
      <c r="G213" s="16"/>
      <c r="H213" s="17"/>
      <c r="I213" s="17"/>
      <c r="J213" s="18"/>
      <c r="K213" s="16"/>
      <c r="L213" s="18"/>
      <c r="M213" s="16"/>
      <c r="N213" s="19" t="str">
        <f t="shared" si="11"/>
        <v/>
      </c>
      <c r="O213" s="19" t="str">
        <f>IF(OR(C213="",F213=""),"",COUNTIFS(F$6:F213,F213,C$6:C213,"&lt;&gt;"))</f>
        <v/>
      </c>
      <c r="P213" s="20" t="str">
        <f>IF($O213="","",IFERROR(CHOOSE(MATCH($F213,الإعدادات!$B$4:$B$7,0),INDEX('حضور سوريال'!$C$7:$C$36,$O213),INDEX('حضور غبريال'!$C$7:$C$36,$O213),INDEX('حضور رفائيل'!$C$7:$C$36,$O213),INDEX('حضور ميخائيل'!$C$7:$C$36,$O213)),""))</f>
        <v/>
      </c>
      <c r="Q213" s="20" t="str">
        <f>IF($O213="","",IFERROR(CHOOSE(MATCH($F213,الإعدادات!$B$4:$B$7,0),INDEX('حضور سوريال'!$D$7:$D$36,$O213),INDEX('حضور غبريال'!$D$7:$D$36,$O213),INDEX('حضور رفائيل'!$D$7:$D$36,$O213),INDEX('حضور ميخائيل'!$D$7:$D$36,$O213)),""))</f>
        <v/>
      </c>
      <c r="R213" s="21" t="str">
        <f>IF($O213="","",IFERROR(CHOOSE(MATCH($F213,الإعدادات!$B$4:$B$7,0),INDEX('حضور سوريال'!$F$7:$F$36,$O213),INDEX('حضور غبريال'!$F$7:$F$36,$O213),INDEX('حضور رفائيل'!$F$7:$F$36,$O213),INDEX('حضور ميخائيل'!$F$7:$F$36,$O213)),""))</f>
        <v/>
      </c>
      <c r="S213" s="20" t="str">
        <f>IF($O213="","",IFERROR(CHOOSE(MATCH($F213,الإعدادات!$B$4:$B$7,0),INDEX('حضور سوريال'!$G$7:$G$36,$O213),INDEX('حضور غبريال'!$G$7:$G$36,$O213),INDEX('حضور رفائيل'!$G$7:$G$36,$O213),INDEX('حضور ميخائيل'!$G$7:$G$36,$O213)),""))</f>
        <v/>
      </c>
      <c r="T213" s="22" t="str">
        <f>IF($O213="","",IFERROR(CHOOSE(MATCH($F213,الإعدادات!$B$4:$B$7,0),INDEX('حضور سوريال'!$H$7:$H$36,$O213),INDEX('حضور غبريال'!$H$7:$H$36,$O213),INDEX('حضور رفائيل'!$H$7:$H$36,$O213),INDEX('حضور ميخائيل'!$H$7:$H$36,$O213)),""))</f>
        <v/>
      </c>
      <c r="U213" s="23" t="str">
        <f>IF($O213="","",IFERROR(CHOOSE(MATCH($F213,الإعدادات!$B$4:$B$7,0),INDEX('حضور سوريال'!$I$7:$I$36,$O213),INDEX('حضور غبريال'!$I$7:$I$36,$O213),INDEX('حضور رفائيل'!$I$7:$I$36,$O213),INDEX('حضور ميخائيل'!$I$7:$I$36,$O213)),""))</f>
        <v/>
      </c>
      <c r="V213" t="str">
        <f>IF($O213="","",IFERROR(CHOOSE(MATCH($F213,الإعدادات!$B$4:$B$7,0),INDEX('حضور سوريال'!$BM$7:$BM$36,$O213),INDEX('حضور غبريال'!$BM$7:$BM$36,$O213),INDEX('حضور رفائيل'!$BM$7:$BM$36,$O213),INDEX('حضور ميخائيل'!$BM$7:$BM$36,$O213)),""))</f>
        <v/>
      </c>
      <c r="W213" t="str">
        <f>IF(OR(V213=3,V213=4),COUNTIFS(V$6:V213,3)+COUNTIFS(V$6:V213,4),"")</f>
        <v/>
      </c>
    </row>
    <row r="214" spans="1:23" ht="25.5" customHeight="1">
      <c r="A214" s="13" t="str">
        <f t="shared" si="9"/>
        <v/>
      </c>
      <c r="B214" s="14" t="str">
        <f t="shared" si="10"/>
        <v/>
      </c>
      <c r="C214" s="15"/>
      <c r="D214" s="16"/>
      <c r="E214" s="16"/>
      <c r="F214" s="16"/>
      <c r="G214" s="16"/>
      <c r="H214" s="17"/>
      <c r="I214" s="17"/>
      <c r="J214" s="18"/>
      <c r="K214" s="16"/>
      <c r="L214" s="18"/>
      <c r="M214" s="16"/>
      <c r="N214" s="19" t="str">
        <f t="shared" si="11"/>
        <v/>
      </c>
      <c r="O214" s="19" t="str">
        <f>IF(OR(C214="",F214=""),"",COUNTIFS(F$6:F214,F214,C$6:C214,"&lt;&gt;"))</f>
        <v/>
      </c>
      <c r="P214" s="20" t="str">
        <f>IF($O214="","",IFERROR(CHOOSE(MATCH($F214,الإعدادات!$B$4:$B$7,0),INDEX('حضور سوريال'!$C$7:$C$36,$O214),INDEX('حضور غبريال'!$C$7:$C$36,$O214),INDEX('حضور رفائيل'!$C$7:$C$36,$O214),INDEX('حضور ميخائيل'!$C$7:$C$36,$O214)),""))</f>
        <v/>
      </c>
      <c r="Q214" s="20" t="str">
        <f>IF($O214="","",IFERROR(CHOOSE(MATCH($F214,الإعدادات!$B$4:$B$7,0),INDEX('حضور سوريال'!$D$7:$D$36,$O214),INDEX('حضور غبريال'!$D$7:$D$36,$O214),INDEX('حضور رفائيل'!$D$7:$D$36,$O214),INDEX('حضور ميخائيل'!$D$7:$D$36,$O214)),""))</f>
        <v/>
      </c>
      <c r="R214" s="21" t="str">
        <f>IF($O214="","",IFERROR(CHOOSE(MATCH($F214,الإعدادات!$B$4:$B$7,0),INDEX('حضور سوريال'!$F$7:$F$36,$O214),INDEX('حضور غبريال'!$F$7:$F$36,$O214),INDEX('حضور رفائيل'!$F$7:$F$36,$O214),INDEX('حضور ميخائيل'!$F$7:$F$36,$O214)),""))</f>
        <v/>
      </c>
      <c r="S214" s="20" t="str">
        <f>IF($O214="","",IFERROR(CHOOSE(MATCH($F214,الإعدادات!$B$4:$B$7,0),INDEX('حضور سوريال'!$G$7:$G$36,$O214),INDEX('حضور غبريال'!$G$7:$G$36,$O214),INDEX('حضور رفائيل'!$G$7:$G$36,$O214),INDEX('حضور ميخائيل'!$G$7:$G$36,$O214)),""))</f>
        <v/>
      </c>
      <c r="T214" s="22" t="str">
        <f>IF($O214="","",IFERROR(CHOOSE(MATCH($F214,الإعدادات!$B$4:$B$7,0),INDEX('حضور سوريال'!$H$7:$H$36,$O214),INDEX('حضور غبريال'!$H$7:$H$36,$O214),INDEX('حضور رفائيل'!$H$7:$H$36,$O214),INDEX('حضور ميخائيل'!$H$7:$H$36,$O214)),""))</f>
        <v/>
      </c>
      <c r="U214" s="23" t="str">
        <f>IF($O214="","",IFERROR(CHOOSE(MATCH($F214,الإعدادات!$B$4:$B$7,0),INDEX('حضور سوريال'!$I$7:$I$36,$O214),INDEX('حضور غبريال'!$I$7:$I$36,$O214),INDEX('حضور رفائيل'!$I$7:$I$36,$O214),INDEX('حضور ميخائيل'!$I$7:$I$36,$O214)),""))</f>
        <v/>
      </c>
      <c r="V214" t="str">
        <f>IF($O214="","",IFERROR(CHOOSE(MATCH($F214,الإعدادات!$B$4:$B$7,0),INDEX('حضور سوريال'!$BM$7:$BM$36,$O214),INDEX('حضور غبريال'!$BM$7:$BM$36,$O214),INDEX('حضور رفائيل'!$BM$7:$BM$36,$O214),INDEX('حضور ميخائيل'!$BM$7:$BM$36,$O214)),""))</f>
        <v/>
      </c>
      <c r="W214" t="str">
        <f>IF(OR(V214=3,V214=4),COUNTIFS(V$6:V214,3)+COUNTIFS(V$6:V214,4),"")</f>
        <v/>
      </c>
    </row>
    <row r="215" spans="1:23" ht="25.5" customHeight="1">
      <c r="A215" s="13" t="str">
        <f t="shared" si="9"/>
        <v/>
      </c>
      <c r="B215" s="14" t="str">
        <f t="shared" si="10"/>
        <v/>
      </c>
      <c r="C215" s="15"/>
      <c r="D215" s="16"/>
      <c r="E215" s="16"/>
      <c r="F215" s="16"/>
      <c r="G215" s="16"/>
      <c r="H215" s="17"/>
      <c r="I215" s="17"/>
      <c r="J215" s="18"/>
      <c r="K215" s="16"/>
      <c r="L215" s="18"/>
      <c r="M215" s="16"/>
      <c r="N215" s="19" t="str">
        <f t="shared" si="11"/>
        <v/>
      </c>
      <c r="O215" s="19" t="str">
        <f>IF(OR(C215="",F215=""),"",COUNTIFS(F$6:F215,F215,C$6:C215,"&lt;&gt;"))</f>
        <v/>
      </c>
      <c r="P215" s="20" t="str">
        <f>IF($O215="","",IFERROR(CHOOSE(MATCH($F215,الإعدادات!$B$4:$B$7,0),INDEX('حضور سوريال'!$C$7:$C$36,$O215),INDEX('حضور غبريال'!$C$7:$C$36,$O215),INDEX('حضور رفائيل'!$C$7:$C$36,$O215),INDEX('حضور ميخائيل'!$C$7:$C$36,$O215)),""))</f>
        <v/>
      </c>
      <c r="Q215" s="20" t="str">
        <f>IF($O215="","",IFERROR(CHOOSE(MATCH($F215,الإعدادات!$B$4:$B$7,0),INDEX('حضور سوريال'!$D$7:$D$36,$O215),INDEX('حضور غبريال'!$D$7:$D$36,$O215),INDEX('حضور رفائيل'!$D$7:$D$36,$O215),INDEX('حضور ميخائيل'!$D$7:$D$36,$O215)),""))</f>
        <v/>
      </c>
      <c r="R215" s="21" t="str">
        <f>IF($O215="","",IFERROR(CHOOSE(MATCH($F215,الإعدادات!$B$4:$B$7,0),INDEX('حضور سوريال'!$F$7:$F$36,$O215),INDEX('حضور غبريال'!$F$7:$F$36,$O215),INDEX('حضور رفائيل'!$F$7:$F$36,$O215),INDEX('حضور ميخائيل'!$F$7:$F$36,$O215)),""))</f>
        <v/>
      </c>
      <c r="S215" s="20" t="str">
        <f>IF($O215="","",IFERROR(CHOOSE(MATCH($F215,الإعدادات!$B$4:$B$7,0),INDEX('حضور سوريال'!$G$7:$G$36,$O215),INDEX('حضور غبريال'!$G$7:$G$36,$O215),INDEX('حضور رفائيل'!$G$7:$G$36,$O215),INDEX('حضور ميخائيل'!$G$7:$G$36,$O215)),""))</f>
        <v/>
      </c>
      <c r="T215" s="22" t="str">
        <f>IF($O215="","",IFERROR(CHOOSE(MATCH($F215,الإعدادات!$B$4:$B$7,0),INDEX('حضور سوريال'!$H$7:$H$36,$O215),INDEX('حضور غبريال'!$H$7:$H$36,$O215),INDEX('حضور رفائيل'!$H$7:$H$36,$O215),INDEX('حضور ميخائيل'!$H$7:$H$36,$O215)),""))</f>
        <v/>
      </c>
      <c r="U215" s="23" t="str">
        <f>IF($O215="","",IFERROR(CHOOSE(MATCH($F215,الإعدادات!$B$4:$B$7,0),INDEX('حضور سوريال'!$I$7:$I$36,$O215),INDEX('حضور غبريال'!$I$7:$I$36,$O215),INDEX('حضور رفائيل'!$I$7:$I$36,$O215),INDEX('حضور ميخائيل'!$I$7:$I$36,$O215)),""))</f>
        <v/>
      </c>
      <c r="V215" t="str">
        <f>IF($O215="","",IFERROR(CHOOSE(MATCH($F215,الإعدادات!$B$4:$B$7,0),INDEX('حضور سوريال'!$BM$7:$BM$36,$O215),INDEX('حضور غبريال'!$BM$7:$BM$36,$O215),INDEX('حضور رفائيل'!$BM$7:$BM$36,$O215),INDEX('حضور ميخائيل'!$BM$7:$BM$36,$O215)),""))</f>
        <v/>
      </c>
      <c r="W215" t="str">
        <f>IF(OR(V215=3,V215=4),COUNTIFS(V$6:V215,3)+COUNTIFS(V$6:V215,4),"")</f>
        <v/>
      </c>
    </row>
    <row r="216" spans="1:23" ht="25.5" customHeight="1">
      <c r="A216" s="13" t="str">
        <f t="shared" si="9"/>
        <v/>
      </c>
      <c r="B216" s="14" t="str">
        <f t="shared" si="10"/>
        <v/>
      </c>
      <c r="C216" s="15"/>
      <c r="D216" s="16"/>
      <c r="E216" s="16"/>
      <c r="F216" s="16"/>
      <c r="G216" s="16"/>
      <c r="H216" s="17"/>
      <c r="I216" s="17"/>
      <c r="J216" s="18"/>
      <c r="K216" s="16"/>
      <c r="L216" s="18"/>
      <c r="M216" s="16"/>
      <c r="N216" s="19" t="str">
        <f t="shared" si="11"/>
        <v/>
      </c>
      <c r="O216" s="19" t="str">
        <f>IF(OR(C216="",F216=""),"",COUNTIFS(F$6:F216,F216,C$6:C216,"&lt;&gt;"))</f>
        <v/>
      </c>
      <c r="P216" s="20" t="str">
        <f>IF($O216="","",IFERROR(CHOOSE(MATCH($F216,الإعدادات!$B$4:$B$7,0),INDEX('حضور سوريال'!$C$7:$C$36,$O216),INDEX('حضور غبريال'!$C$7:$C$36,$O216),INDEX('حضور رفائيل'!$C$7:$C$36,$O216),INDEX('حضور ميخائيل'!$C$7:$C$36,$O216)),""))</f>
        <v/>
      </c>
      <c r="Q216" s="20" t="str">
        <f>IF($O216="","",IFERROR(CHOOSE(MATCH($F216,الإعدادات!$B$4:$B$7,0),INDEX('حضور سوريال'!$D$7:$D$36,$O216),INDEX('حضور غبريال'!$D$7:$D$36,$O216),INDEX('حضور رفائيل'!$D$7:$D$36,$O216),INDEX('حضور ميخائيل'!$D$7:$D$36,$O216)),""))</f>
        <v/>
      </c>
      <c r="R216" s="21" t="str">
        <f>IF($O216="","",IFERROR(CHOOSE(MATCH($F216,الإعدادات!$B$4:$B$7,0),INDEX('حضور سوريال'!$F$7:$F$36,$O216),INDEX('حضور غبريال'!$F$7:$F$36,$O216),INDEX('حضور رفائيل'!$F$7:$F$36,$O216),INDEX('حضور ميخائيل'!$F$7:$F$36,$O216)),""))</f>
        <v/>
      </c>
      <c r="S216" s="20" t="str">
        <f>IF($O216="","",IFERROR(CHOOSE(MATCH($F216,الإعدادات!$B$4:$B$7,0),INDEX('حضور سوريال'!$G$7:$G$36,$O216),INDEX('حضور غبريال'!$G$7:$G$36,$O216),INDEX('حضور رفائيل'!$G$7:$G$36,$O216),INDEX('حضور ميخائيل'!$G$7:$G$36,$O216)),""))</f>
        <v/>
      </c>
      <c r="T216" s="22" t="str">
        <f>IF($O216="","",IFERROR(CHOOSE(MATCH($F216,الإعدادات!$B$4:$B$7,0),INDEX('حضور سوريال'!$H$7:$H$36,$O216),INDEX('حضور غبريال'!$H$7:$H$36,$O216),INDEX('حضور رفائيل'!$H$7:$H$36,$O216),INDEX('حضور ميخائيل'!$H$7:$H$36,$O216)),""))</f>
        <v/>
      </c>
      <c r="U216" s="23" t="str">
        <f>IF($O216="","",IFERROR(CHOOSE(MATCH($F216,الإعدادات!$B$4:$B$7,0),INDEX('حضور سوريال'!$I$7:$I$36,$O216),INDEX('حضور غبريال'!$I$7:$I$36,$O216),INDEX('حضور رفائيل'!$I$7:$I$36,$O216),INDEX('حضور ميخائيل'!$I$7:$I$36,$O216)),""))</f>
        <v/>
      </c>
      <c r="V216" t="str">
        <f>IF($O216="","",IFERROR(CHOOSE(MATCH($F216,الإعدادات!$B$4:$B$7,0),INDEX('حضور سوريال'!$BM$7:$BM$36,$O216),INDEX('حضور غبريال'!$BM$7:$BM$36,$O216),INDEX('حضور رفائيل'!$BM$7:$BM$36,$O216),INDEX('حضور ميخائيل'!$BM$7:$BM$36,$O216)),""))</f>
        <v/>
      </c>
      <c r="W216" t="str">
        <f>IF(OR(V216=3,V216=4),COUNTIFS(V$6:V216,3)+COUNTIFS(V$6:V216,4),"")</f>
        <v/>
      </c>
    </row>
    <row r="217" spans="1:23" ht="25.5" customHeight="1">
      <c r="A217" s="13" t="str">
        <f t="shared" si="9"/>
        <v/>
      </c>
      <c r="B217" s="14" t="str">
        <f t="shared" si="10"/>
        <v/>
      </c>
      <c r="C217" s="15"/>
      <c r="D217" s="16"/>
      <c r="E217" s="16"/>
      <c r="F217" s="16"/>
      <c r="G217" s="16"/>
      <c r="H217" s="17"/>
      <c r="I217" s="17"/>
      <c r="J217" s="18"/>
      <c r="K217" s="16"/>
      <c r="L217" s="18"/>
      <c r="M217" s="16"/>
      <c r="N217" s="19" t="str">
        <f t="shared" si="11"/>
        <v/>
      </c>
      <c r="O217" s="19" t="str">
        <f>IF(OR(C217="",F217=""),"",COUNTIFS(F$6:F217,F217,C$6:C217,"&lt;&gt;"))</f>
        <v/>
      </c>
      <c r="P217" s="20" t="str">
        <f>IF($O217="","",IFERROR(CHOOSE(MATCH($F217,الإعدادات!$B$4:$B$7,0),INDEX('حضور سوريال'!$C$7:$C$36,$O217),INDEX('حضور غبريال'!$C$7:$C$36,$O217),INDEX('حضور رفائيل'!$C$7:$C$36,$O217),INDEX('حضور ميخائيل'!$C$7:$C$36,$O217)),""))</f>
        <v/>
      </c>
      <c r="Q217" s="20" t="str">
        <f>IF($O217="","",IFERROR(CHOOSE(MATCH($F217,الإعدادات!$B$4:$B$7,0),INDEX('حضور سوريال'!$D$7:$D$36,$O217),INDEX('حضور غبريال'!$D$7:$D$36,$O217),INDEX('حضور رفائيل'!$D$7:$D$36,$O217),INDEX('حضور ميخائيل'!$D$7:$D$36,$O217)),""))</f>
        <v/>
      </c>
      <c r="R217" s="21" t="str">
        <f>IF($O217="","",IFERROR(CHOOSE(MATCH($F217,الإعدادات!$B$4:$B$7,0),INDEX('حضور سوريال'!$F$7:$F$36,$O217),INDEX('حضور غبريال'!$F$7:$F$36,$O217),INDEX('حضور رفائيل'!$F$7:$F$36,$O217),INDEX('حضور ميخائيل'!$F$7:$F$36,$O217)),""))</f>
        <v/>
      </c>
      <c r="S217" s="20" t="str">
        <f>IF($O217="","",IFERROR(CHOOSE(MATCH($F217,الإعدادات!$B$4:$B$7,0),INDEX('حضور سوريال'!$G$7:$G$36,$O217),INDEX('حضور غبريال'!$G$7:$G$36,$O217),INDEX('حضور رفائيل'!$G$7:$G$36,$O217),INDEX('حضور ميخائيل'!$G$7:$G$36,$O217)),""))</f>
        <v/>
      </c>
      <c r="T217" s="22" t="str">
        <f>IF($O217="","",IFERROR(CHOOSE(MATCH($F217,الإعدادات!$B$4:$B$7,0),INDEX('حضور سوريال'!$H$7:$H$36,$O217),INDEX('حضور غبريال'!$H$7:$H$36,$O217),INDEX('حضور رفائيل'!$H$7:$H$36,$O217),INDEX('حضور ميخائيل'!$H$7:$H$36,$O217)),""))</f>
        <v/>
      </c>
      <c r="U217" s="23" t="str">
        <f>IF($O217="","",IFERROR(CHOOSE(MATCH($F217,الإعدادات!$B$4:$B$7,0),INDEX('حضور سوريال'!$I$7:$I$36,$O217),INDEX('حضور غبريال'!$I$7:$I$36,$O217),INDEX('حضور رفائيل'!$I$7:$I$36,$O217),INDEX('حضور ميخائيل'!$I$7:$I$36,$O217)),""))</f>
        <v/>
      </c>
      <c r="V217" t="str">
        <f>IF($O217="","",IFERROR(CHOOSE(MATCH($F217,الإعدادات!$B$4:$B$7,0),INDEX('حضور سوريال'!$BM$7:$BM$36,$O217),INDEX('حضور غبريال'!$BM$7:$BM$36,$O217),INDEX('حضور رفائيل'!$BM$7:$BM$36,$O217),INDEX('حضور ميخائيل'!$BM$7:$BM$36,$O217)),""))</f>
        <v/>
      </c>
      <c r="W217" t="str">
        <f>IF(OR(V217=3,V217=4),COUNTIFS(V$6:V217,3)+COUNTIFS(V$6:V217,4),"")</f>
        <v/>
      </c>
    </row>
    <row r="218" spans="1:23" ht="25.5" customHeight="1">
      <c r="A218" s="13" t="str">
        <f t="shared" si="9"/>
        <v/>
      </c>
      <c r="B218" s="14" t="str">
        <f t="shared" si="10"/>
        <v/>
      </c>
      <c r="C218" s="15"/>
      <c r="D218" s="16"/>
      <c r="E218" s="16"/>
      <c r="F218" s="16"/>
      <c r="G218" s="16"/>
      <c r="H218" s="17"/>
      <c r="I218" s="17"/>
      <c r="J218" s="18"/>
      <c r="K218" s="16"/>
      <c r="L218" s="18"/>
      <c r="M218" s="16"/>
      <c r="N218" s="19" t="str">
        <f t="shared" si="11"/>
        <v/>
      </c>
      <c r="O218" s="19" t="str">
        <f>IF(OR(C218="",F218=""),"",COUNTIFS(F$6:F218,F218,C$6:C218,"&lt;&gt;"))</f>
        <v/>
      </c>
      <c r="P218" s="20" t="str">
        <f>IF($O218="","",IFERROR(CHOOSE(MATCH($F218,الإعدادات!$B$4:$B$7,0),INDEX('حضور سوريال'!$C$7:$C$36,$O218),INDEX('حضور غبريال'!$C$7:$C$36,$O218),INDEX('حضور رفائيل'!$C$7:$C$36,$O218),INDEX('حضور ميخائيل'!$C$7:$C$36,$O218)),""))</f>
        <v/>
      </c>
      <c r="Q218" s="20" t="str">
        <f>IF($O218="","",IFERROR(CHOOSE(MATCH($F218,الإعدادات!$B$4:$B$7,0),INDEX('حضور سوريال'!$D$7:$D$36,$O218),INDEX('حضور غبريال'!$D$7:$D$36,$O218),INDEX('حضور رفائيل'!$D$7:$D$36,$O218),INDEX('حضور ميخائيل'!$D$7:$D$36,$O218)),""))</f>
        <v/>
      </c>
      <c r="R218" s="21" t="str">
        <f>IF($O218="","",IFERROR(CHOOSE(MATCH($F218,الإعدادات!$B$4:$B$7,0),INDEX('حضور سوريال'!$F$7:$F$36,$O218),INDEX('حضور غبريال'!$F$7:$F$36,$O218),INDEX('حضور رفائيل'!$F$7:$F$36,$O218),INDEX('حضور ميخائيل'!$F$7:$F$36,$O218)),""))</f>
        <v/>
      </c>
      <c r="S218" s="20" t="str">
        <f>IF($O218="","",IFERROR(CHOOSE(MATCH($F218,الإعدادات!$B$4:$B$7,0),INDEX('حضور سوريال'!$G$7:$G$36,$O218),INDEX('حضور غبريال'!$G$7:$G$36,$O218),INDEX('حضور رفائيل'!$G$7:$G$36,$O218),INDEX('حضور ميخائيل'!$G$7:$G$36,$O218)),""))</f>
        <v/>
      </c>
      <c r="T218" s="22" t="str">
        <f>IF($O218="","",IFERROR(CHOOSE(MATCH($F218,الإعدادات!$B$4:$B$7,0),INDEX('حضور سوريال'!$H$7:$H$36,$O218),INDEX('حضور غبريال'!$H$7:$H$36,$O218),INDEX('حضور رفائيل'!$H$7:$H$36,$O218),INDEX('حضور ميخائيل'!$H$7:$H$36,$O218)),""))</f>
        <v/>
      </c>
      <c r="U218" s="23" t="str">
        <f>IF($O218="","",IFERROR(CHOOSE(MATCH($F218,الإعدادات!$B$4:$B$7,0),INDEX('حضور سوريال'!$I$7:$I$36,$O218),INDEX('حضور غبريال'!$I$7:$I$36,$O218),INDEX('حضور رفائيل'!$I$7:$I$36,$O218),INDEX('حضور ميخائيل'!$I$7:$I$36,$O218)),""))</f>
        <v/>
      </c>
      <c r="V218" t="str">
        <f>IF($O218="","",IFERROR(CHOOSE(MATCH($F218,الإعدادات!$B$4:$B$7,0),INDEX('حضور سوريال'!$BM$7:$BM$36,$O218),INDEX('حضور غبريال'!$BM$7:$BM$36,$O218),INDEX('حضور رفائيل'!$BM$7:$BM$36,$O218),INDEX('حضور ميخائيل'!$BM$7:$BM$36,$O218)),""))</f>
        <v/>
      </c>
      <c r="W218" t="str">
        <f>IF(OR(V218=3,V218=4),COUNTIFS(V$6:V218,3)+COUNTIFS(V$6:V218,4),"")</f>
        <v/>
      </c>
    </row>
    <row r="219" spans="1:23" ht="25.5" customHeight="1">
      <c r="A219" s="13" t="str">
        <f t="shared" si="9"/>
        <v/>
      </c>
      <c r="B219" s="14" t="str">
        <f t="shared" si="10"/>
        <v/>
      </c>
      <c r="C219" s="15"/>
      <c r="D219" s="16"/>
      <c r="E219" s="16"/>
      <c r="F219" s="16"/>
      <c r="G219" s="16"/>
      <c r="H219" s="17"/>
      <c r="I219" s="17"/>
      <c r="J219" s="18"/>
      <c r="K219" s="16"/>
      <c r="L219" s="18"/>
      <c r="M219" s="16"/>
      <c r="N219" s="19" t="str">
        <f t="shared" si="11"/>
        <v/>
      </c>
      <c r="O219" s="19" t="str">
        <f>IF(OR(C219="",F219=""),"",COUNTIFS(F$6:F219,F219,C$6:C219,"&lt;&gt;"))</f>
        <v/>
      </c>
      <c r="P219" s="20" t="str">
        <f>IF($O219="","",IFERROR(CHOOSE(MATCH($F219,الإعدادات!$B$4:$B$7,0),INDEX('حضور سوريال'!$C$7:$C$36,$O219),INDEX('حضور غبريال'!$C$7:$C$36,$O219),INDEX('حضور رفائيل'!$C$7:$C$36,$O219),INDEX('حضور ميخائيل'!$C$7:$C$36,$O219)),""))</f>
        <v/>
      </c>
      <c r="Q219" s="20" t="str">
        <f>IF($O219="","",IFERROR(CHOOSE(MATCH($F219,الإعدادات!$B$4:$B$7,0),INDEX('حضور سوريال'!$D$7:$D$36,$O219),INDEX('حضور غبريال'!$D$7:$D$36,$O219),INDEX('حضور رفائيل'!$D$7:$D$36,$O219),INDEX('حضور ميخائيل'!$D$7:$D$36,$O219)),""))</f>
        <v/>
      </c>
      <c r="R219" s="21" t="str">
        <f>IF($O219="","",IFERROR(CHOOSE(MATCH($F219,الإعدادات!$B$4:$B$7,0),INDEX('حضور سوريال'!$F$7:$F$36,$O219),INDEX('حضور غبريال'!$F$7:$F$36,$O219),INDEX('حضور رفائيل'!$F$7:$F$36,$O219),INDEX('حضور ميخائيل'!$F$7:$F$36,$O219)),""))</f>
        <v/>
      </c>
      <c r="S219" s="20" t="str">
        <f>IF($O219="","",IFERROR(CHOOSE(MATCH($F219,الإعدادات!$B$4:$B$7,0),INDEX('حضور سوريال'!$G$7:$G$36,$O219),INDEX('حضور غبريال'!$G$7:$G$36,$O219),INDEX('حضور رفائيل'!$G$7:$G$36,$O219),INDEX('حضور ميخائيل'!$G$7:$G$36,$O219)),""))</f>
        <v/>
      </c>
      <c r="T219" s="22" t="str">
        <f>IF($O219="","",IFERROR(CHOOSE(MATCH($F219,الإعدادات!$B$4:$B$7,0),INDEX('حضور سوريال'!$H$7:$H$36,$O219),INDEX('حضور غبريال'!$H$7:$H$36,$O219),INDEX('حضور رفائيل'!$H$7:$H$36,$O219),INDEX('حضور ميخائيل'!$H$7:$H$36,$O219)),""))</f>
        <v/>
      </c>
      <c r="U219" s="23" t="str">
        <f>IF($O219="","",IFERROR(CHOOSE(MATCH($F219,الإعدادات!$B$4:$B$7,0),INDEX('حضور سوريال'!$I$7:$I$36,$O219),INDEX('حضور غبريال'!$I$7:$I$36,$O219),INDEX('حضور رفائيل'!$I$7:$I$36,$O219),INDEX('حضور ميخائيل'!$I$7:$I$36,$O219)),""))</f>
        <v/>
      </c>
      <c r="V219" t="str">
        <f>IF($O219="","",IFERROR(CHOOSE(MATCH($F219,الإعدادات!$B$4:$B$7,0),INDEX('حضور سوريال'!$BM$7:$BM$36,$O219),INDEX('حضور غبريال'!$BM$7:$BM$36,$O219),INDEX('حضور رفائيل'!$BM$7:$BM$36,$O219),INDEX('حضور ميخائيل'!$BM$7:$BM$36,$O219)),""))</f>
        <v/>
      </c>
      <c r="W219" t="str">
        <f>IF(OR(V219=3,V219=4),COUNTIFS(V$6:V219,3)+COUNTIFS(V$6:V219,4),"")</f>
        <v/>
      </c>
    </row>
    <row r="220" spans="1:23" ht="25.5" customHeight="1">
      <c r="A220" s="13" t="str">
        <f t="shared" si="9"/>
        <v/>
      </c>
      <c r="B220" s="14" t="str">
        <f t="shared" si="10"/>
        <v/>
      </c>
      <c r="C220" s="15"/>
      <c r="D220" s="16"/>
      <c r="E220" s="16"/>
      <c r="F220" s="16"/>
      <c r="G220" s="16"/>
      <c r="H220" s="17"/>
      <c r="I220" s="17"/>
      <c r="J220" s="18"/>
      <c r="K220" s="16"/>
      <c r="L220" s="18"/>
      <c r="M220" s="16"/>
      <c r="N220" s="19" t="str">
        <f t="shared" si="11"/>
        <v/>
      </c>
      <c r="O220" s="19" t="str">
        <f>IF(OR(C220="",F220=""),"",COUNTIFS(F$6:F220,F220,C$6:C220,"&lt;&gt;"))</f>
        <v/>
      </c>
      <c r="P220" s="20" t="str">
        <f>IF($O220="","",IFERROR(CHOOSE(MATCH($F220,الإعدادات!$B$4:$B$7,0),INDEX('حضور سوريال'!$C$7:$C$36,$O220),INDEX('حضور غبريال'!$C$7:$C$36,$O220),INDEX('حضور رفائيل'!$C$7:$C$36,$O220),INDEX('حضور ميخائيل'!$C$7:$C$36,$O220)),""))</f>
        <v/>
      </c>
      <c r="Q220" s="20" t="str">
        <f>IF($O220="","",IFERROR(CHOOSE(MATCH($F220,الإعدادات!$B$4:$B$7,0),INDEX('حضور سوريال'!$D$7:$D$36,$O220),INDEX('حضور غبريال'!$D$7:$D$36,$O220),INDEX('حضور رفائيل'!$D$7:$D$36,$O220),INDEX('حضور ميخائيل'!$D$7:$D$36,$O220)),""))</f>
        <v/>
      </c>
      <c r="R220" s="21" t="str">
        <f>IF($O220="","",IFERROR(CHOOSE(MATCH($F220,الإعدادات!$B$4:$B$7,0),INDEX('حضور سوريال'!$F$7:$F$36,$O220),INDEX('حضور غبريال'!$F$7:$F$36,$O220),INDEX('حضور رفائيل'!$F$7:$F$36,$O220),INDEX('حضور ميخائيل'!$F$7:$F$36,$O220)),""))</f>
        <v/>
      </c>
      <c r="S220" s="20" t="str">
        <f>IF($O220="","",IFERROR(CHOOSE(MATCH($F220,الإعدادات!$B$4:$B$7,0),INDEX('حضور سوريال'!$G$7:$G$36,$O220),INDEX('حضور غبريال'!$G$7:$G$36,$O220),INDEX('حضور رفائيل'!$G$7:$G$36,$O220),INDEX('حضور ميخائيل'!$G$7:$G$36,$O220)),""))</f>
        <v/>
      </c>
      <c r="T220" s="22" t="str">
        <f>IF($O220="","",IFERROR(CHOOSE(MATCH($F220,الإعدادات!$B$4:$B$7,0),INDEX('حضور سوريال'!$H$7:$H$36,$O220),INDEX('حضور غبريال'!$H$7:$H$36,$O220),INDEX('حضور رفائيل'!$H$7:$H$36,$O220),INDEX('حضور ميخائيل'!$H$7:$H$36,$O220)),""))</f>
        <v/>
      </c>
      <c r="U220" s="23" t="str">
        <f>IF($O220="","",IFERROR(CHOOSE(MATCH($F220,الإعدادات!$B$4:$B$7,0),INDEX('حضور سوريال'!$I$7:$I$36,$O220),INDEX('حضور غبريال'!$I$7:$I$36,$O220),INDEX('حضور رفائيل'!$I$7:$I$36,$O220),INDEX('حضور ميخائيل'!$I$7:$I$36,$O220)),""))</f>
        <v/>
      </c>
      <c r="V220" t="str">
        <f>IF($O220="","",IFERROR(CHOOSE(MATCH($F220,الإعدادات!$B$4:$B$7,0),INDEX('حضور سوريال'!$BM$7:$BM$36,$O220),INDEX('حضور غبريال'!$BM$7:$BM$36,$O220),INDEX('حضور رفائيل'!$BM$7:$BM$36,$O220),INDEX('حضور ميخائيل'!$BM$7:$BM$36,$O220)),""))</f>
        <v/>
      </c>
      <c r="W220" t="str">
        <f>IF(OR(V220=3,V220=4),COUNTIFS(V$6:V220,3)+COUNTIFS(V$6:V220,4),"")</f>
        <v/>
      </c>
    </row>
    <row r="221" spans="1:23" ht="25.5" customHeight="1">
      <c r="A221" s="13" t="str">
        <f t="shared" si="9"/>
        <v/>
      </c>
      <c r="B221" s="14" t="str">
        <f t="shared" si="10"/>
        <v/>
      </c>
      <c r="C221" s="15"/>
      <c r="D221" s="16"/>
      <c r="E221" s="16"/>
      <c r="F221" s="16"/>
      <c r="G221" s="16"/>
      <c r="H221" s="17"/>
      <c r="I221" s="17"/>
      <c r="J221" s="18"/>
      <c r="K221" s="16"/>
      <c r="L221" s="18"/>
      <c r="M221" s="16"/>
      <c r="N221" s="19" t="str">
        <f t="shared" si="11"/>
        <v/>
      </c>
      <c r="O221" s="19" t="str">
        <f>IF(OR(C221="",F221=""),"",COUNTIFS(F$6:F221,F221,C$6:C221,"&lt;&gt;"))</f>
        <v/>
      </c>
      <c r="P221" s="20" t="str">
        <f>IF($O221="","",IFERROR(CHOOSE(MATCH($F221,الإعدادات!$B$4:$B$7,0),INDEX('حضور سوريال'!$C$7:$C$36,$O221),INDEX('حضور غبريال'!$C$7:$C$36,$O221),INDEX('حضور رفائيل'!$C$7:$C$36,$O221),INDEX('حضور ميخائيل'!$C$7:$C$36,$O221)),""))</f>
        <v/>
      </c>
      <c r="Q221" s="20" t="str">
        <f>IF($O221="","",IFERROR(CHOOSE(MATCH($F221,الإعدادات!$B$4:$B$7,0),INDEX('حضور سوريال'!$D$7:$D$36,$O221),INDEX('حضور غبريال'!$D$7:$D$36,$O221),INDEX('حضور رفائيل'!$D$7:$D$36,$O221),INDEX('حضور ميخائيل'!$D$7:$D$36,$O221)),""))</f>
        <v/>
      </c>
      <c r="R221" s="21" t="str">
        <f>IF($O221="","",IFERROR(CHOOSE(MATCH($F221,الإعدادات!$B$4:$B$7,0),INDEX('حضور سوريال'!$F$7:$F$36,$O221),INDEX('حضور غبريال'!$F$7:$F$36,$O221),INDEX('حضور رفائيل'!$F$7:$F$36,$O221),INDEX('حضور ميخائيل'!$F$7:$F$36,$O221)),""))</f>
        <v/>
      </c>
      <c r="S221" s="20" t="str">
        <f>IF($O221="","",IFERROR(CHOOSE(MATCH($F221,الإعدادات!$B$4:$B$7,0),INDEX('حضور سوريال'!$G$7:$G$36,$O221),INDEX('حضور غبريال'!$G$7:$G$36,$O221),INDEX('حضور رفائيل'!$G$7:$G$36,$O221),INDEX('حضور ميخائيل'!$G$7:$G$36,$O221)),""))</f>
        <v/>
      </c>
      <c r="T221" s="22" t="str">
        <f>IF($O221="","",IFERROR(CHOOSE(MATCH($F221,الإعدادات!$B$4:$B$7,0),INDEX('حضور سوريال'!$H$7:$H$36,$O221),INDEX('حضور غبريال'!$H$7:$H$36,$O221),INDEX('حضور رفائيل'!$H$7:$H$36,$O221),INDEX('حضور ميخائيل'!$H$7:$H$36,$O221)),""))</f>
        <v/>
      </c>
      <c r="U221" s="23" t="str">
        <f>IF($O221="","",IFERROR(CHOOSE(MATCH($F221,الإعدادات!$B$4:$B$7,0),INDEX('حضور سوريال'!$I$7:$I$36,$O221),INDEX('حضور غبريال'!$I$7:$I$36,$O221),INDEX('حضور رفائيل'!$I$7:$I$36,$O221),INDEX('حضور ميخائيل'!$I$7:$I$36,$O221)),""))</f>
        <v/>
      </c>
      <c r="V221" t="str">
        <f>IF($O221="","",IFERROR(CHOOSE(MATCH($F221,الإعدادات!$B$4:$B$7,0),INDEX('حضور سوريال'!$BM$7:$BM$36,$O221),INDEX('حضور غبريال'!$BM$7:$BM$36,$O221),INDEX('حضور رفائيل'!$BM$7:$BM$36,$O221),INDEX('حضور ميخائيل'!$BM$7:$BM$36,$O221)),""))</f>
        <v/>
      </c>
      <c r="W221" t="str">
        <f>IF(OR(V221=3,V221=4),COUNTIFS(V$6:V221,3)+COUNTIFS(V$6:V221,4),"")</f>
        <v/>
      </c>
    </row>
    <row r="222" spans="1:23" ht="25.5" customHeight="1">
      <c r="A222" s="13" t="str">
        <f t="shared" si="9"/>
        <v/>
      </c>
      <c r="B222" s="14" t="str">
        <f t="shared" si="10"/>
        <v/>
      </c>
      <c r="C222" s="15"/>
      <c r="D222" s="16"/>
      <c r="E222" s="16"/>
      <c r="F222" s="16"/>
      <c r="G222" s="16"/>
      <c r="H222" s="17"/>
      <c r="I222" s="17"/>
      <c r="J222" s="18"/>
      <c r="K222" s="16"/>
      <c r="L222" s="18"/>
      <c r="M222" s="16"/>
      <c r="N222" s="19" t="str">
        <f t="shared" si="11"/>
        <v/>
      </c>
      <c r="O222" s="19" t="str">
        <f>IF(OR(C222="",F222=""),"",COUNTIFS(F$6:F222,F222,C$6:C222,"&lt;&gt;"))</f>
        <v/>
      </c>
      <c r="P222" s="20" t="str">
        <f>IF($O222="","",IFERROR(CHOOSE(MATCH($F222,الإعدادات!$B$4:$B$7,0),INDEX('حضور سوريال'!$C$7:$C$36,$O222),INDEX('حضور غبريال'!$C$7:$C$36,$O222),INDEX('حضور رفائيل'!$C$7:$C$36,$O222),INDEX('حضور ميخائيل'!$C$7:$C$36,$O222)),""))</f>
        <v/>
      </c>
      <c r="Q222" s="20" t="str">
        <f>IF($O222="","",IFERROR(CHOOSE(MATCH($F222,الإعدادات!$B$4:$B$7,0),INDEX('حضور سوريال'!$D$7:$D$36,$O222),INDEX('حضور غبريال'!$D$7:$D$36,$O222),INDEX('حضور رفائيل'!$D$7:$D$36,$O222),INDEX('حضور ميخائيل'!$D$7:$D$36,$O222)),""))</f>
        <v/>
      </c>
      <c r="R222" s="21" t="str">
        <f>IF($O222="","",IFERROR(CHOOSE(MATCH($F222,الإعدادات!$B$4:$B$7,0),INDEX('حضور سوريال'!$F$7:$F$36,$O222),INDEX('حضور غبريال'!$F$7:$F$36,$O222),INDEX('حضور رفائيل'!$F$7:$F$36,$O222),INDEX('حضور ميخائيل'!$F$7:$F$36,$O222)),""))</f>
        <v/>
      </c>
      <c r="S222" s="20" t="str">
        <f>IF($O222="","",IFERROR(CHOOSE(MATCH($F222,الإعدادات!$B$4:$B$7,0),INDEX('حضور سوريال'!$G$7:$G$36,$O222),INDEX('حضور غبريال'!$G$7:$G$36,$O222),INDEX('حضور رفائيل'!$G$7:$G$36,$O222),INDEX('حضور ميخائيل'!$G$7:$G$36,$O222)),""))</f>
        <v/>
      </c>
      <c r="T222" s="22" t="str">
        <f>IF($O222="","",IFERROR(CHOOSE(MATCH($F222,الإعدادات!$B$4:$B$7,0),INDEX('حضور سوريال'!$H$7:$H$36,$O222),INDEX('حضور غبريال'!$H$7:$H$36,$O222),INDEX('حضور رفائيل'!$H$7:$H$36,$O222),INDEX('حضور ميخائيل'!$H$7:$H$36,$O222)),""))</f>
        <v/>
      </c>
      <c r="U222" s="23" t="str">
        <f>IF($O222="","",IFERROR(CHOOSE(MATCH($F222,الإعدادات!$B$4:$B$7,0),INDEX('حضور سوريال'!$I$7:$I$36,$O222),INDEX('حضور غبريال'!$I$7:$I$36,$O222),INDEX('حضور رفائيل'!$I$7:$I$36,$O222),INDEX('حضور ميخائيل'!$I$7:$I$36,$O222)),""))</f>
        <v/>
      </c>
      <c r="V222" t="str">
        <f>IF($O222="","",IFERROR(CHOOSE(MATCH($F222,الإعدادات!$B$4:$B$7,0),INDEX('حضور سوريال'!$BM$7:$BM$36,$O222),INDEX('حضور غبريال'!$BM$7:$BM$36,$O222),INDEX('حضور رفائيل'!$BM$7:$BM$36,$O222),INDEX('حضور ميخائيل'!$BM$7:$BM$36,$O222)),""))</f>
        <v/>
      </c>
      <c r="W222" t="str">
        <f>IF(OR(V222=3,V222=4),COUNTIFS(V$6:V222,3)+COUNTIFS(V$6:V222,4),"")</f>
        <v/>
      </c>
    </row>
    <row r="223" spans="1:23" ht="25.5" customHeight="1">
      <c r="A223" s="13" t="str">
        <f t="shared" si="9"/>
        <v/>
      </c>
      <c r="B223" s="14" t="str">
        <f t="shared" si="10"/>
        <v/>
      </c>
      <c r="C223" s="15"/>
      <c r="D223" s="16"/>
      <c r="E223" s="16"/>
      <c r="F223" s="16"/>
      <c r="G223" s="16"/>
      <c r="H223" s="17"/>
      <c r="I223" s="17"/>
      <c r="J223" s="18"/>
      <c r="K223" s="16"/>
      <c r="L223" s="18"/>
      <c r="M223" s="16"/>
      <c r="N223" s="19" t="str">
        <f t="shared" si="11"/>
        <v/>
      </c>
      <c r="O223" s="19" t="str">
        <f>IF(OR(C223="",F223=""),"",COUNTIFS(F$6:F223,F223,C$6:C223,"&lt;&gt;"))</f>
        <v/>
      </c>
      <c r="P223" s="20" t="str">
        <f>IF($O223="","",IFERROR(CHOOSE(MATCH($F223,الإعدادات!$B$4:$B$7,0),INDEX('حضور سوريال'!$C$7:$C$36,$O223),INDEX('حضور غبريال'!$C$7:$C$36,$O223),INDEX('حضور رفائيل'!$C$7:$C$36,$O223),INDEX('حضور ميخائيل'!$C$7:$C$36,$O223)),""))</f>
        <v/>
      </c>
      <c r="Q223" s="20" t="str">
        <f>IF($O223="","",IFERROR(CHOOSE(MATCH($F223,الإعدادات!$B$4:$B$7,0),INDEX('حضور سوريال'!$D$7:$D$36,$O223),INDEX('حضور غبريال'!$D$7:$D$36,$O223),INDEX('حضور رفائيل'!$D$7:$D$36,$O223),INDEX('حضور ميخائيل'!$D$7:$D$36,$O223)),""))</f>
        <v/>
      </c>
      <c r="R223" s="21" t="str">
        <f>IF($O223="","",IFERROR(CHOOSE(MATCH($F223,الإعدادات!$B$4:$B$7,0),INDEX('حضور سوريال'!$F$7:$F$36,$O223),INDEX('حضور غبريال'!$F$7:$F$36,$O223),INDEX('حضور رفائيل'!$F$7:$F$36,$O223),INDEX('حضور ميخائيل'!$F$7:$F$36,$O223)),""))</f>
        <v/>
      </c>
      <c r="S223" s="20" t="str">
        <f>IF($O223="","",IFERROR(CHOOSE(MATCH($F223,الإعدادات!$B$4:$B$7,0),INDEX('حضور سوريال'!$G$7:$G$36,$O223),INDEX('حضور غبريال'!$G$7:$G$36,$O223),INDEX('حضور رفائيل'!$G$7:$G$36,$O223),INDEX('حضور ميخائيل'!$G$7:$G$36,$O223)),""))</f>
        <v/>
      </c>
      <c r="T223" s="22" t="str">
        <f>IF($O223="","",IFERROR(CHOOSE(MATCH($F223,الإعدادات!$B$4:$B$7,0),INDEX('حضور سوريال'!$H$7:$H$36,$O223),INDEX('حضور غبريال'!$H$7:$H$36,$O223),INDEX('حضور رفائيل'!$H$7:$H$36,$O223),INDEX('حضور ميخائيل'!$H$7:$H$36,$O223)),""))</f>
        <v/>
      </c>
      <c r="U223" s="23" t="str">
        <f>IF($O223="","",IFERROR(CHOOSE(MATCH($F223,الإعدادات!$B$4:$B$7,0),INDEX('حضور سوريال'!$I$7:$I$36,$O223),INDEX('حضور غبريال'!$I$7:$I$36,$O223),INDEX('حضور رفائيل'!$I$7:$I$36,$O223),INDEX('حضور ميخائيل'!$I$7:$I$36,$O223)),""))</f>
        <v/>
      </c>
      <c r="V223" t="str">
        <f>IF($O223="","",IFERROR(CHOOSE(MATCH($F223,الإعدادات!$B$4:$B$7,0),INDEX('حضور سوريال'!$BM$7:$BM$36,$O223),INDEX('حضور غبريال'!$BM$7:$BM$36,$O223),INDEX('حضور رفائيل'!$BM$7:$BM$36,$O223),INDEX('حضور ميخائيل'!$BM$7:$BM$36,$O223)),""))</f>
        <v/>
      </c>
      <c r="W223" t="str">
        <f>IF(OR(V223=3,V223=4),COUNTIFS(V$6:V223,3)+COUNTIFS(V$6:V223,4),"")</f>
        <v/>
      </c>
    </row>
    <row r="224" spans="1:23" ht="25.5" customHeight="1">
      <c r="A224" s="13" t="str">
        <f t="shared" si="9"/>
        <v/>
      </c>
      <c r="B224" s="14" t="str">
        <f t="shared" si="10"/>
        <v/>
      </c>
      <c r="C224" s="15"/>
      <c r="D224" s="16"/>
      <c r="E224" s="16"/>
      <c r="F224" s="16"/>
      <c r="G224" s="16"/>
      <c r="H224" s="17"/>
      <c r="I224" s="17"/>
      <c r="J224" s="18"/>
      <c r="K224" s="16"/>
      <c r="L224" s="18"/>
      <c r="M224" s="16"/>
      <c r="N224" s="19" t="str">
        <f t="shared" si="11"/>
        <v/>
      </c>
      <c r="O224" s="19" t="str">
        <f>IF(OR(C224="",F224=""),"",COUNTIFS(F$6:F224,F224,C$6:C224,"&lt;&gt;"))</f>
        <v/>
      </c>
      <c r="P224" s="20" t="str">
        <f>IF($O224="","",IFERROR(CHOOSE(MATCH($F224,الإعدادات!$B$4:$B$7,0),INDEX('حضور سوريال'!$C$7:$C$36,$O224),INDEX('حضور غبريال'!$C$7:$C$36,$O224),INDEX('حضور رفائيل'!$C$7:$C$36,$O224),INDEX('حضور ميخائيل'!$C$7:$C$36,$O224)),""))</f>
        <v/>
      </c>
      <c r="Q224" s="20" t="str">
        <f>IF($O224="","",IFERROR(CHOOSE(MATCH($F224,الإعدادات!$B$4:$B$7,0),INDEX('حضور سوريال'!$D$7:$D$36,$O224),INDEX('حضور غبريال'!$D$7:$D$36,$O224),INDEX('حضور رفائيل'!$D$7:$D$36,$O224),INDEX('حضور ميخائيل'!$D$7:$D$36,$O224)),""))</f>
        <v/>
      </c>
      <c r="R224" s="21" t="str">
        <f>IF($O224="","",IFERROR(CHOOSE(MATCH($F224,الإعدادات!$B$4:$B$7,0),INDEX('حضور سوريال'!$F$7:$F$36,$O224),INDEX('حضور غبريال'!$F$7:$F$36,$O224),INDEX('حضور رفائيل'!$F$7:$F$36,$O224),INDEX('حضور ميخائيل'!$F$7:$F$36,$O224)),""))</f>
        <v/>
      </c>
      <c r="S224" s="20" t="str">
        <f>IF($O224="","",IFERROR(CHOOSE(MATCH($F224,الإعدادات!$B$4:$B$7,0),INDEX('حضور سوريال'!$G$7:$G$36,$O224),INDEX('حضور غبريال'!$G$7:$G$36,$O224),INDEX('حضور رفائيل'!$G$7:$G$36,$O224),INDEX('حضور ميخائيل'!$G$7:$G$36,$O224)),""))</f>
        <v/>
      </c>
      <c r="T224" s="22" t="str">
        <f>IF($O224="","",IFERROR(CHOOSE(MATCH($F224,الإعدادات!$B$4:$B$7,0),INDEX('حضور سوريال'!$H$7:$H$36,$O224),INDEX('حضور غبريال'!$H$7:$H$36,$O224),INDEX('حضور رفائيل'!$H$7:$H$36,$O224),INDEX('حضور ميخائيل'!$H$7:$H$36,$O224)),""))</f>
        <v/>
      </c>
      <c r="U224" s="23" t="str">
        <f>IF($O224="","",IFERROR(CHOOSE(MATCH($F224,الإعدادات!$B$4:$B$7,0),INDEX('حضور سوريال'!$I$7:$I$36,$O224),INDEX('حضور غبريال'!$I$7:$I$36,$O224),INDEX('حضور رفائيل'!$I$7:$I$36,$O224),INDEX('حضور ميخائيل'!$I$7:$I$36,$O224)),""))</f>
        <v/>
      </c>
      <c r="V224" t="str">
        <f>IF($O224="","",IFERROR(CHOOSE(MATCH($F224,الإعدادات!$B$4:$B$7,0),INDEX('حضور سوريال'!$BM$7:$BM$36,$O224),INDEX('حضور غبريال'!$BM$7:$BM$36,$O224),INDEX('حضور رفائيل'!$BM$7:$BM$36,$O224),INDEX('حضور ميخائيل'!$BM$7:$BM$36,$O224)),""))</f>
        <v/>
      </c>
      <c r="W224" t="str">
        <f>IF(OR(V224=3,V224=4),COUNTIFS(V$6:V224,3)+COUNTIFS(V$6:V224,4),"")</f>
        <v/>
      </c>
    </row>
    <row r="225" spans="1:23" ht="25.5" customHeight="1">
      <c r="A225" s="13" t="str">
        <f t="shared" si="9"/>
        <v/>
      </c>
      <c r="B225" s="14" t="str">
        <f t="shared" si="10"/>
        <v/>
      </c>
      <c r="C225" s="15"/>
      <c r="D225" s="16"/>
      <c r="E225" s="16"/>
      <c r="F225" s="16"/>
      <c r="G225" s="16"/>
      <c r="H225" s="17"/>
      <c r="I225" s="17"/>
      <c r="J225" s="18"/>
      <c r="K225" s="16"/>
      <c r="L225" s="18"/>
      <c r="M225" s="16"/>
      <c r="N225" s="19" t="str">
        <f t="shared" si="11"/>
        <v/>
      </c>
      <c r="O225" s="19" t="str">
        <f>IF(OR(C225="",F225=""),"",COUNTIFS(F$6:F225,F225,C$6:C225,"&lt;&gt;"))</f>
        <v/>
      </c>
      <c r="P225" s="20" t="str">
        <f>IF($O225="","",IFERROR(CHOOSE(MATCH($F225,الإعدادات!$B$4:$B$7,0),INDEX('حضور سوريال'!$C$7:$C$36,$O225),INDEX('حضور غبريال'!$C$7:$C$36,$O225),INDEX('حضور رفائيل'!$C$7:$C$36,$O225),INDEX('حضور ميخائيل'!$C$7:$C$36,$O225)),""))</f>
        <v/>
      </c>
      <c r="Q225" s="20" t="str">
        <f>IF($O225="","",IFERROR(CHOOSE(MATCH($F225,الإعدادات!$B$4:$B$7,0),INDEX('حضور سوريال'!$D$7:$D$36,$O225),INDEX('حضور غبريال'!$D$7:$D$36,$O225),INDEX('حضور رفائيل'!$D$7:$D$36,$O225),INDEX('حضور ميخائيل'!$D$7:$D$36,$O225)),""))</f>
        <v/>
      </c>
      <c r="R225" s="21" t="str">
        <f>IF($O225="","",IFERROR(CHOOSE(MATCH($F225,الإعدادات!$B$4:$B$7,0),INDEX('حضور سوريال'!$F$7:$F$36,$O225),INDEX('حضور غبريال'!$F$7:$F$36,$O225),INDEX('حضور رفائيل'!$F$7:$F$36,$O225),INDEX('حضور ميخائيل'!$F$7:$F$36,$O225)),""))</f>
        <v/>
      </c>
      <c r="S225" s="20" t="str">
        <f>IF($O225="","",IFERROR(CHOOSE(MATCH($F225,الإعدادات!$B$4:$B$7,0),INDEX('حضور سوريال'!$G$7:$G$36,$O225),INDEX('حضور غبريال'!$G$7:$G$36,$O225),INDEX('حضور رفائيل'!$G$7:$G$36,$O225),INDEX('حضور ميخائيل'!$G$7:$G$36,$O225)),""))</f>
        <v/>
      </c>
      <c r="T225" s="22" t="str">
        <f>IF($O225="","",IFERROR(CHOOSE(MATCH($F225,الإعدادات!$B$4:$B$7,0),INDEX('حضور سوريال'!$H$7:$H$36,$O225),INDEX('حضور غبريال'!$H$7:$H$36,$O225),INDEX('حضور رفائيل'!$H$7:$H$36,$O225),INDEX('حضور ميخائيل'!$H$7:$H$36,$O225)),""))</f>
        <v/>
      </c>
      <c r="U225" s="23" t="str">
        <f>IF($O225="","",IFERROR(CHOOSE(MATCH($F225,الإعدادات!$B$4:$B$7,0),INDEX('حضور سوريال'!$I$7:$I$36,$O225),INDEX('حضور غبريال'!$I$7:$I$36,$O225),INDEX('حضور رفائيل'!$I$7:$I$36,$O225),INDEX('حضور ميخائيل'!$I$7:$I$36,$O225)),""))</f>
        <v/>
      </c>
      <c r="V225" t="str">
        <f>IF($O225="","",IFERROR(CHOOSE(MATCH($F225,الإعدادات!$B$4:$B$7,0),INDEX('حضور سوريال'!$BM$7:$BM$36,$O225),INDEX('حضور غبريال'!$BM$7:$BM$36,$O225),INDEX('حضور رفائيل'!$BM$7:$BM$36,$O225),INDEX('حضور ميخائيل'!$BM$7:$BM$36,$O225)),""))</f>
        <v/>
      </c>
      <c r="W225" t="str">
        <f>IF(OR(V225=3,V225=4),COUNTIFS(V$6:V225,3)+COUNTIFS(V$6:V225,4),"")</f>
        <v/>
      </c>
    </row>
    <row r="226" spans="1:23" ht="25.5" customHeight="1">
      <c r="A226" s="13" t="str">
        <f t="shared" si="9"/>
        <v/>
      </c>
      <c r="B226" s="14" t="str">
        <f t="shared" si="10"/>
        <v/>
      </c>
      <c r="C226" s="15"/>
      <c r="D226" s="16"/>
      <c r="E226" s="16"/>
      <c r="F226" s="16"/>
      <c r="G226" s="16"/>
      <c r="H226" s="17"/>
      <c r="I226" s="17"/>
      <c r="J226" s="18"/>
      <c r="K226" s="16"/>
      <c r="L226" s="18"/>
      <c r="M226" s="16"/>
      <c r="N226" s="19" t="str">
        <f t="shared" si="11"/>
        <v/>
      </c>
      <c r="O226" s="19" t="str">
        <f>IF(OR(C226="",F226=""),"",COUNTIFS(F$6:F226,F226,C$6:C226,"&lt;&gt;"))</f>
        <v/>
      </c>
      <c r="P226" s="20" t="str">
        <f>IF($O226="","",IFERROR(CHOOSE(MATCH($F226,الإعدادات!$B$4:$B$7,0),INDEX('حضور سوريال'!$C$7:$C$36,$O226),INDEX('حضور غبريال'!$C$7:$C$36,$O226),INDEX('حضور رفائيل'!$C$7:$C$36,$O226),INDEX('حضور ميخائيل'!$C$7:$C$36,$O226)),""))</f>
        <v/>
      </c>
      <c r="Q226" s="20" t="str">
        <f>IF($O226="","",IFERROR(CHOOSE(MATCH($F226,الإعدادات!$B$4:$B$7,0),INDEX('حضور سوريال'!$D$7:$D$36,$O226),INDEX('حضور غبريال'!$D$7:$D$36,$O226),INDEX('حضور رفائيل'!$D$7:$D$36,$O226),INDEX('حضور ميخائيل'!$D$7:$D$36,$O226)),""))</f>
        <v/>
      </c>
      <c r="R226" s="21" t="str">
        <f>IF($O226="","",IFERROR(CHOOSE(MATCH($F226,الإعدادات!$B$4:$B$7,0),INDEX('حضور سوريال'!$F$7:$F$36,$O226),INDEX('حضور غبريال'!$F$7:$F$36,$O226),INDEX('حضور رفائيل'!$F$7:$F$36,$O226),INDEX('حضور ميخائيل'!$F$7:$F$36,$O226)),""))</f>
        <v/>
      </c>
      <c r="S226" s="20" t="str">
        <f>IF($O226="","",IFERROR(CHOOSE(MATCH($F226,الإعدادات!$B$4:$B$7,0),INDEX('حضور سوريال'!$G$7:$G$36,$O226),INDEX('حضور غبريال'!$G$7:$G$36,$O226),INDEX('حضور رفائيل'!$G$7:$G$36,$O226),INDEX('حضور ميخائيل'!$G$7:$G$36,$O226)),""))</f>
        <v/>
      </c>
      <c r="T226" s="22" t="str">
        <f>IF($O226="","",IFERROR(CHOOSE(MATCH($F226,الإعدادات!$B$4:$B$7,0),INDEX('حضور سوريال'!$H$7:$H$36,$O226),INDEX('حضور غبريال'!$H$7:$H$36,$O226),INDEX('حضور رفائيل'!$H$7:$H$36,$O226),INDEX('حضور ميخائيل'!$H$7:$H$36,$O226)),""))</f>
        <v/>
      </c>
      <c r="U226" s="23" t="str">
        <f>IF($O226="","",IFERROR(CHOOSE(MATCH($F226,الإعدادات!$B$4:$B$7,0),INDEX('حضور سوريال'!$I$7:$I$36,$O226),INDEX('حضور غبريال'!$I$7:$I$36,$O226),INDEX('حضور رفائيل'!$I$7:$I$36,$O226),INDEX('حضور ميخائيل'!$I$7:$I$36,$O226)),""))</f>
        <v/>
      </c>
      <c r="V226" t="str">
        <f>IF($O226="","",IFERROR(CHOOSE(MATCH($F226,الإعدادات!$B$4:$B$7,0),INDEX('حضور سوريال'!$BM$7:$BM$36,$O226),INDEX('حضور غبريال'!$BM$7:$BM$36,$O226),INDEX('حضور رفائيل'!$BM$7:$BM$36,$O226),INDEX('حضور ميخائيل'!$BM$7:$BM$36,$O226)),""))</f>
        <v/>
      </c>
      <c r="W226" t="str">
        <f>IF(OR(V226=3,V226=4),COUNTIFS(V$6:V226,3)+COUNTIFS(V$6:V226,4),"")</f>
        <v/>
      </c>
    </row>
    <row r="227" spans="1:23" ht="25.5" customHeight="1">
      <c r="A227" s="13" t="str">
        <f t="shared" si="9"/>
        <v/>
      </c>
      <c r="B227" s="14" t="str">
        <f t="shared" si="10"/>
        <v/>
      </c>
      <c r="C227" s="15"/>
      <c r="D227" s="16"/>
      <c r="E227" s="16"/>
      <c r="F227" s="16"/>
      <c r="G227" s="16"/>
      <c r="H227" s="17"/>
      <c r="I227" s="17"/>
      <c r="J227" s="18"/>
      <c r="K227" s="16"/>
      <c r="L227" s="18"/>
      <c r="M227" s="16"/>
      <c r="N227" s="19" t="str">
        <f t="shared" si="11"/>
        <v/>
      </c>
      <c r="O227" s="19" t="str">
        <f>IF(OR(C227="",F227=""),"",COUNTIFS(F$6:F227,F227,C$6:C227,"&lt;&gt;"))</f>
        <v/>
      </c>
      <c r="P227" s="20" t="str">
        <f>IF($O227="","",IFERROR(CHOOSE(MATCH($F227,الإعدادات!$B$4:$B$7,0),INDEX('حضور سوريال'!$C$7:$C$36,$O227),INDEX('حضور غبريال'!$C$7:$C$36,$O227),INDEX('حضور رفائيل'!$C$7:$C$36,$O227),INDEX('حضور ميخائيل'!$C$7:$C$36,$O227)),""))</f>
        <v/>
      </c>
      <c r="Q227" s="20" t="str">
        <f>IF($O227="","",IFERROR(CHOOSE(MATCH($F227,الإعدادات!$B$4:$B$7,0),INDEX('حضور سوريال'!$D$7:$D$36,$O227),INDEX('حضور غبريال'!$D$7:$D$36,$O227),INDEX('حضور رفائيل'!$D$7:$D$36,$O227),INDEX('حضور ميخائيل'!$D$7:$D$36,$O227)),""))</f>
        <v/>
      </c>
      <c r="R227" s="21" t="str">
        <f>IF($O227="","",IFERROR(CHOOSE(MATCH($F227,الإعدادات!$B$4:$B$7,0),INDEX('حضور سوريال'!$F$7:$F$36,$O227),INDEX('حضور غبريال'!$F$7:$F$36,$O227),INDEX('حضور رفائيل'!$F$7:$F$36,$O227),INDEX('حضور ميخائيل'!$F$7:$F$36,$O227)),""))</f>
        <v/>
      </c>
      <c r="S227" s="20" t="str">
        <f>IF($O227="","",IFERROR(CHOOSE(MATCH($F227,الإعدادات!$B$4:$B$7,0),INDEX('حضور سوريال'!$G$7:$G$36,$O227),INDEX('حضور غبريال'!$G$7:$G$36,$O227),INDEX('حضور رفائيل'!$G$7:$G$36,$O227),INDEX('حضور ميخائيل'!$G$7:$G$36,$O227)),""))</f>
        <v/>
      </c>
      <c r="T227" s="22" t="str">
        <f>IF($O227="","",IFERROR(CHOOSE(MATCH($F227,الإعدادات!$B$4:$B$7,0),INDEX('حضور سوريال'!$H$7:$H$36,$O227),INDEX('حضور غبريال'!$H$7:$H$36,$O227),INDEX('حضور رفائيل'!$H$7:$H$36,$O227),INDEX('حضور ميخائيل'!$H$7:$H$36,$O227)),""))</f>
        <v/>
      </c>
      <c r="U227" s="23" t="str">
        <f>IF($O227="","",IFERROR(CHOOSE(MATCH($F227,الإعدادات!$B$4:$B$7,0),INDEX('حضور سوريال'!$I$7:$I$36,$O227),INDEX('حضور غبريال'!$I$7:$I$36,$O227),INDEX('حضور رفائيل'!$I$7:$I$36,$O227),INDEX('حضور ميخائيل'!$I$7:$I$36,$O227)),""))</f>
        <v/>
      </c>
      <c r="V227" t="str">
        <f>IF($O227="","",IFERROR(CHOOSE(MATCH($F227,الإعدادات!$B$4:$B$7,0),INDEX('حضور سوريال'!$BM$7:$BM$36,$O227),INDEX('حضور غبريال'!$BM$7:$BM$36,$O227),INDEX('حضور رفائيل'!$BM$7:$BM$36,$O227),INDEX('حضور ميخائيل'!$BM$7:$BM$36,$O227)),""))</f>
        <v/>
      </c>
      <c r="W227" t="str">
        <f>IF(OR(V227=3,V227=4),COUNTIFS(V$6:V227,3)+COUNTIFS(V$6:V227,4),"")</f>
        <v/>
      </c>
    </row>
    <row r="228" spans="1:23" ht="25.5" customHeight="1">
      <c r="A228" s="13" t="str">
        <f t="shared" si="9"/>
        <v/>
      </c>
      <c r="B228" s="14" t="str">
        <f t="shared" si="10"/>
        <v/>
      </c>
      <c r="C228" s="15"/>
      <c r="D228" s="16"/>
      <c r="E228" s="16"/>
      <c r="F228" s="16"/>
      <c r="G228" s="16"/>
      <c r="H228" s="17"/>
      <c r="I228" s="17"/>
      <c r="J228" s="18"/>
      <c r="K228" s="16"/>
      <c r="L228" s="18"/>
      <c r="M228" s="16"/>
      <c r="N228" s="19" t="str">
        <f t="shared" si="11"/>
        <v/>
      </c>
      <c r="O228" s="19" t="str">
        <f>IF(OR(C228="",F228=""),"",COUNTIFS(F$6:F228,F228,C$6:C228,"&lt;&gt;"))</f>
        <v/>
      </c>
      <c r="P228" s="20" t="str">
        <f>IF($O228="","",IFERROR(CHOOSE(MATCH($F228,الإعدادات!$B$4:$B$7,0),INDEX('حضور سوريال'!$C$7:$C$36,$O228),INDEX('حضور غبريال'!$C$7:$C$36,$O228),INDEX('حضور رفائيل'!$C$7:$C$36,$O228),INDEX('حضور ميخائيل'!$C$7:$C$36,$O228)),""))</f>
        <v/>
      </c>
      <c r="Q228" s="20" t="str">
        <f>IF($O228="","",IFERROR(CHOOSE(MATCH($F228,الإعدادات!$B$4:$B$7,0),INDEX('حضور سوريال'!$D$7:$D$36,$O228),INDEX('حضور غبريال'!$D$7:$D$36,$O228),INDEX('حضور رفائيل'!$D$7:$D$36,$O228),INDEX('حضور ميخائيل'!$D$7:$D$36,$O228)),""))</f>
        <v/>
      </c>
      <c r="R228" s="21" t="str">
        <f>IF($O228="","",IFERROR(CHOOSE(MATCH($F228,الإعدادات!$B$4:$B$7,0),INDEX('حضور سوريال'!$F$7:$F$36,$O228),INDEX('حضور غبريال'!$F$7:$F$36,$O228),INDEX('حضور رفائيل'!$F$7:$F$36,$O228),INDEX('حضور ميخائيل'!$F$7:$F$36,$O228)),""))</f>
        <v/>
      </c>
      <c r="S228" s="20" t="str">
        <f>IF($O228="","",IFERROR(CHOOSE(MATCH($F228,الإعدادات!$B$4:$B$7,0),INDEX('حضور سوريال'!$G$7:$G$36,$O228),INDEX('حضور غبريال'!$G$7:$G$36,$O228),INDEX('حضور رفائيل'!$G$7:$G$36,$O228),INDEX('حضور ميخائيل'!$G$7:$G$36,$O228)),""))</f>
        <v/>
      </c>
      <c r="T228" s="22" t="str">
        <f>IF($O228="","",IFERROR(CHOOSE(MATCH($F228,الإعدادات!$B$4:$B$7,0),INDEX('حضور سوريال'!$H$7:$H$36,$O228),INDEX('حضور غبريال'!$H$7:$H$36,$O228),INDEX('حضور رفائيل'!$H$7:$H$36,$O228),INDEX('حضور ميخائيل'!$H$7:$H$36,$O228)),""))</f>
        <v/>
      </c>
      <c r="U228" s="23" t="str">
        <f>IF($O228="","",IFERROR(CHOOSE(MATCH($F228,الإعدادات!$B$4:$B$7,0),INDEX('حضور سوريال'!$I$7:$I$36,$O228),INDEX('حضور غبريال'!$I$7:$I$36,$O228),INDEX('حضور رفائيل'!$I$7:$I$36,$O228),INDEX('حضور ميخائيل'!$I$7:$I$36,$O228)),""))</f>
        <v/>
      </c>
      <c r="V228" t="str">
        <f>IF($O228="","",IFERROR(CHOOSE(MATCH($F228,الإعدادات!$B$4:$B$7,0),INDEX('حضور سوريال'!$BM$7:$BM$36,$O228),INDEX('حضور غبريال'!$BM$7:$BM$36,$O228),INDEX('حضور رفائيل'!$BM$7:$BM$36,$O228),INDEX('حضور ميخائيل'!$BM$7:$BM$36,$O228)),""))</f>
        <v/>
      </c>
      <c r="W228" t="str">
        <f>IF(OR(V228=3,V228=4),COUNTIFS(V$6:V228,3)+COUNTIFS(V$6:V228,4),"")</f>
        <v/>
      </c>
    </row>
    <row r="229" spans="1:23" ht="25.5" customHeight="1">
      <c r="A229" s="13" t="str">
        <f t="shared" si="9"/>
        <v/>
      </c>
      <c r="B229" s="14" t="str">
        <f t="shared" si="10"/>
        <v/>
      </c>
      <c r="C229" s="15"/>
      <c r="D229" s="16"/>
      <c r="E229" s="16"/>
      <c r="F229" s="16"/>
      <c r="G229" s="16"/>
      <c r="H229" s="17"/>
      <c r="I229" s="17"/>
      <c r="J229" s="18"/>
      <c r="K229" s="16"/>
      <c r="L229" s="18"/>
      <c r="M229" s="16"/>
      <c r="N229" s="19" t="str">
        <f t="shared" si="11"/>
        <v/>
      </c>
      <c r="O229" s="19" t="str">
        <f>IF(OR(C229="",F229=""),"",COUNTIFS(F$6:F229,F229,C$6:C229,"&lt;&gt;"))</f>
        <v/>
      </c>
      <c r="P229" s="20" t="str">
        <f>IF($O229="","",IFERROR(CHOOSE(MATCH($F229,الإعدادات!$B$4:$B$7,0),INDEX('حضور سوريال'!$C$7:$C$36,$O229),INDEX('حضور غبريال'!$C$7:$C$36,$O229),INDEX('حضور رفائيل'!$C$7:$C$36,$O229),INDEX('حضور ميخائيل'!$C$7:$C$36,$O229)),""))</f>
        <v/>
      </c>
      <c r="Q229" s="20" t="str">
        <f>IF($O229="","",IFERROR(CHOOSE(MATCH($F229,الإعدادات!$B$4:$B$7,0),INDEX('حضور سوريال'!$D$7:$D$36,$O229),INDEX('حضور غبريال'!$D$7:$D$36,$O229),INDEX('حضور رفائيل'!$D$7:$D$36,$O229),INDEX('حضور ميخائيل'!$D$7:$D$36,$O229)),""))</f>
        <v/>
      </c>
      <c r="R229" s="21" t="str">
        <f>IF($O229="","",IFERROR(CHOOSE(MATCH($F229,الإعدادات!$B$4:$B$7,0),INDEX('حضور سوريال'!$F$7:$F$36,$O229),INDEX('حضور غبريال'!$F$7:$F$36,$O229),INDEX('حضور رفائيل'!$F$7:$F$36,$O229),INDEX('حضور ميخائيل'!$F$7:$F$36,$O229)),""))</f>
        <v/>
      </c>
      <c r="S229" s="20" t="str">
        <f>IF($O229="","",IFERROR(CHOOSE(MATCH($F229,الإعدادات!$B$4:$B$7,0),INDEX('حضور سوريال'!$G$7:$G$36,$O229),INDEX('حضور غبريال'!$G$7:$G$36,$O229),INDEX('حضور رفائيل'!$G$7:$G$36,$O229),INDEX('حضور ميخائيل'!$G$7:$G$36,$O229)),""))</f>
        <v/>
      </c>
      <c r="T229" s="22" t="str">
        <f>IF($O229="","",IFERROR(CHOOSE(MATCH($F229,الإعدادات!$B$4:$B$7,0),INDEX('حضور سوريال'!$H$7:$H$36,$O229),INDEX('حضور غبريال'!$H$7:$H$36,$O229),INDEX('حضور رفائيل'!$H$7:$H$36,$O229),INDEX('حضور ميخائيل'!$H$7:$H$36,$O229)),""))</f>
        <v/>
      </c>
      <c r="U229" s="23" t="str">
        <f>IF($O229="","",IFERROR(CHOOSE(MATCH($F229,الإعدادات!$B$4:$B$7,0),INDEX('حضور سوريال'!$I$7:$I$36,$O229),INDEX('حضور غبريال'!$I$7:$I$36,$O229),INDEX('حضور رفائيل'!$I$7:$I$36,$O229),INDEX('حضور ميخائيل'!$I$7:$I$36,$O229)),""))</f>
        <v/>
      </c>
      <c r="V229" t="str">
        <f>IF($O229="","",IFERROR(CHOOSE(MATCH($F229,الإعدادات!$B$4:$B$7,0),INDEX('حضور سوريال'!$BM$7:$BM$36,$O229),INDEX('حضور غبريال'!$BM$7:$BM$36,$O229),INDEX('حضور رفائيل'!$BM$7:$BM$36,$O229),INDEX('حضور ميخائيل'!$BM$7:$BM$36,$O229)),""))</f>
        <v/>
      </c>
      <c r="W229" t="str">
        <f>IF(OR(V229=3,V229=4),COUNTIFS(V$6:V229,3)+COUNTIFS(V$6:V229,4),"")</f>
        <v/>
      </c>
    </row>
    <row r="230" spans="1:23" ht="25.5" customHeight="1">
      <c r="A230" s="13" t="str">
        <f t="shared" si="9"/>
        <v/>
      </c>
      <c r="B230" s="14" t="str">
        <f t="shared" si="10"/>
        <v/>
      </c>
      <c r="C230" s="15"/>
      <c r="D230" s="16"/>
      <c r="E230" s="16"/>
      <c r="F230" s="16"/>
      <c r="G230" s="16"/>
      <c r="H230" s="17"/>
      <c r="I230" s="17"/>
      <c r="J230" s="18"/>
      <c r="K230" s="16"/>
      <c r="L230" s="18"/>
      <c r="M230" s="16"/>
      <c r="N230" s="19" t="str">
        <f t="shared" si="11"/>
        <v/>
      </c>
      <c r="O230" s="19" t="str">
        <f>IF(OR(C230="",F230=""),"",COUNTIFS(F$6:F230,F230,C$6:C230,"&lt;&gt;"))</f>
        <v/>
      </c>
      <c r="P230" s="20" t="str">
        <f>IF($O230="","",IFERROR(CHOOSE(MATCH($F230,الإعدادات!$B$4:$B$7,0),INDEX('حضور سوريال'!$C$7:$C$36,$O230),INDEX('حضور غبريال'!$C$7:$C$36,$O230),INDEX('حضور رفائيل'!$C$7:$C$36,$O230),INDEX('حضور ميخائيل'!$C$7:$C$36,$O230)),""))</f>
        <v/>
      </c>
      <c r="Q230" s="20" t="str">
        <f>IF($O230="","",IFERROR(CHOOSE(MATCH($F230,الإعدادات!$B$4:$B$7,0),INDEX('حضور سوريال'!$D$7:$D$36,$O230),INDEX('حضور غبريال'!$D$7:$D$36,$O230),INDEX('حضور رفائيل'!$D$7:$D$36,$O230),INDEX('حضور ميخائيل'!$D$7:$D$36,$O230)),""))</f>
        <v/>
      </c>
      <c r="R230" s="21" t="str">
        <f>IF($O230="","",IFERROR(CHOOSE(MATCH($F230,الإعدادات!$B$4:$B$7,0),INDEX('حضور سوريال'!$F$7:$F$36,$O230),INDEX('حضور غبريال'!$F$7:$F$36,$O230),INDEX('حضور رفائيل'!$F$7:$F$36,$O230),INDEX('حضور ميخائيل'!$F$7:$F$36,$O230)),""))</f>
        <v/>
      </c>
      <c r="S230" s="20" t="str">
        <f>IF($O230="","",IFERROR(CHOOSE(MATCH($F230,الإعدادات!$B$4:$B$7,0),INDEX('حضور سوريال'!$G$7:$G$36,$O230),INDEX('حضور غبريال'!$G$7:$G$36,$O230),INDEX('حضور رفائيل'!$G$7:$G$36,$O230),INDEX('حضور ميخائيل'!$G$7:$G$36,$O230)),""))</f>
        <v/>
      </c>
      <c r="T230" s="22" t="str">
        <f>IF($O230="","",IFERROR(CHOOSE(MATCH($F230,الإعدادات!$B$4:$B$7,0),INDEX('حضور سوريال'!$H$7:$H$36,$O230),INDEX('حضور غبريال'!$H$7:$H$36,$O230),INDEX('حضور رفائيل'!$H$7:$H$36,$O230),INDEX('حضور ميخائيل'!$H$7:$H$36,$O230)),""))</f>
        <v/>
      </c>
      <c r="U230" s="23" t="str">
        <f>IF($O230="","",IFERROR(CHOOSE(MATCH($F230,الإعدادات!$B$4:$B$7,0),INDEX('حضور سوريال'!$I$7:$I$36,$O230),INDEX('حضور غبريال'!$I$7:$I$36,$O230),INDEX('حضور رفائيل'!$I$7:$I$36,$O230),INDEX('حضور ميخائيل'!$I$7:$I$36,$O230)),""))</f>
        <v/>
      </c>
      <c r="V230" t="str">
        <f>IF($O230="","",IFERROR(CHOOSE(MATCH($F230,الإعدادات!$B$4:$B$7,0),INDEX('حضور سوريال'!$BM$7:$BM$36,$O230),INDEX('حضور غبريال'!$BM$7:$BM$36,$O230),INDEX('حضور رفائيل'!$BM$7:$BM$36,$O230),INDEX('حضور ميخائيل'!$BM$7:$BM$36,$O230)),""))</f>
        <v/>
      </c>
      <c r="W230" t="str">
        <f>IF(OR(V230=3,V230=4),COUNTIFS(V$6:V230,3)+COUNTIFS(V$6:V230,4),"")</f>
        <v/>
      </c>
    </row>
    <row r="231" spans="1:23" ht="25.5" customHeight="1">
      <c r="A231" s="13" t="str">
        <f t="shared" si="9"/>
        <v/>
      </c>
      <c r="B231" s="14" t="str">
        <f t="shared" si="10"/>
        <v/>
      </c>
      <c r="C231" s="15"/>
      <c r="D231" s="16"/>
      <c r="E231" s="16"/>
      <c r="F231" s="16"/>
      <c r="G231" s="16"/>
      <c r="H231" s="17"/>
      <c r="I231" s="17"/>
      <c r="J231" s="18"/>
      <c r="K231" s="16"/>
      <c r="L231" s="18"/>
      <c r="M231" s="16"/>
      <c r="N231" s="19" t="str">
        <f t="shared" si="11"/>
        <v/>
      </c>
      <c r="O231" s="19" t="str">
        <f>IF(OR(C231="",F231=""),"",COUNTIFS(F$6:F231,F231,C$6:C231,"&lt;&gt;"))</f>
        <v/>
      </c>
      <c r="P231" s="20" t="str">
        <f>IF($O231="","",IFERROR(CHOOSE(MATCH($F231,الإعدادات!$B$4:$B$7,0),INDEX('حضور سوريال'!$C$7:$C$36,$O231),INDEX('حضور غبريال'!$C$7:$C$36,$O231),INDEX('حضور رفائيل'!$C$7:$C$36,$O231),INDEX('حضور ميخائيل'!$C$7:$C$36,$O231)),""))</f>
        <v/>
      </c>
      <c r="Q231" s="20" t="str">
        <f>IF($O231="","",IFERROR(CHOOSE(MATCH($F231,الإعدادات!$B$4:$B$7,0),INDEX('حضور سوريال'!$D$7:$D$36,$O231),INDEX('حضور غبريال'!$D$7:$D$36,$O231),INDEX('حضور رفائيل'!$D$7:$D$36,$O231),INDEX('حضور ميخائيل'!$D$7:$D$36,$O231)),""))</f>
        <v/>
      </c>
      <c r="R231" s="21" t="str">
        <f>IF($O231="","",IFERROR(CHOOSE(MATCH($F231,الإعدادات!$B$4:$B$7,0),INDEX('حضور سوريال'!$F$7:$F$36,$O231),INDEX('حضور غبريال'!$F$7:$F$36,$O231),INDEX('حضور رفائيل'!$F$7:$F$36,$O231),INDEX('حضور ميخائيل'!$F$7:$F$36,$O231)),""))</f>
        <v/>
      </c>
      <c r="S231" s="20" t="str">
        <f>IF($O231="","",IFERROR(CHOOSE(MATCH($F231,الإعدادات!$B$4:$B$7,0),INDEX('حضور سوريال'!$G$7:$G$36,$O231),INDEX('حضور غبريال'!$G$7:$G$36,$O231),INDEX('حضور رفائيل'!$G$7:$G$36,$O231),INDEX('حضور ميخائيل'!$G$7:$G$36,$O231)),""))</f>
        <v/>
      </c>
      <c r="T231" s="22" t="str">
        <f>IF($O231="","",IFERROR(CHOOSE(MATCH($F231,الإعدادات!$B$4:$B$7,0),INDEX('حضور سوريال'!$H$7:$H$36,$O231),INDEX('حضور غبريال'!$H$7:$H$36,$O231),INDEX('حضور رفائيل'!$H$7:$H$36,$O231),INDEX('حضور ميخائيل'!$H$7:$H$36,$O231)),""))</f>
        <v/>
      </c>
      <c r="U231" s="23" t="str">
        <f>IF($O231="","",IFERROR(CHOOSE(MATCH($F231,الإعدادات!$B$4:$B$7,0),INDEX('حضور سوريال'!$I$7:$I$36,$O231),INDEX('حضور غبريال'!$I$7:$I$36,$O231),INDEX('حضور رفائيل'!$I$7:$I$36,$O231),INDEX('حضور ميخائيل'!$I$7:$I$36,$O231)),""))</f>
        <v/>
      </c>
      <c r="V231" t="str">
        <f>IF($O231="","",IFERROR(CHOOSE(MATCH($F231,الإعدادات!$B$4:$B$7,0),INDEX('حضور سوريال'!$BM$7:$BM$36,$O231),INDEX('حضور غبريال'!$BM$7:$BM$36,$O231),INDEX('حضور رفائيل'!$BM$7:$BM$36,$O231),INDEX('حضور ميخائيل'!$BM$7:$BM$36,$O231)),""))</f>
        <v/>
      </c>
      <c r="W231" t="str">
        <f>IF(OR(V231=3,V231=4),COUNTIFS(V$6:V231,3)+COUNTIFS(V$6:V231,4),"")</f>
        <v/>
      </c>
    </row>
    <row r="232" spans="1:23" ht="25.5" customHeight="1">
      <c r="A232" s="13" t="str">
        <f t="shared" si="9"/>
        <v/>
      </c>
      <c r="B232" s="14" t="str">
        <f t="shared" si="10"/>
        <v/>
      </c>
      <c r="C232" s="15"/>
      <c r="D232" s="16"/>
      <c r="E232" s="16"/>
      <c r="F232" s="16"/>
      <c r="G232" s="16"/>
      <c r="H232" s="17"/>
      <c r="I232" s="17"/>
      <c r="J232" s="18"/>
      <c r="K232" s="16"/>
      <c r="L232" s="18"/>
      <c r="M232" s="16"/>
      <c r="N232" s="19" t="str">
        <f t="shared" si="11"/>
        <v/>
      </c>
      <c r="O232" s="19" t="str">
        <f>IF(OR(C232="",F232=""),"",COUNTIFS(F$6:F232,F232,C$6:C232,"&lt;&gt;"))</f>
        <v/>
      </c>
      <c r="P232" s="20" t="str">
        <f>IF($O232="","",IFERROR(CHOOSE(MATCH($F232,الإعدادات!$B$4:$B$7,0),INDEX('حضور سوريال'!$C$7:$C$36,$O232),INDEX('حضور غبريال'!$C$7:$C$36,$O232),INDEX('حضور رفائيل'!$C$7:$C$36,$O232),INDEX('حضور ميخائيل'!$C$7:$C$36,$O232)),""))</f>
        <v/>
      </c>
      <c r="Q232" s="20" t="str">
        <f>IF($O232="","",IFERROR(CHOOSE(MATCH($F232,الإعدادات!$B$4:$B$7,0),INDEX('حضور سوريال'!$D$7:$D$36,$O232),INDEX('حضور غبريال'!$D$7:$D$36,$O232),INDEX('حضور رفائيل'!$D$7:$D$36,$O232),INDEX('حضور ميخائيل'!$D$7:$D$36,$O232)),""))</f>
        <v/>
      </c>
      <c r="R232" s="21" t="str">
        <f>IF($O232="","",IFERROR(CHOOSE(MATCH($F232,الإعدادات!$B$4:$B$7,0),INDEX('حضور سوريال'!$F$7:$F$36,$O232),INDEX('حضور غبريال'!$F$7:$F$36,$O232),INDEX('حضور رفائيل'!$F$7:$F$36,$O232),INDEX('حضور ميخائيل'!$F$7:$F$36,$O232)),""))</f>
        <v/>
      </c>
      <c r="S232" s="20" t="str">
        <f>IF($O232="","",IFERROR(CHOOSE(MATCH($F232,الإعدادات!$B$4:$B$7,0),INDEX('حضور سوريال'!$G$7:$G$36,$O232),INDEX('حضور غبريال'!$G$7:$G$36,$O232),INDEX('حضور رفائيل'!$G$7:$G$36,$O232),INDEX('حضور ميخائيل'!$G$7:$G$36,$O232)),""))</f>
        <v/>
      </c>
      <c r="T232" s="22" t="str">
        <f>IF($O232="","",IFERROR(CHOOSE(MATCH($F232,الإعدادات!$B$4:$B$7,0),INDEX('حضور سوريال'!$H$7:$H$36,$O232),INDEX('حضور غبريال'!$H$7:$H$36,$O232),INDEX('حضور رفائيل'!$H$7:$H$36,$O232),INDEX('حضور ميخائيل'!$H$7:$H$36,$O232)),""))</f>
        <v/>
      </c>
      <c r="U232" s="23" t="str">
        <f>IF($O232="","",IFERROR(CHOOSE(MATCH($F232,الإعدادات!$B$4:$B$7,0),INDEX('حضور سوريال'!$I$7:$I$36,$O232),INDEX('حضور غبريال'!$I$7:$I$36,$O232),INDEX('حضور رفائيل'!$I$7:$I$36,$O232),INDEX('حضور ميخائيل'!$I$7:$I$36,$O232)),""))</f>
        <v/>
      </c>
      <c r="V232" t="str">
        <f>IF($O232="","",IFERROR(CHOOSE(MATCH($F232,الإعدادات!$B$4:$B$7,0),INDEX('حضور سوريال'!$BM$7:$BM$36,$O232),INDEX('حضور غبريال'!$BM$7:$BM$36,$O232),INDEX('حضور رفائيل'!$BM$7:$BM$36,$O232),INDEX('حضور ميخائيل'!$BM$7:$BM$36,$O232)),""))</f>
        <v/>
      </c>
      <c r="W232" t="str">
        <f>IF(OR(V232=3,V232=4),COUNTIFS(V$6:V232,3)+COUNTIFS(V$6:V232,4),"")</f>
        <v/>
      </c>
    </row>
    <row r="233" spans="1:23" ht="25.5" customHeight="1">
      <c r="A233" s="13" t="str">
        <f t="shared" si="9"/>
        <v/>
      </c>
      <c r="B233" s="14" t="str">
        <f t="shared" si="10"/>
        <v/>
      </c>
      <c r="C233" s="15"/>
      <c r="D233" s="16"/>
      <c r="E233" s="16"/>
      <c r="F233" s="16"/>
      <c r="G233" s="16"/>
      <c r="H233" s="17"/>
      <c r="I233" s="17"/>
      <c r="J233" s="18"/>
      <c r="K233" s="16"/>
      <c r="L233" s="18"/>
      <c r="M233" s="16"/>
      <c r="N233" s="19" t="str">
        <f t="shared" si="11"/>
        <v/>
      </c>
      <c r="O233" s="19" t="str">
        <f>IF(OR(C233="",F233=""),"",COUNTIFS(F$6:F233,F233,C$6:C233,"&lt;&gt;"))</f>
        <v/>
      </c>
      <c r="P233" s="20" t="str">
        <f>IF($O233="","",IFERROR(CHOOSE(MATCH($F233,الإعدادات!$B$4:$B$7,0),INDEX('حضور سوريال'!$C$7:$C$36,$O233),INDEX('حضور غبريال'!$C$7:$C$36,$O233),INDEX('حضور رفائيل'!$C$7:$C$36,$O233),INDEX('حضور ميخائيل'!$C$7:$C$36,$O233)),""))</f>
        <v/>
      </c>
      <c r="Q233" s="20" t="str">
        <f>IF($O233="","",IFERROR(CHOOSE(MATCH($F233,الإعدادات!$B$4:$B$7,0),INDEX('حضور سوريال'!$D$7:$D$36,$O233),INDEX('حضور غبريال'!$D$7:$D$36,$O233),INDEX('حضور رفائيل'!$D$7:$D$36,$O233),INDEX('حضور ميخائيل'!$D$7:$D$36,$O233)),""))</f>
        <v/>
      </c>
      <c r="R233" s="21" t="str">
        <f>IF($O233="","",IFERROR(CHOOSE(MATCH($F233,الإعدادات!$B$4:$B$7,0),INDEX('حضور سوريال'!$F$7:$F$36,$O233),INDEX('حضور غبريال'!$F$7:$F$36,$O233),INDEX('حضور رفائيل'!$F$7:$F$36,$O233),INDEX('حضور ميخائيل'!$F$7:$F$36,$O233)),""))</f>
        <v/>
      </c>
      <c r="S233" s="20" t="str">
        <f>IF($O233="","",IFERROR(CHOOSE(MATCH($F233,الإعدادات!$B$4:$B$7,0),INDEX('حضور سوريال'!$G$7:$G$36,$O233),INDEX('حضور غبريال'!$G$7:$G$36,$O233),INDEX('حضور رفائيل'!$G$7:$G$36,$O233),INDEX('حضور ميخائيل'!$G$7:$G$36,$O233)),""))</f>
        <v/>
      </c>
      <c r="T233" s="22" t="str">
        <f>IF($O233="","",IFERROR(CHOOSE(MATCH($F233,الإعدادات!$B$4:$B$7,0),INDEX('حضور سوريال'!$H$7:$H$36,$O233),INDEX('حضور غبريال'!$H$7:$H$36,$O233),INDEX('حضور رفائيل'!$H$7:$H$36,$O233),INDEX('حضور ميخائيل'!$H$7:$H$36,$O233)),""))</f>
        <v/>
      </c>
      <c r="U233" s="23" t="str">
        <f>IF($O233="","",IFERROR(CHOOSE(MATCH($F233,الإعدادات!$B$4:$B$7,0),INDEX('حضور سوريال'!$I$7:$I$36,$O233),INDEX('حضور غبريال'!$I$7:$I$36,$O233),INDEX('حضور رفائيل'!$I$7:$I$36,$O233),INDEX('حضور ميخائيل'!$I$7:$I$36,$O233)),""))</f>
        <v/>
      </c>
      <c r="V233" t="str">
        <f>IF($O233="","",IFERROR(CHOOSE(MATCH($F233,الإعدادات!$B$4:$B$7,0),INDEX('حضور سوريال'!$BM$7:$BM$36,$O233),INDEX('حضور غبريال'!$BM$7:$BM$36,$O233),INDEX('حضور رفائيل'!$BM$7:$BM$36,$O233),INDEX('حضور ميخائيل'!$BM$7:$BM$36,$O233)),""))</f>
        <v/>
      </c>
      <c r="W233" t="str">
        <f>IF(OR(V233=3,V233=4),COUNTIFS(V$6:V233,3)+COUNTIFS(V$6:V233,4),"")</f>
        <v/>
      </c>
    </row>
    <row r="234" spans="1:23" ht="25.5" customHeight="1">
      <c r="A234" s="13" t="str">
        <f t="shared" si="9"/>
        <v/>
      </c>
      <c r="B234" s="14" t="str">
        <f t="shared" si="10"/>
        <v/>
      </c>
      <c r="C234" s="15"/>
      <c r="D234" s="16"/>
      <c r="E234" s="16"/>
      <c r="F234" s="16"/>
      <c r="G234" s="16"/>
      <c r="H234" s="17"/>
      <c r="I234" s="17"/>
      <c r="J234" s="18"/>
      <c r="K234" s="16"/>
      <c r="L234" s="18"/>
      <c r="M234" s="16"/>
      <c r="N234" s="19" t="str">
        <f t="shared" si="11"/>
        <v/>
      </c>
      <c r="O234" s="19" t="str">
        <f>IF(OR(C234="",F234=""),"",COUNTIFS(F$6:F234,F234,C$6:C234,"&lt;&gt;"))</f>
        <v/>
      </c>
      <c r="P234" s="20" t="str">
        <f>IF($O234="","",IFERROR(CHOOSE(MATCH($F234,الإعدادات!$B$4:$B$7,0),INDEX('حضور سوريال'!$C$7:$C$36,$O234),INDEX('حضور غبريال'!$C$7:$C$36,$O234),INDEX('حضور رفائيل'!$C$7:$C$36,$O234),INDEX('حضور ميخائيل'!$C$7:$C$36,$O234)),""))</f>
        <v/>
      </c>
      <c r="Q234" s="20" t="str">
        <f>IF($O234="","",IFERROR(CHOOSE(MATCH($F234,الإعدادات!$B$4:$B$7,0),INDEX('حضور سوريال'!$D$7:$D$36,$O234),INDEX('حضور غبريال'!$D$7:$D$36,$O234),INDEX('حضور رفائيل'!$D$7:$D$36,$O234),INDEX('حضور ميخائيل'!$D$7:$D$36,$O234)),""))</f>
        <v/>
      </c>
      <c r="R234" s="21" t="str">
        <f>IF($O234="","",IFERROR(CHOOSE(MATCH($F234,الإعدادات!$B$4:$B$7,0),INDEX('حضور سوريال'!$F$7:$F$36,$O234),INDEX('حضور غبريال'!$F$7:$F$36,$O234),INDEX('حضور رفائيل'!$F$7:$F$36,$O234),INDEX('حضور ميخائيل'!$F$7:$F$36,$O234)),""))</f>
        <v/>
      </c>
      <c r="S234" s="20" t="str">
        <f>IF($O234="","",IFERROR(CHOOSE(MATCH($F234,الإعدادات!$B$4:$B$7,0),INDEX('حضور سوريال'!$G$7:$G$36,$O234),INDEX('حضور غبريال'!$G$7:$G$36,$O234),INDEX('حضور رفائيل'!$G$7:$G$36,$O234),INDEX('حضور ميخائيل'!$G$7:$G$36,$O234)),""))</f>
        <v/>
      </c>
      <c r="T234" s="22" t="str">
        <f>IF($O234="","",IFERROR(CHOOSE(MATCH($F234,الإعدادات!$B$4:$B$7,0),INDEX('حضور سوريال'!$H$7:$H$36,$O234),INDEX('حضور غبريال'!$H$7:$H$36,$O234),INDEX('حضور رفائيل'!$H$7:$H$36,$O234),INDEX('حضور ميخائيل'!$H$7:$H$36,$O234)),""))</f>
        <v/>
      </c>
      <c r="U234" s="23" t="str">
        <f>IF($O234="","",IFERROR(CHOOSE(MATCH($F234,الإعدادات!$B$4:$B$7,0),INDEX('حضور سوريال'!$I$7:$I$36,$O234),INDEX('حضور غبريال'!$I$7:$I$36,$O234),INDEX('حضور رفائيل'!$I$7:$I$36,$O234),INDEX('حضور ميخائيل'!$I$7:$I$36,$O234)),""))</f>
        <v/>
      </c>
      <c r="V234" t="str">
        <f>IF($O234="","",IFERROR(CHOOSE(MATCH($F234,الإعدادات!$B$4:$B$7,0),INDEX('حضور سوريال'!$BM$7:$BM$36,$O234),INDEX('حضور غبريال'!$BM$7:$BM$36,$O234),INDEX('حضور رفائيل'!$BM$7:$BM$36,$O234),INDEX('حضور ميخائيل'!$BM$7:$BM$36,$O234)),""))</f>
        <v/>
      </c>
      <c r="W234" t="str">
        <f>IF(OR(V234=3,V234=4),COUNTIFS(V$6:V234,3)+COUNTIFS(V$6:V234,4),"")</f>
        <v/>
      </c>
    </row>
    <row r="235" spans="1:23" ht="25.5" customHeight="1">
      <c r="A235" s="13" t="str">
        <f t="shared" si="9"/>
        <v/>
      </c>
      <c r="B235" s="14" t="str">
        <f t="shared" si="10"/>
        <v/>
      </c>
      <c r="C235" s="15"/>
      <c r="D235" s="16"/>
      <c r="E235" s="16"/>
      <c r="F235" s="16"/>
      <c r="G235" s="16"/>
      <c r="H235" s="17"/>
      <c r="I235" s="17"/>
      <c r="J235" s="18"/>
      <c r="K235" s="16"/>
      <c r="L235" s="18"/>
      <c r="M235" s="16"/>
      <c r="N235" s="19" t="str">
        <f t="shared" si="11"/>
        <v/>
      </c>
      <c r="O235" s="19" t="str">
        <f>IF(OR(C235="",F235=""),"",COUNTIFS(F$6:F235,F235,C$6:C235,"&lt;&gt;"))</f>
        <v/>
      </c>
      <c r="P235" s="20" t="str">
        <f>IF($O235="","",IFERROR(CHOOSE(MATCH($F235,الإعدادات!$B$4:$B$7,0),INDEX('حضور سوريال'!$C$7:$C$36,$O235),INDEX('حضور غبريال'!$C$7:$C$36,$O235),INDEX('حضور رفائيل'!$C$7:$C$36,$O235),INDEX('حضور ميخائيل'!$C$7:$C$36,$O235)),""))</f>
        <v/>
      </c>
      <c r="Q235" s="20" t="str">
        <f>IF($O235="","",IFERROR(CHOOSE(MATCH($F235,الإعدادات!$B$4:$B$7,0),INDEX('حضور سوريال'!$D$7:$D$36,$O235),INDEX('حضور غبريال'!$D$7:$D$36,$O235),INDEX('حضور رفائيل'!$D$7:$D$36,$O235),INDEX('حضور ميخائيل'!$D$7:$D$36,$O235)),""))</f>
        <v/>
      </c>
      <c r="R235" s="21" t="str">
        <f>IF($O235="","",IFERROR(CHOOSE(MATCH($F235,الإعدادات!$B$4:$B$7,0),INDEX('حضور سوريال'!$F$7:$F$36,$O235),INDEX('حضور غبريال'!$F$7:$F$36,$O235),INDEX('حضور رفائيل'!$F$7:$F$36,$O235),INDEX('حضور ميخائيل'!$F$7:$F$36,$O235)),""))</f>
        <v/>
      </c>
      <c r="S235" s="20" t="str">
        <f>IF($O235="","",IFERROR(CHOOSE(MATCH($F235,الإعدادات!$B$4:$B$7,0),INDEX('حضور سوريال'!$G$7:$G$36,$O235),INDEX('حضور غبريال'!$G$7:$G$36,$O235),INDEX('حضور رفائيل'!$G$7:$G$36,$O235),INDEX('حضور ميخائيل'!$G$7:$G$36,$O235)),""))</f>
        <v/>
      </c>
      <c r="T235" s="22" t="str">
        <f>IF($O235="","",IFERROR(CHOOSE(MATCH($F235,الإعدادات!$B$4:$B$7,0),INDEX('حضور سوريال'!$H$7:$H$36,$O235),INDEX('حضور غبريال'!$H$7:$H$36,$O235),INDEX('حضور رفائيل'!$H$7:$H$36,$O235),INDEX('حضور ميخائيل'!$H$7:$H$36,$O235)),""))</f>
        <v/>
      </c>
      <c r="U235" s="23" t="str">
        <f>IF($O235="","",IFERROR(CHOOSE(MATCH($F235,الإعدادات!$B$4:$B$7,0),INDEX('حضور سوريال'!$I$7:$I$36,$O235),INDEX('حضور غبريال'!$I$7:$I$36,$O235),INDEX('حضور رفائيل'!$I$7:$I$36,$O235),INDEX('حضور ميخائيل'!$I$7:$I$36,$O235)),""))</f>
        <v/>
      </c>
      <c r="V235" t="str">
        <f>IF($O235="","",IFERROR(CHOOSE(MATCH($F235,الإعدادات!$B$4:$B$7,0),INDEX('حضور سوريال'!$BM$7:$BM$36,$O235),INDEX('حضور غبريال'!$BM$7:$BM$36,$O235),INDEX('حضور رفائيل'!$BM$7:$BM$36,$O235),INDEX('حضور ميخائيل'!$BM$7:$BM$36,$O235)),""))</f>
        <v/>
      </c>
      <c r="W235" t="str">
        <f>IF(OR(V235=3,V235=4),COUNTIFS(V$6:V235,3)+COUNTIFS(V$6:V235,4),"")</f>
        <v/>
      </c>
    </row>
    <row r="236" spans="1:23" ht="25.5" customHeight="1">
      <c r="A236" s="13" t="str">
        <f t="shared" si="9"/>
        <v/>
      </c>
      <c r="B236" s="14" t="str">
        <f t="shared" si="10"/>
        <v/>
      </c>
      <c r="C236" s="15"/>
      <c r="D236" s="16"/>
      <c r="E236" s="16"/>
      <c r="F236" s="16"/>
      <c r="G236" s="16"/>
      <c r="H236" s="17"/>
      <c r="I236" s="17"/>
      <c r="J236" s="18"/>
      <c r="K236" s="16"/>
      <c r="L236" s="18"/>
      <c r="M236" s="16"/>
      <c r="N236" s="19" t="str">
        <f t="shared" si="11"/>
        <v/>
      </c>
      <c r="O236" s="19" t="str">
        <f>IF(OR(C236="",F236=""),"",COUNTIFS(F$6:F236,F236,C$6:C236,"&lt;&gt;"))</f>
        <v/>
      </c>
      <c r="P236" s="20" t="str">
        <f>IF($O236="","",IFERROR(CHOOSE(MATCH($F236,الإعدادات!$B$4:$B$7,0),INDEX('حضور سوريال'!$C$7:$C$36,$O236),INDEX('حضور غبريال'!$C$7:$C$36,$O236),INDEX('حضور رفائيل'!$C$7:$C$36,$O236),INDEX('حضور ميخائيل'!$C$7:$C$36,$O236)),""))</f>
        <v/>
      </c>
      <c r="Q236" s="20" t="str">
        <f>IF($O236="","",IFERROR(CHOOSE(MATCH($F236,الإعدادات!$B$4:$B$7,0),INDEX('حضور سوريال'!$D$7:$D$36,$O236),INDEX('حضور غبريال'!$D$7:$D$36,$O236),INDEX('حضور رفائيل'!$D$7:$D$36,$O236),INDEX('حضور ميخائيل'!$D$7:$D$36,$O236)),""))</f>
        <v/>
      </c>
      <c r="R236" s="21" t="str">
        <f>IF($O236="","",IFERROR(CHOOSE(MATCH($F236,الإعدادات!$B$4:$B$7,0),INDEX('حضور سوريال'!$F$7:$F$36,$O236),INDEX('حضور غبريال'!$F$7:$F$36,$O236),INDEX('حضور رفائيل'!$F$7:$F$36,$O236),INDEX('حضور ميخائيل'!$F$7:$F$36,$O236)),""))</f>
        <v/>
      </c>
      <c r="S236" s="20" t="str">
        <f>IF($O236="","",IFERROR(CHOOSE(MATCH($F236,الإعدادات!$B$4:$B$7,0),INDEX('حضور سوريال'!$G$7:$G$36,$O236),INDEX('حضور غبريال'!$G$7:$G$36,$O236),INDEX('حضور رفائيل'!$G$7:$G$36,$O236),INDEX('حضور ميخائيل'!$G$7:$G$36,$O236)),""))</f>
        <v/>
      </c>
      <c r="T236" s="22" t="str">
        <f>IF($O236="","",IFERROR(CHOOSE(MATCH($F236,الإعدادات!$B$4:$B$7,0),INDEX('حضور سوريال'!$H$7:$H$36,$O236),INDEX('حضور غبريال'!$H$7:$H$36,$O236),INDEX('حضور رفائيل'!$H$7:$H$36,$O236),INDEX('حضور ميخائيل'!$H$7:$H$36,$O236)),""))</f>
        <v/>
      </c>
      <c r="U236" s="23" t="str">
        <f>IF($O236="","",IFERROR(CHOOSE(MATCH($F236,الإعدادات!$B$4:$B$7,0),INDEX('حضور سوريال'!$I$7:$I$36,$O236),INDEX('حضور غبريال'!$I$7:$I$36,$O236),INDEX('حضور رفائيل'!$I$7:$I$36,$O236),INDEX('حضور ميخائيل'!$I$7:$I$36,$O236)),""))</f>
        <v/>
      </c>
      <c r="V236" t="str">
        <f>IF($O236="","",IFERROR(CHOOSE(MATCH($F236,الإعدادات!$B$4:$B$7,0),INDEX('حضور سوريال'!$BM$7:$BM$36,$O236),INDEX('حضور غبريال'!$BM$7:$BM$36,$O236),INDEX('حضور رفائيل'!$BM$7:$BM$36,$O236),INDEX('حضور ميخائيل'!$BM$7:$BM$36,$O236)),""))</f>
        <v/>
      </c>
      <c r="W236" t="str">
        <f>IF(OR(V236=3,V236=4),COUNTIFS(V$6:V236,3)+COUNTIFS(V$6:V236,4),"")</f>
        <v/>
      </c>
    </row>
    <row r="237" spans="1:23" ht="25.5" customHeight="1">
      <c r="A237" s="13" t="str">
        <f t="shared" si="9"/>
        <v/>
      </c>
      <c r="B237" s="14" t="str">
        <f t="shared" si="10"/>
        <v/>
      </c>
      <c r="C237" s="15"/>
      <c r="D237" s="16"/>
      <c r="E237" s="16"/>
      <c r="F237" s="16"/>
      <c r="G237" s="16"/>
      <c r="H237" s="17"/>
      <c r="I237" s="17"/>
      <c r="J237" s="18"/>
      <c r="K237" s="16"/>
      <c r="L237" s="18"/>
      <c r="M237" s="16"/>
      <c r="N237" s="19" t="str">
        <f t="shared" si="11"/>
        <v/>
      </c>
      <c r="O237" s="19" t="str">
        <f>IF(OR(C237="",F237=""),"",COUNTIFS(F$6:F237,F237,C$6:C237,"&lt;&gt;"))</f>
        <v/>
      </c>
      <c r="P237" s="20" t="str">
        <f>IF($O237="","",IFERROR(CHOOSE(MATCH($F237,الإعدادات!$B$4:$B$7,0),INDEX('حضور سوريال'!$C$7:$C$36,$O237),INDEX('حضور غبريال'!$C$7:$C$36,$O237),INDEX('حضور رفائيل'!$C$7:$C$36,$O237),INDEX('حضور ميخائيل'!$C$7:$C$36,$O237)),""))</f>
        <v/>
      </c>
      <c r="Q237" s="20" t="str">
        <f>IF($O237="","",IFERROR(CHOOSE(MATCH($F237,الإعدادات!$B$4:$B$7,0),INDEX('حضور سوريال'!$D$7:$D$36,$O237),INDEX('حضور غبريال'!$D$7:$D$36,$O237),INDEX('حضور رفائيل'!$D$7:$D$36,$O237),INDEX('حضور ميخائيل'!$D$7:$D$36,$O237)),""))</f>
        <v/>
      </c>
      <c r="R237" s="21" t="str">
        <f>IF($O237="","",IFERROR(CHOOSE(MATCH($F237,الإعدادات!$B$4:$B$7,0),INDEX('حضور سوريال'!$F$7:$F$36,$O237),INDEX('حضور غبريال'!$F$7:$F$36,$O237),INDEX('حضور رفائيل'!$F$7:$F$36,$O237),INDEX('حضور ميخائيل'!$F$7:$F$36,$O237)),""))</f>
        <v/>
      </c>
      <c r="S237" s="20" t="str">
        <f>IF($O237="","",IFERROR(CHOOSE(MATCH($F237,الإعدادات!$B$4:$B$7,0),INDEX('حضور سوريال'!$G$7:$G$36,$O237),INDEX('حضور غبريال'!$G$7:$G$36,$O237),INDEX('حضور رفائيل'!$G$7:$G$36,$O237),INDEX('حضور ميخائيل'!$G$7:$G$36,$O237)),""))</f>
        <v/>
      </c>
      <c r="T237" s="22" t="str">
        <f>IF($O237="","",IFERROR(CHOOSE(MATCH($F237,الإعدادات!$B$4:$B$7,0),INDEX('حضور سوريال'!$H$7:$H$36,$O237),INDEX('حضور غبريال'!$H$7:$H$36,$O237),INDEX('حضور رفائيل'!$H$7:$H$36,$O237),INDEX('حضور ميخائيل'!$H$7:$H$36,$O237)),""))</f>
        <v/>
      </c>
      <c r="U237" s="23" t="str">
        <f>IF($O237="","",IFERROR(CHOOSE(MATCH($F237,الإعدادات!$B$4:$B$7,0),INDEX('حضور سوريال'!$I$7:$I$36,$O237),INDEX('حضور غبريال'!$I$7:$I$36,$O237),INDEX('حضور رفائيل'!$I$7:$I$36,$O237),INDEX('حضور ميخائيل'!$I$7:$I$36,$O237)),""))</f>
        <v/>
      </c>
      <c r="V237" t="str">
        <f>IF($O237="","",IFERROR(CHOOSE(MATCH($F237,الإعدادات!$B$4:$B$7,0),INDEX('حضور سوريال'!$BM$7:$BM$36,$O237),INDEX('حضور غبريال'!$BM$7:$BM$36,$O237),INDEX('حضور رفائيل'!$BM$7:$BM$36,$O237),INDEX('حضور ميخائيل'!$BM$7:$BM$36,$O237)),""))</f>
        <v/>
      </c>
      <c r="W237" t="str">
        <f>IF(OR(V237=3,V237=4),COUNTIFS(V$6:V237,3)+COUNTIFS(V$6:V237,4),"")</f>
        <v/>
      </c>
    </row>
    <row r="238" spans="1:23" ht="25.5" customHeight="1">
      <c r="A238" s="13" t="str">
        <f t="shared" si="9"/>
        <v/>
      </c>
      <c r="B238" s="14" t="str">
        <f t="shared" si="10"/>
        <v/>
      </c>
      <c r="C238" s="15"/>
      <c r="D238" s="16"/>
      <c r="E238" s="16"/>
      <c r="F238" s="16"/>
      <c r="G238" s="16"/>
      <c r="H238" s="17"/>
      <c r="I238" s="17"/>
      <c r="J238" s="18"/>
      <c r="K238" s="16"/>
      <c r="L238" s="18"/>
      <c r="M238" s="16"/>
      <c r="N238" s="19" t="str">
        <f t="shared" si="11"/>
        <v/>
      </c>
      <c r="O238" s="19" t="str">
        <f>IF(OR(C238="",F238=""),"",COUNTIFS(F$6:F238,F238,C$6:C238,"&lt;&gt;"))</f>
        <v/>
      </c>
      <c r="P238" s="20" t="str">
        <f>IF($O238="","",IFERROR(CHOOSE(MATCH($F238,الإعدادات!$B$4:$B$7,0),INDEX('حضور سوريال'!$C$7:$C$36,$O238),INDEX('حضور غبريال'!$C$7:$C$36,$O238),INDEX('حضور رفائيل'!$C$7:$C$36,$O238),INDEX('حضور ميخائيل'!$C$7:$C$36,$O238)),""))</f>
        <v/>
      </c>
      <c r="Q238" s="20" t="str">
        <f>IF($O238="","",IFERROR(CHOOSE(MATCH($F238,الإعدادات!$B$4:$B$7,0),INDEX('حضور سوريال'!$D$7:$D$36,$O238),INDEX('حضور غبريال'!$D$7:$D$36,$O238),INDEX('حضور رفائيل'!$D$7:$D$36,$O238),INDEX('حضور ميخائيل'!$D$7:$D$36,$O238)),""))</f>
        <v/>
      </c>
      <c r="R238" s="21" t="str">
        <f>IF($O238="","",IFERROR(CHOOSE(MATCH($F238,الإعدادات!$B$4:$B$7,0),INDEX('حضور سوريال'!$F$7:$F$36,$O238),INDEX('حضور غبريال'!$F$7:$F$36,$O238),INDEX('حضور رفائيل'!$F$7:$F$36,$O238),INDEX('حضور ميخائيل'!$F$7:$F$36,$O238)),""))</f>
        <v/>
      </c>
      <c r="S238" s="20" t="str">
        <f>IF($O238="","",IFERROR(CHOOSE(MATCH($F238,الإعدادات!$B$4:$B$7,0),INDEX('حضور سوريال'!$G$7:$G$36,$O238),INDEX('حضور غبريال'!$G$7:$G$36,$O238),INDEX('حضور رفائيل'!$G$7:$G$36,$O238),INDEX('حضور ميخائيل'!$G$7:$G$36,$O238)),""))</f>
        <v/>
      </c>
      <c r="T238" s="22" t="str">
        <f>IF($O238="","",IFERROR(CHOOSE(MATCH($F238,الإعدادات!$B$4:$B$7,0),INDEX('حضور سوريال'!$H$7:$H$36,$O238),INDEX('حضور غبريال'!$H$7:$H$36,$O238),INDEX('حضور رفائيل'!$H$7:$H$36,$O238),INDEX('حضور ميخائيل'!$H$7:$H$36,$O238)),""))</f>
        <v/>
      </c>
      <c r="U238" s="23" t="str">
        <f>IF($O238="","",IFERROR(CHOOSE(MATCH($F238,الإعدادات!$B$4:$B$7,0),INDEX('حضور سوريال'!$I$7:$I$36,$O238),INDEX('حضور غبريال'!$I$7:$I$36,$O238),INDEX('حضور رفائيل'!$I$7:$I$36,$O238),INDEX('حضور ميخائيل'!$I$7:$I$36,$O238)),""))</f>
        <v/>
      </c>
      <c r="V238" t="str">
        <f>IF($O238="","",IFERROR(CHOOSE(MATCH($F238,الإعدادات!$B$4:$B$7,0),INDEX('حضور سوريال'!$BM$7:$BM$36,$O238),INDEX('حضور غبريال'!$BM$7:$BM$36,$O238),INDEX('حضور رفائيل'!$BM$7:$BM$36,$O238),INDEX('حضور ميخائيل'!$BM$7:$BM$36,$O238)),""))</f>
        <v/>
      </c>
      <c r="W238" t="str">
        <f>IF(OR(V238=3,V238=4),COUNTIFS(V$6:V238,3)+COUNTIFS(V$6:V238,4),"")</f>
        <v/>
      </c>
    </row>
    <row r="239" spans="1:23" ht="25.5" customHeight="1">
      <c r="A239" s="13" t="str">
        <f t="shared" si="9"/>
        <v/>
      </c>
      <c r="B239" s="14" t="str">
        <f t="shared" si="10"/>
        <v/>
      </c>
      <c r="C239" s="15"/>
      <c r="D239" s="16"/>
      <c r="E239" s="16"/>
      <c r="F239" s="16"/>
      <c r="G239" s="16"/>
      <c r="H239" s="17"/>
      <c r="I239" s="17"/>
      <c r="J239" s="18"/>
      <c r="K239" s="16"/>
      <c r="L239" s="18"/>
      <c r="M239" s="16"/>
      <c r="N239" s="19" t="str">
        <f t="shared" si="11"/>
        <v/>
      </c>
      <c r="O239" s="19" t="str">
        <f>IF(OR(C239="",F239=""),"",COUNTIFS(F$6:F239,F239,C$6:C239,"&lt;&gt;"))</f>
        <v/>
      </c>
      <c r="P239" s="20" t="str">
        <f>IF($O239="","",IFERROR(CHOOSE(MATCH($F239,الإعدادات!$B$4:$B$7,0),INDEX('حضور سوريال'!$C$7:$C$36,$O239),INDEX('حضور غبريال'!$C$7:$C$36,$O239),INDEX('حضور رفائيل'!$C$7:$C$36,$O239),INDEX('حضور ميخائيل'!$C$7:$C$36,$O239)),""))</f>
        <v/>
      </c>
      <c r="Q239" s="20" t="str">
        <f>IF($O239="","",IFERROR(CHOOSE(MATCH($F239,الإعدادات!$B$4:$B$7,0),INDEX('حضور سوريال'!$D$7:$D$36,$O239),INDEX('حضور غبريال'!$D$7:$D$36,$O239),INDEX('حضور رفائيل'!$D$7:$D$36,$O239),INDEX('حضور ميخائيل'!$D$7:$D$36,$O239)),""))</f>
        <v/>
      </c>
      <c r="R239" s="21" t="str">
        <f>IF($O239="","",IFERROR(CHOOSE(MATCH($F239,الإعدادات!$B$4:$B$7,0),INDEX('حضور سوريال'!$F$7:$F$36,$O239),INDEX('حضور غبريال'!$F$7:$F$36,$O239),INDEX('حضور رفائيل'!$F$7:$F$36,$O239),INDEX('حضور ميخائيل'!$F$7:$F$36,$O239)),""))</f>
        <v/>
      </c>
      <c r="S239" s="20" t="str">
        <f>IF($O239="","",IFERROR(CHOOSE(MATCH($F239,الإعدادات!$B$4:$B$7,0),INDEX('حضور سوريال'!$G$7:$G$36,$O239),INDEX('حضور غبريال'!$G$7:$G$36,$O239),INDEX('حضور رفائيل'!$G$7:$G$36,$O239),INDEX('حضور ميخائيل'!$G$7:$G$36,$O239)),""))</f>
        <v/>
      </c>
      <c r="T239" s="22" t="str">
        <f>IF($O239="","",IFERROR(CHOOSE(MATCH($F239,الإعدادات!$B$4:$B$7,0),INDEX('حضور سوريال'!$H$7:$H$36,$O239),INDEX('حضور غبريال'!$H$7:$H$36,$O239),INDEX('حضور رفائيل'!$H$7:$H$36,$O239),INDEX('حضور ميخائيل'!$H$7:$H$36,$O239)),""))</f>
        <v/>
      </c>
      <c r="U239" s="23" t="str">
        <f>IF($O239="","",IFERROR(CHOOSE(MATCH($F239,الإعدادات!$B$4:$B$7,0),INDEX('حضور سوريال'!$I$7:$I$36,$O239),INDEX('حضور غبريال'!$I$7:$I$36,$O239),INDEX('حضور رفائيل'!$I$7:$I$36,$O239),INDEX('حضور ميخائيل'!$I$7:$I$36,$O239)),""))</f>
        <v/>
      </c>
      <c r="V239" t="str">
        <f>IF($O239="","",IFERROR(CHOOSE(MATCH($F239,الإعدادات!$B$4:$B$7,0),INDEX('حضور سوريال'!$BM$7:$BM$36,$O239),INDEX('حضور غبريال'!$BM$7:$BM$36,$O239),INDEX('حضور رفائيل'!$BM$7:$BM$36,$O239),INDEX('حضور ميخائيل'!$BM$7:$BM$36,$O239)),""))</f>
        <v/>
      </c>
      <c r="W239" t="str">
        <f>IF(OR(V239=3,V239=4),COUNTIFS(V$6:V239,3)+COUNTIFS(V$6:V239,4),"")</f>
        <v/>
      </c>
    </row>
    <row r="240" spans="1:23" ht="25.5" customHeight="1">
      <c r="A240" s="13" t="str">
        <f t="shared" si="9"/>
        <v/>
      </c>
      <c r="B240" s="14" t="str">
        <f t="shared" si="10"/>
        <v/>
      </c>
      <c r="C240" s="15"/>
      <c r="D240" s="16"/>
      <c r="E240" s="16"/>
      <c r="F240" s="16"/>
      <c r="G240" s="16"/>
      <c r="H240" s="17"/>
      <c r="I240" s="17"/>
      <c r="J240" s="18"/>
      <c r="K240" s="16"/>
      <c r="L240" s="18"/>
      <c r="M240" s="16"/>
      <c r="N240" s="19" t="str">
        <f t="shared" si="11"/>
        <v/>
      </c>
      <c r="O240" s="19" t="str">
        <f>IF(OR(C240="",F240=""),"",COUNTIFS(F$6:F240,F240,C$6:C240,"&lt;&gt;"))</f>
        <v/>
      </c>
      <c r="P240" s="20" t="str">
        <f>IF($O240="","",IFERROR(CHOOSE(MATCH($F240,الإعدادات!$B$4:$B$7,0),INDEX('حضور سوريال'!$C$7:$C$36,$O240),INDEX('حضور غبريال'!$C$7:$C$36,$O240),INDEX('حضور رفائيل'!$C$7:$C$36,$O240),INDEX('حضور ميخائيل'!$C$7:$C$36,$O240)),""))</f>
        <v/>
      </c>
      <c r="Q240" s="20" t="str">
        <f>IF($O240="","",IFERROR(CHOOSE(MATCH($F240,الإعدادات!$B$4:$B$7,0),INDEX('حضور سوريال'!$D$7:$D$36,$O240),INDEX('حضور غبريال'!$D$7:$D$36,$O240),INDEX('حضور رفائيل'!$D$7:$D$36,$O240),INDEX('حضور ميخائيل'!$D$7:$D$36,$O240)),""))</f>
        <v/>
      </c>
      <c r="R240" s="21" t="str">
        <f>IF($O240="","",IFERROR(CHOOSE(MATCH($F240,الإعدادات!$B$4:$B$7,0),INDEX('حضور سوريال'!$F$7:$F$36,$O240),INDEX('حضور غبريال'!$F$7:$F$36,$O240),INDEX('حضور رفائيل'!$F$7:$F$36,$O240),INDEX('حضور ميخائيل'!$F$7:$F$36,$O240)),""))</f>
        <v/>
      </c>
      <c r="S240" s="20" t="str">
        <f>IF($O240="","",IFERROR(CHOOSE(MATCH($F240,الإعدادات!$B$4:$B$7,0),INDEX('حضور سوريال'!$G$7:$G$36,$O240),INDEX('حضور غبريال'!$G$7:$G$36,$O240),INDEX('حضور رفائيل'!$G$7:$G$36,$O240),INDEX('حضور ميخائيل'!$G$7:$G$36,$O240)),""))</f>
        <v/>
      </c>
      <c r="T240" s="22" t="str">
        <f>IF($O240="","",IFERROR(CHOOSE(MATCH($F240,الإعدادات!$B$4:$B$7,0),INDEX('حضور سوريال'!$H$7:$H$36,$O240),INDEX('حضور غبريال'!$H$7:$H$36,$O240),INDEX('حضور رفائيل'!$H$7:$H$36,$O240),INDEX('حضور ميخائيل'!$H$7:$H$36,$O240)),""))</f>
        <v/>
      </c>
      <c r="U240" s="23" t="str">
        <f>IF($O240="","",IFERROR(CHOOSE(MATCH($F240,الإعدادات!$B$4:$B$7,0),INDEX('حضور سوريال'!$I$7:$I$36,$O240),INDEX('حضور غبريال'!$I$7:$I$36,$O240),INDEX('حضور رفائيل'!$I$7:$I$36,$O240),INDEX('حضور ميخائيل'!$I$7:$I$36,$O240)),""))</f>
        <v/>
      </c>
      <c r="V240" t="str">
        <f>IF($O240="","",IFERROR(CHOOSE(MATCH($F240,الإعدادات!$B$4:$B$7,0),INDEX('حضور سوريال'!$BM$7:$BM$36,$O240),INDEX('حضور غبريال'!$BM$7:$BM$36,$O240),INDEX('حضور رفائيل'!$BM$7:$BM$36,$O240),INDEX('حضور ميخائيل'!$BM$7:$BM$36,$O240)),""))</f>
        <v/>
      </c>
      <c r="W240" t="str">
        <f>IF(OR(V240=3,V240=4),COUNTIFS(V$6:V240,3)+COUNTIFS(V$6:V240,4),"")</f>
        <v/>
      </c>
    </row>
    <row r="241" spans="1:23" ht="25.5" customHeight="1">
      <c r="A241" s="13" t="str">
        <f t="shared" si="9"/>
        <v/>
      </c>
      <c r="B241" s="14" t="str">
        <f t="shared" si="10"/>
        <v/>
      </c>
      <c r="C241" s="15"/>
      <c r="D241" s="16"/>
      <c r="E241" s="16"/>
      <c r="F241" s="16"/>
      <c r="G241" s="16"/>
      <c r="H241" s="17"/>
      <c r="I241" s="17"/>
      <c r="J241" s="18"/>
      <c r="K241" s="16"/>
      <c r="L241" s="18"/>
      <c r="M241" s="16"/>
      <c r="N241" s="19" t="str">
        <f t="shared" si="11"/>
        <v/>
      </c>
      <c r="O241" s="19" t="str">
        <f>IF(OR(C241="",F241=""),"",COUNTIFS(F$6:F241,F241,C$6:C241,"&lt;&gt;"))</f>
        <v/>
      </c>
      <c r="P241" s="20" t="str">
        <f>IF($O241="","",IFERROR(CHOOSE(MATCH($F241,الإعدادات!$B$4:$B$7,0),INDEX('حضور سوريال'!$C$7:$C$36,$O241),INDEX('حضور غبريال'!$C$7:$C$36,$O241),INDEX('حضور رفائيل'!$C$7:$C$36,$O241),INDEX('حضور ميخائيل'!$C$7:$C$36,$O241)),""))</f>
        <v/>
      </c>
      <c r="Q241" s="20" t="str">
        <f>IF($O241="","",IFERROR(CHOOSE(MATCH($F241,الإعدادات!$B$4:$B$7,0),INDEX('حضور سوريال'!$D$7:$D$36,$O241),INDEX('حضور غبريال'!$D$7:$D$36,$O241),INDEX('حضور رفائيل'!$D$7:$D$36,$O241),INDEX('حضور ميخائيل'!$D$7:$D$36,$O241)),""))</f>
        <v/>
      </c>
      <c r="R241" s="21" t="str">
        <f>IF($O241="","",IFERROR(CHOOSE(MATCH($F241,الإعدادات!$B$4:$B$7,0),INDEX('حضور سوريال'!$F$7:$F$36,$O241),INDEX('حضور غبريال'!$F$7:$F$36,$O241),INDEX('حضور رفائيل'!$F$7:$F$36,$O241),INDEX('حضور ميخائيل'!$F$7:$F$36,$O241)),""))</f>
        <v/>
      </c>
      <c r="S241" s="20" t="str">
        <f>IF($O241="","",IFERROR(CHOOSE(MATCH($F241,الإعدادات!$B$4:$B$7,0),INDEX('حضور سوريال'!$G$7:$G$36,$O241),INDEX('حضور غبريال'!$G$7:$G$36,$O241),INDEX('حضور رفائيل'!$G$7:$G$36,$O241),INDEX('حضور ميخائيل'!$G$7:$G$36,$O241)),""))</f>
        <v/>
      </c>
      <c r="T241" s="22" t="str">
        <f>IF($O241="","",IFERROR(CHOOSE(MATCH($F241,الإعدادات!$B$4:$B$7,0),INDEX('حضور سوريال'!$H$7:$H$36,$O241),INDEX('حضور غبريال'!$H$7:$H$36,$O241),INDEX('حضور رفائيل'!$H$7:$H$36,$O241),INDEX('حضور ميخائيل'!$H$7:$H$36,$O241)),""))</f>
        <v/>
      </c>
      <c r="U241" s="23" t="str">
        <f>IF($O241="","",IFERROR(CHOOSE(MATCH($F241,الإعدادات!$B$4:$B$7,0),INDEX('حضور سوريال'!$I$7:$I$36,$O241),INDEX('حضور غبريال'!$I$7:$I$36,$O241),INDEX('حضور رفائيل'!$I$7:$I$36,$O241),INDEX('حضور ميخائيل'!$I$7:$I$36,$O241)),""))</f>
        <v/>
      </c>
      <c r="V241" t="str">
        <f>IF($O241="","",IFERROR(CHOOSE(MATCH($F241,الإعدادات!$B$4:$B$7,0),INDEX('حضور سوريال'!$BM$7:$BM$36,$O241),INDEX('حضور غبريال'!$BM$7:$BM$36,$O241),INDEX('حضور رفائيل'!$BM$7:$BM$36,$O241),INDEX('حضور ميخائيل'!$BM$7:$BM$36,$O241)),""))</f>
        <v/>
      </c>
      <c r="W241" t="str">
        <f>IF(OR(V241=3,V241=4),COUNTIFS(V$6:V241,3)+COUNTIFS(V$6:V241,4),"")</f>
        <v/>
      </c>
    </row>
    <row r="242" spans="1:23" ht="25.5" customHeight="1">
      <c r="A242" s="13" t="str">
        <f t="shared" si="9"/>
        <v/>
      </c>
      <c r="B242" s="14" t="str">
        <f t="shared" si="10"/>
        <v/>
      </c>
      <c r="C242" s="15"/>
      <c r="D242" s="16"/>
      <c r="E242" s="16"/>
      <c r="F242" s="16"/>
      <c r="G242" s="16"/>
      <c r="H242" s="17"/>
      <c r="I242" s="17"/>
      <c r="J242" s="18"/>
      <c r="K242" s="16"/>
      <c r="L242" s="18"/>
      <c r="M242" s="16"/>
      <c r="N242" s="19" t="str">
        <f t="shared" si="11"/>
        <v/>
      </c>
      <c r="O242" s="19" t="str">
        <f>IF(OR(C242="",F242=""),"",COUNTIFS(F$6:F242,F242,C$6:C242,"&lt;&gt;"))</f>
        <v/>
      </c>
      <c r="P242" s="20" t="str">
        <f>IF($O242="","",IFERROR(CHOOSE(MATCH($F242,الإعدادات!$B$4:$B$7,0),INDEX('حضور سوريال'!$C$7:$C$36,$O242),INDEX('حضور غبريال'!$C$7:$C$36,$O242),INDEX('حضور رفائيل'!$C$7:$C$36,$O242),INDEX('حضور ميخائيل'!$C$7:$C$36,$O242)),""))</f>
        <v/>
      </c>
      <c r="Q242" s="20" t="str">
        <f>IF($O242="","",IFERROR(CHOOSE(MATCH($F242,الإعدادات!$B$4:$B$7,0),INDEX('حضور سوريال'!$D$7:$D$36,$O242),INDEX('حضور غبريال'!$D$7:$D$36,$O242),INDEX('حضور رفائيل'!$D$7:$D$36,$O242),INDEX('حضور ميخائيل'!$D$7:$D$36,$O242)),""))</f>
        <v/>
      </c>
      <c r="R242" s="21" t="str">
        <f>IF($O242="","",IFERROR(CHOOSE(MATCH($F242,الإعدادات!$B$4:$B$7,0),INDEX('حضور سوريال'!$F$7:$F$36,$O242),INDEX('حضور غبريال'!$F$7:$F$36,$O242),INDEX('حضور رفائيل'!$F$7:$F$36,$O242),INDEX('حضور ميخائيل'!$F$7:$F$36,$O242)),""))</f>
        <v/>
      </c>
      <c r="S242" s="20" t="str">
        <f>IF($O242="","",IFERROR(CHOOSE(MATCH($F242,الإعدادات!$B$4:$B$7,0),INDEX('حضور سوريال'!$G$7:$G$36,$O242),INDEX('حضور غبريال'!$G$7:$G$36,$O242),INDEX('حضور رفائيل'!$G$7:$G$36,$O242),INDEX('حضور ميخائيل'!$G$7:$G$36,$O242)),""))</f>
        <v/>
      </c>
      <c r="T242" s="22" t="str">
        <f>IF($O242="","",IFERROR(CHOOSE(MATCH($F242,الإعدادات!$B$4:$B$7,0),INDEX('حضور سوريال'!$H$7:$H$36,$O242),INDEX('حضور غبريال'!$H$7:$H$36,$O242),INDEX('حضور رفائيل'!$H$7:$H$36,$O242),INDEX('حضور ميخائيل'!$H$7:$H$36,$O242)),""))</f>
        <v/>
      </c>
      <c r="U242" s="23" t="str">
        <f>IF($O242="","",IFERROR(CHOOSE(MATCH($F242,الإعدادات!$B$4:$B$7,0),INDEX('حضور سوريال'!$I$7:$I$36,$O242),INDEX('حضور غبريال'!$I$7:$I$36,$O242),INDEX('حضور رفائيل'!$I$7:$I$36,$O242),INDEX('حضور ميخائيل'!$I$7:$I$36,$O242)),""))</f>
        <v/>
      </c>
      <c r="V242" t="str">
        <f>IF($O242="","",IFERROR(CHOOSE(MATCH($F242,الإعدادات!$B$4:$B$7,0),INDEX('حضور سوريال'!$BM$7:$BM$36,$O242),INDEX('حضور غبريال'!$BM$7:$BM$36,$O242),INDEX('حضور رفائيل'!$BM$7:$BM$36,$O242),INDEX('حضور ميخائيل'!$BM$7:$BM$36,$O242)),""))</f>
        <v/>
      </c>
      <c r="W242" t="str">
        <f>IF(OR(V242=3,V242=4),COUNTIFS(V$6:V242,3)+COUNTIFS(V$6:V242,4),"")</f>
        <v/>
      </c>
    </row>
    <row r="243" spans="1:23" ht="25.5" customHeight="1">
      <c r="A243" s="13" t="str">
        <f t="shared" si="9"/>
        <v/>
      </c>
      <c r="B243" s="14" t="str">
        <f t="shared" si="10"/>
        <v/>
      </c>
      <c r="C243" s="15"/>
      <c r="D243" s="16"/>
      <c r="E243" s="16"/>
      <c r="F243" s="16"/>
      <c r="G243" s="16"/>
      <c r="H243" s="17"/>
      <c r="I243" s="17"/>
      <c r="J243" s="18"/>
      <c r="K243" s="16"/>
      <c r="L243" s="18"/>
      <c r="M243" s="16"/>
      <c r="N243" s="19" t="str">
        <f t="shared" si="11"/>
        <v/>
      </c>
      <c r="O243" s="19" t="str">
        <f>IF(OR(C243="",F243=""),"",COUNTIFS(F$6:F243,F243,C$6:C243,"&lt;&gt;"))</f>
        <v/>
      </c>
      <c r="P243" s="20" t="str">
        <f>IF($O243="","",IFERROR(CHOOSE(MATCH($F243,الإعدادات!$B$4:$B$7,0),INDEX('حضور سوريال'!$C$7:$C$36,$O243),INDEX('حضور غبريال'!$C$7:$C$36,$O243),INDEX('حضور رفائيل'!$C$7:$C$36,$O243),INDEX('حضور ميخائيل'!$C$7:$C$36,$O243)),""))</f>
        <v/>
      </c>
      <c r="Q243" s="20" t="str">
        <f>IF($O243="","",IFERROR(CHOOSE(MATCH($F243,الإعدادات!$B$4:$B$7,0),INDEX('حضور سوريال'!$D$7:$D$36,$O243),INDEX('حضور غبريال'!$D$7:$D$36,$O243),INDEX('حضور رفائيل'!$D$7:$D$36,$O243),INDEX('حضور ميخائيل'!$D$7:$D$36,$O243)),""))</f>
        <v/>
      </c>
      <c r="R243" s="21" t="str">
        <f>IF($O243="","",IFERROR(CHOOSE(MATCH($F243,الإعدادات!$B$4:$B$7,0),INDEX('حضور سوريال'!$F$7:$F$36,$O243),INDEX('حضور غبريال'!$F$7:$F$36,$O243),INDEX('حضور رفائيل'!$F$7:$F$36,$O243),INDEX('حضور ميخائيل'!$F$7:$F$36,$O243)),""))</f>
        <v/>
      </c>
      <c r="S243" s="20" t="str">
        <f>IF($O243="","",IFERROR(CHOOSE(MATCH($F243,الإعدادات!$B$4:$B$7,0),INDEX('حضور سوريال'!$G$7:$G$36,$O243),INDEX('حضور غبريال'!$G$7:$G$36,$O243),INDEX('حضور رفائيل'!$G$7:$G$36,$O243),INDEX('حضور ميخائيل'!$G$7:$G$36,$O243)),""))</f>
        <v/>
      </c>
      <c r="T243" s="22" t="str">
        <f>IF($O243="","",IFERROR(CHOOSE(MATCH($F243,الإعدادات!$B$4:$B$7,0),INDEX('حضور سوريال'!$H$7:$H$36,$O243),INDEX('حضور غبريال'!$H$7:$H$36,$O243),INDEX('حضور رفائيل'!$H$7:$H$36,$O243),INDEX('حضور ميخائيل'!$H$7:$H$36,$O243)),""))</f>
        <v/>
      </c>
      <c r="U243" s="23" t="str">
        <f>IF($O243="","",IFERROR(CHOOSE(MATCH($F243,الإعدادات!$B$4:$B$7,0),INDEX('حضور سوريال'!$I$7:$I$36,$O243),INDEX('حضور غبريال'!$I$7:$I$36,$O243),INDEX('حضور رفائيل'!$I$7:$I$36,$O243),INDEX('حضور ميخائيل'!$I$7:$I$36,$O243)),""))</f>
        <v/>
      </c>
      <c r="V243" t="str">
        <f>IF($O243="","",IFERROR(CHOOSE(MATCH($F243,الإعدادات!$B$4:$B$7,0),INDEX('حضور سوريال'!$BM$7:$BM$36,$O243),INDEX('حضور غبريال'!$BM$7:$BM$36,$O243),INDEX('حضور رفائيل'!$BM$7:$BM$36,$O243),INDEX('حضور ميخائيل'!$BM$7:$BM$36,$O243)),""))</f>
        <v/>
      </c>
      <c r="W243" t="str">
        <f>IF(OR(V243=3,V243=4),COUNTIFS(V$6:V243,3)+COUNTIFS(V$6:V243,4),"")</f>
        <v/>
      </c>
    </row>
    <row r="244" spans="1:23" ht="25.5" customHeight="1">
      <c r="A244" s="13" t="str">
        <f t="shared" si="9"/>
        <v/>
      </c>
      <c r="B244" s="14" t="str">
        <f t="shared" si="10"/>
        <v/>
      </c>
      <c r="C244" s="15"/>
      <c r="D244" s="16"/>
      <c r="E244" s="16"/>
      <c r="F244" s="16"/>
      <c r="G244" s="16"/>
      <c r="H244" s="17"/>
      <c r="I244" s="17"/>
      <c r="J244" s="18"/>
      <c r="K244" s="16"/>
      <c r="L244" s="18"/>
      <c r="M244" s="16"/>
      <c r="N244" s="19" t="str">
        <f t="shared" si="11"/>
        <v/>
      </c>
      <c r="O244" s="19" t="str">
        <f>IF(OR(C244="",F244=""),"",COUNTIFS(F$6:F244,F244,C$6:C244,"&lt;&gt;"))</f>
        <v/>
      </c>
      <c r="P244" s="20" t="str">
        <f>IF($O244="","",IFERROR(CHOOSE(MATCH($F244,الإعدادات!$B$4:$B$7,0),INDEX('حضور سوريال'!$C$7:$C$36,$O244),INDEX('حضور غبريال'!$C$7:$C$36,$O244),INDEX('حضور رفائيل'!$C$7:$C$36,$O244),INDEX('حضور ميخائيل'!$C$7:$C$36,$O244)),""))</f>
        <v/>
      </c>
      <c r="Q244" s="20" t="str">
        <f>IF($O244="","",IFERROR(CHOOSE(MATCH($F244,الإعدادات!$B$4:$B$7,0),INDEX('حضور سوريال'!$D$7:$D$36,$O244),INDEX('حضور غبريال'!$D$7:$D$36,$O244),INDEX('حضور رفائيل'!$D$7:$D$36,$O244),INDEX('حضور ميخائيل'!$D$7:$D$36,$O244)),""))</f>
        <v/>
      </c>
      <c r="R244" s="21" t="str">
        <f>IF($O244="","",IFERROR(CHOOSE(MATCH($F244,الإعدادات!$B$4:$B$7,0),INDEX('حضور سوريال'!$F$7:$F$36,$O244),INDEX('حضور غبريال'!$F$7:$F$36,$O244),INDEX('حضور رفائيل'!$F$7:$F$36,$O244),INDEX('حضور ميخائيل'!$F$7:$F$36,$O244)),""))</f>
        <v/>
      </c>
      <c r="S244" s="20" t="str">
        <f>IF($O244="","",IFERROR(CHOOSE(MATCH($F244,الإعدادات!$B$4:$B$7,0),INDEX('حضور سوريال'!$G$7:$G$36,$O244),INDEX('حضور غبريال'!$G$7:$G$36,$O244),INDEX('حضور رفائيل'!$G$7:$G$36,$O244),INDEX('حضور ميخائيل'!$G$7:$G$36,$O244)),""))</f>
        <v/>
      </c>
      <c r="T244" s="22" t="str">
        <f>IF($O244="","",IFERROR(CHOOSE(MATCH($F244,الإعدادات!$B$4:$B$7,0),INDEX('حضور سوريال'!$H$7:$H$36,$O244),INDEX('حضور غبريال'!$H$7:$H$36,$O244),INDEX('حضور رفائيل'!$H$7:$H$36,$O244),INDEX('حضور ميخائيل'!$H$7:$H$36,$O244)),""))</f>
        <v/>
      </c>
      <c r="U244" s="23" t="str">
        <f>IF($O244="","",IFERROR(CHOOSE(MATCH($F244,الإعدادات!$B$4:$B$7,0),INDEX('حضور سوريال'!$I$7:$I$36,$O244),INDEX('حضور غبريال'!$I$7:$I$36,$O244),INDEX('حضور رفائيل'!$I$7:$I$36,$O244),INDEX('حضور ميخائيل'!$I$7:$I$36,$O244)),""))</f>
        <v/>
      </c>
      <c r="V244" t="str">
        <f>IF($O244="","",IFERROR(CHOOSE(MATCH($F244,الإعدادات!$B$4:$B$7,0),INDEX('حضور سوريال'!$BM$7:$BM$36,$O244),INDEX('حضور غبريال'!$BM$7:$BM$36,$O244),INDEX('حضور رفائيل'!$BM$7:$BM$36,$O244),INDEX('حضور ميخائيل'!$BM$7:$BM$36,$O244)),""))</f>
        <v/>
      </c>
      <c r="W244" t="str">
        <f>IF(OR(V244=3,V244=4),COUNTIFS(V$6:V244,3)+COUNTIFS(V$6:V244,4),"")</f>
        <v/>
      </c>
    </row>
    <row r="245" spans="1:23" ht="25.5" customHeight="1">
      <c r="A245" s="13" t="str">
        <f t="shared" si="9"/>
        <v/>
      </c>
      <c r="B245" s="14" t="str">
        <f t="shared" si="10"/>
        <v/>
      </c>
      <c r="C245" s="15"/>
      <c r="D245" s="16"/>
      <c r="E245" s="16"/>
      <c r="F245" s="16"/>
      <c r="G245" s="16"/>
      <c r="H245" s="17"/>
      <c r="I245" s="17"/>
      <c r="J245" s="18"/>
      <c r="K245" s="16"/>
      <c r="L245" s="18"/>
      <c r="M245" s="16"/>
      <c r="N245" s="19" t="str">
        <f t="shared" si="11"/>
        <v/>
      </c>
      <c r="O245" s="19" t="str">
        <f>IF(OR(C245="",F245=""),"",COUNTIFS(F$6:F245,F245,C$6:C245,"&lt;&gt;"))</f>
        <v/>
      </c>
      <c r="P245" s="20" t="str">
        <f>IF($O245="","",IFERROR(CHOOSE(MATCH($F245,الإعدادات!$B$4:$B$7,0),INDEX('حضور سوريال'!$C$7:$C$36,$O245),INDEX('حضور غبريال'!$C$7:$C$36,$O245),INDEX('حضور رفائيل'!$C$7:$C$36,$O245),INDEX('حضور ميخائيل'!$C$7:$C$36,$O245)),""))</f>
        <v/>
      </c>
      <c r="Q245" s="20" t="str">
        <f>IF($O245="","",IFERROR(CHOOSE(MATCH($F245,الإعدادات!$B$4:$B$7,0),INDEX('حضور سوريال'!$D$7:$D$36,$O245),INDEX('حضور غبريال'!$D$7:$D$36,$O245),INDEX('حضور رفائيل'!$D$7:$D$36,$O245),INDEX('حضور ميخائيل'!$D$7:$D$36,$O245)),""))</f>
        <v/>
      </c>
      <c r="R245" s="21" t="str">
        <f>IF($O245="","",IFERROR(CHOOSE(MATCH($F245,الإعدادات!$B$4:$B$7,0),INDEX('حضور سوريال'!$F$7:$F$36,$O245),INDEX('حضور غبريال'!$F$7:$F$36,$O245),INDEX('حضور رفائيل'!$F$7:$F$36,$O245),INDEX('حضور ميخائيل'!$F$7:$F$36,$O245)),""))</f>
        <v/>
      </c>
      <c r="S245" s="20" t="str">
        <f>IF($O245="","",IFERROR(CHOOSE(MATCH($F245,الإعدادات!$B$4:$B$7,0),INDEX('حضور سوريال'!$G$7:$G$36,$O245),INDEX('حضور غبريال'!$G$7:$G$36,$O245),INDEX('حضور رفائيل'!$G$7:$G$36,$O245),INDEX('حضور ميخائيل'!$G$7:$G$36,$O245)),""))</f>
        <v/>
      </c>
      <c r="T245" s="22" t="str">
        <f>IF($O245="","",IFERROR(CHOOSE(MATCH($F245,الإعدادات!$B$4:$B$7,0),INDEX('حضور سوريال'!$H$7:$H$36,$O245),INDEX('حضور غبريال'!$H$7:$H$36,$O245),INDEX('حضور رفائيل'!$H$7:$H$36,$O245),INDEX('حضور ميخائيل'!$H$7:$H$36,$O245)),""))</f>
        <v/>
      </c>
      <c r="U245" s="23" t="str">
        <f>IF($O245="","",IFERROR(CHOOSE(MATCH($F245,الإعدادات!$B$4:$B$7,0),INDEX('حضور سوريال'!$I$7:$I$36,$O245),INDEX('حضور غبريال'!$I$7:$I$36,$O245),INDEX('حضور رفائيل'!$I$7:$I$36,$O245),INDEX('حضور ميخائيل'!$I$7:$I$36,$O245)),""))</f>
        <v/>
      </c>
      <c r="V245" t="str">
        <f>IF($O245="","",IFERROR(CHOOSE(MATCH($F245,الإعدادات!$B$4:$B$7,0),INDEX('حضور سوريال'!$BM$7:$BM$36,$O245),INDEX('حضور غبريال'!$BM$7:$BM$36,$O245),INDEX('حضور رفائيل'!$BM$7:$BM$36,$O245),INDEX('حضور ميخائيل'!$BM$7:$BM$36,$O245)),""))</f>
        <v/>
      </c>
      <c r="W245" t="str">
        <f>IF(OR(V245=3,V245=4),COUNTIFS(V$6:V245,3)+COUNTIFS(V$6:V245,4),"")</f>
        <v/>
      </c>
    </row>
    <row r="246" spans="1:23" ht="25.5" customHeight="1">
      <c r="A246" s="13" t="str">
        <f t="shared" si="9"/>
        <v/>
      </c>
      <c r="B246" s="14" t="str">
        <f t="shared" si="10"/>
        <v/>
      </c>
      <c r="C246" s="15"/>
      <c r="D246" s="16"/>
      <c r="E246" s="16"/>
      <c r="F246" s="16"/>
      <c r="G246" s="16"/>
      <c r="H246" s="17"/>
      <c r="I246" s="17"/>
      <c r="J246" s="18"/>
      <c r="K246" s="16"/>
      <c r="L246" s="18"/>
      <c r="M246" s="16"/>
      <c r="N246" s="19" t="str">
        <f t="shared" si="11"/>
        <v/>
      </c>
      <c r="O246" s="19" t="str">
        <f>IF(OR(C246="",F246=""),"",COUNTIFS(F$6:F246,F246,C$6:C246,"&lt;&gt;"))</f>
        <v/>
      </c>
      <c r="P246" s="20" t="str">
        <f>IF($O246="","",IFERROR(CHOOSE(MATCH($F246,الإعدادات!$B$4:$B$7,0),INDEX('حضور سوريال'!$C$7:$C$36,$O246),INDEX('حضور غبريال'!$C$7:$C$36,$O246),INDEX('حضور رفائيل'!$C$7:$C$36,$O246),INDEX('حضور ميخائيل'!$C$7:$C$36,$O246)),""))</f>
        <v/>
      </c>
      <c r="Q246" s="20" t="str">
        <f>IF($O246="","",IFERROR(CHOOSE(MATCH($F246,الإعدادات!$B$4:$B$7,0),INDEX('حضور سوريال'!$D$7:$D$36,$O246),INDEX('حضور غبريال'!$D$7:$D$36,$O246),INDEX('حضور رفائيل'!$D$7:$D$36,$O246),INDEX('حضور ميخائيل'!$D$7:$D$36,$O246)),""))</f>
        <v/>
      </c>
      <c r="R246" s="21" t="str">
        <f>IF($O246="","",IFERROR(CHOOSE(MATCH($F246,الإعدادات!$B$4:$B$7,0),INDEX('حضور سوريال'!$F$7:$F$36,$O246),INDEX('حضور غبريال'!$F$7:$F$36,$O246),INDEX('حضور رفائيل'!$F$7:$F$36,$O246),INDEX('حضور ميخائيل'!$F$7:$F$36,$O246)),""))</f>
        <v/>
      </c>
      <c r="S246" s="20" t="str">
        <f>IF($O246="","",IFERROR(CHOOSE(MATCH($F246,الإعدادات!$B$4:$B$7,0),INDEX('حضور سوريال'!$G$7:$G$36,$O246),INDEX('حضور غبريال'!$G$7:$G$36,$O246),INDEX('حضور رفائيل'!$G$7:$G$36,$O246),INDEX('حضور ميخائيل'!$G$7:$G$36,$O246)),""))</f>
        <v/>
      </c>
      <c r="T246" s="22" t="str">
        <f>IF($O246="","",IFERROR(CHOOSE(MATCH($F246,الإعدادات!$B$4:$B$7,0),INDEX('حضور سوريال'!$H$7:$H$36,$O246),INDEX('حضور غبريال'!$H$7:$H$36,$O246),INDEX('حضور رفائيل'!$H$7:$H$36,$O246),INDEX('حضور ميخائيل'!$H$7:$H$36,$O246)),""))</f>
        <v/>
      </c>
      <c r="U246" s="23" t="str">
        <f>IF($O246="","",IFERROR(CHOOSE(MATCH($F246,الإعدادات!$B$4:$B$7,0),INDEX('حضور سوريال'!$I$7:$I$36,$O246),INDEX('حضور غبريال'!$I$7:$I$36,$O246),INDEX('حضور رفائيل'!$I$7:$I$36,$O246),INDEX('حضور ميخائيل'!$I$7:$I$36,$O246)),""))</f>
        <v/>
      </c>
      <c r="V246" t="str">
        <f>IF($O246="","",IFERROR(CHOOSE(MATCH($F246,الإعدادات!$B$4:$B$7,0),INDEX('حضور سوريال'!$BM$7:$BM$36,$O246),INDEX('حضور غبريال'!$BM$7:$BM$36,$O246),INDEX('حضور رفائيل'!$BM$7:$BM$36,$O246),INDEX('حضور ميخائيل'!$BM$7:$BM$36,$O246)),""))</f>
        <v/>
      </c>
      <c r="W246" t="str">
        <f>IF(OR(V246=3,V246=4),COUNTIFS(V$6:V246,3)+COUNTIFS(V$6:V246,4),"")</f>
        <v/>
      </c>
    </row>
    <row r="247" spans="1:23" ht="25.5" customHeight="1">
      <c r="A247" s="13" t="str">
        <f t="shared" si="9"/>
        <v/>
      </c>
      <c r="B247" s="14" t="str">
        <f t="shared" si="10"/>
        <v/>
      </c>
      <c r="C247" s="15"/>
      <c r="D247" s="16"/>
      <c r="E247" s="16"/>
      <c r="F247" s="16"/>
      <c r="G247" s="16"/>
      <c r="H247" s="17"/>
      <c r="I247" s="17"/>
      <c r="J247" s="18"/>
      <c r="K247" s="16"/>
      <c r="L247" s="18"/>
      <c r="M247" s="16"/>
      <c r="N247" s="19" t="str">
        <f t="shared" si="11"/>
        <v/>
      </c>
      <c r="O247" s="19" t="str">
        <f>IF(OR(C247="",F247=""),"",COUNTIFS(F$6:F247,F247,C$6:C247,"&lt;&gt;"))</f>
        <v/>
      </c>
      <c r="P247" s="20" t="str">
        <f>IF($O247="","",IFERROR(CHOOSE(MATCH($F247,الإعدادات!$B$4:$B$7,0),INDEX('حضور سوريال'!$C$7:$C$36,$O247),INDEX('حضور غبريال'!$C$7:$C$36,$O247),INDEX('حضور رفائيل'!$C$7:$C$36,$O247),INDEX('حضور ميخائيل'!$C$7:$C$36,$O247)),""))</f>
        <v/>
      </c>
      <c r="Q247" s="20" t="str">
        <f>IF($O247="","",IFERROR(CHOOSE(MATCH($F247,الإعدادات!$B$4:$B$7,0),INDEX('حضور سوريال'!$D$7:$D$36,$O247),INDEX('حضور غبريال'!$D$7:$D$36,$O247),INDEX('حضور رفائيل'!$D$7:$D$36,$O247),INDEX('حضور ميخائيل'!$D$7:$D$36,$O247)),""))</f>
        <v/>
      </c>
      <c r="R247" s="21" t="str">
        <f>IF($O247="","",IFERROR(CHOOSE(MATCH($F247,الإعدادات!$B$4:$B$7,0),INDEX('حضور سوريال'!$F$7:$F$36,$O247),INDEX('حضور غبريال'!$F$7:$F$36,$O247),INDEX('حضور رفائيل'!$F$7:$F$36,$O247),INDEX('حضور ميخائيل'!$F$7:$F$36,$O247)),""))</f>
        <v/>
      </c>
      <c r="S247" s="20" t="str">
        <f>IF($O247="","",IFERROR(CHOOSE(MATCH($F247,الإعدادات!$B$4:$B$7,0),INDEX('حضور سوريال'!$G$7:$G$36,$O247),INDEX('حضور غبريال'!$G$7:$G$36,$O247),INDEX('حضور رفائيل'!$G$7:$G$36,$O247),INDEX('حضور ميخائيل'!$G$7:$G$36,$O247)),""))</f>
        <v/>
      </c>
      <c r="T247" s="22" t="str">
        <f>IF($O247="","",IFERROR(CHOOSE(MATCH($F247,الإعدادات!$B$4:$B$7,0),INDEX('حضور سوريال'!$H$7:$H$36,$O247),INDEX('حضور غبريال'!$H$7:$H$36,$O247),INDEX('حضور رفائيل'!$H$7:$H$36,$O247),INDEX('حضور ميخائيل'!$H$7:$H$36,$O247)),""))</f>
        <v/>
      </c>
      <c r="U247" s="23" t="str">
        <f>IF($O247="","",IFERROR(CHOOSE(MATCH($F247,الإعدادات!$B$4:$B$7,0),INDEX('حضور سوريال'!$I$7:$I$36,$O247),INDEX('حضور غبريال'!$I$7:$I$36,$O247),INDEX('حضور رفائيل'!$I$7:$I$36,$O247),INDEX('حضور ميخائيل'!$I$7:$I$36,$O247)),""))</f>
        <v/>
      </c>
      <c r="V247" t="str">
        <f>IF($O247="","",IFERROR(CHOOSE(MATCH($F247,الإعدادات!$B$4:$B$7,0),INDEX('حضور سوريال'!$BM$7:$BM$36,$O247),INDEX('حضور غبريال'!$BM$7:$BM$36,$O247),INDEX('حضور رفائيل'!$BM$7:$BM$36,$O247),INDEX('حضور ميخائيل'!$BM$7:$BM$36,$O247)),""))</f>
        <v/>
      </c>
      <c r="W247" t="str">
        <f>IF(OR(V247=3,V247=4),COUNTIFS(V$6:V247,3)+COUNTIFS(V$6:V247,4),"")</f>
        <v/>
      </c>
    </row>
    <row r="248" spans="1:23" ht="25.5" customHeight="1">
      <c r="A248" s="13" t="str">
        <f t="shared" si="9"/>
        <v/>
      </c>
      <c r="B248" s="14" t="str">
        <f t="shared" si="10"/>
        <v/>
      </c>
      <c r="C248" s="15"/>
      <c r="D248" s="16"/>
      <c r="E248" s="16"/>
      <c r="F248" s="16"/>
      <c r="G248" s="16"/>
      <c r="H248" s="17"/>
      <c r="I248" s="17"/>
      <c r="J248" s="18"/>
      <c r="K248" s="16"/>
      <c r="L248" s="18"/>
      <c r="M248" s="16"/>
      <c r="N248" s="19" t="str">
        <f t="shared" si="11"/>
        <v/>
      </c>
      <c r="O248" s="19" t="str">
        <f>IF(OR(C248="",F248=""),"",COUNTIFS(F$6:F248,F248,C$6:C248,"&lt;&gt;"))</f>
        <v/>
      </c>
      <c r="P248" s="20" t="str">
        <f>IF($O248="","",IFERROR(CHOOSE(MATCH($F248,الإعدادات!$B$4:$B$7,0),INDEX('حضور سوريال'!$C$7:$C$36,$O248),INDEX('حضور غبريال'!$C$7:$C$36,$O248),INDEX('حضور رفائيل'!$C$7:$C$36,$O248),INDEX('حضور ميخائيل'!$C$7:$C$36,$O248)),""))</f>
        <v/>
      </c>
      <c r="Q248" s="20" t="str">
        <f>IF($O248="","",IFERROR(CHOOSE(MATCH($F248,الإعدادات!$B$4:$B$7,0),INDEX('حضور سوريال'!$D$7:$D$36,$O248),INDEX('حضور غبريال'!$D$7:$D$36,$O248),INDEX('حضور رفائيل'!$D$7:$D$36,$O248),INDEX('حضور ميخائيل'!$D$7:$D$36,$O248)),""))</f>
        <v/>
      </c>
      <c r="R248" s="21" t="str">
        <f>IF($O248="","",IFERROR(CHOOSE(MATCH($F248,الإعدادات!$B$4:$B$7,0),INDEX('حضور سوريال'!$F$7:$F$36,$O248),INDEX('حضور غبريال'!$F$7:$F$36,$O248),INDEX('حضور رفائيل'!$F$7:$F$36,$O248),INDEX('حضور ميخائيل'!$F$7:$F$36,$O248)),""))</f>
        <v/>
      </c>
      <c r="S248" s="20" t="str">
        <f>IF($O248="","",IFERROR(CHOOSE(MATCH($F248,الإعدادات!$B$4:$B$7,0),INDEX('حضور سوريال'!$G$7:$G$36,$O248),INDEX('حضور غبريال'!$G$7:$G$36,$O248),INDEX('حضور رفائيل'!$G$7:$G$36,$O248),INDEX('حضور ميخائيل'!$G$7:$G$36,$O248)),""))</f>
        <v/>
      </c>
      <c r="T248" s="22" t="str">
        <f>IF($O248="","",IFERROR(CHOOSE(MATCH($F248,الإعدادات!$B$4:$B$7,0),INDEX('حضور سوريال'!$H$7:$H$36,$O248),INDEX('حضور غبريال'!$H$7:$H$36,$O248),INDEX('حضور رفائيل'!$H$7:$H$36,$O248),INDEX('حضور ميخائيل'!$H$7:$H$36,$O248)),""))</f>
        <v/>
      </c>
      <c r="U248" s="23" t="str">
        <f>IF($O248="","",IFERROR(CHOOSE(MATCH($F248,الإعدادات!$B$4:$B$7,0),INDEX('حضور سوريال'!$I$7:$I$36,$O248),INDEX('حضور غبريال'!$I$7:$I$36,$O248),INDEX('حضور رفائيل'!$I$7:$I$36,$O248),INDEX('حضور ميخائيل'!$I$7:$I$36,$O248)),""))</f>
        <v/>
      </c>
      <c r="V248" t="str">
        <f>IF($O248="","",IFERROR(CHOOSE(MATCH($F248,الإعدادات!$B$4:$B$7,0),INDEX('حضور سوريال'!$BM$7:$BM$36,$O248),INDEX('حضور غبريال'!$BM$7:$BM$36,$O248),INDEX('حضور رفائيل'!$BM$7:$BM$36,$O248),INDEX('حضور ميخائيل'!$BM$7:$BM$36,$O248)),""))</f>
        <v/>
      </c>
      <c r="W248" t="str">
        <f>IF(OR(V248=3,V248=4),COUNTIFS(V$6:V248,3)+COUNTIFS(V$6:V248,4),"")</f>
        <v/>
      </c>
    </row>
    <row r="249" spans="1:23" ht="25.5" customHeight="1">
      <c r="A249" s="13" t="str">
        <f t="shared" si="9"/>
        <v/>
      </c>
      <c r="B249" s="14" t="str">
        <f t="shared" si="10"/>
        <v/>
      </c>
      <c r="C249" s="15"/>
      <c r="D249" s="16"/>
      <c r="E249" s="16"/>
      <c r="F249" s="16"/>
      <c r="G249" s="16"/>
      <c r="H249" s="17"/>
      <c r="I249" s="17"/>
      <c r="J249" s="18"/>
      <c r="K249" s="16"/>
      <c r="L249" s="18"/>
      <c r="M249" s="16"/>
      <c r="N249" s="19" t="str">
        <f t="shared" si="11"/>
        <v/>
      </c>
      <c r="O249" s="19" t="str">
        <f>IF(OR(C249="",F249=""),"",COUNTIFS(F$6:F249,F249,C$6:C249,"&lt;&gt;"))</f>
        <v/>
      </c>
      <c r="P249" s="20" t="str">
        <f>IF($O249="","",IFERROR(CHOOSE(MATCH($F249,الإعدادات!$B$4:$B$7,0),INDEX('حضور سوريال'!$C$7:$C$36,$O249),INDEX('حضور غبريال'!$C$7:$C$36,$O249),INDEX('حضور رفائيل'!$C$7:$C$36,$O249),INDEX('حضور ميخائيل'!$C$7:$C$36,$O249)),""))</f>
        <v/>
      </c>
      <c r="Q249" s="20" t="str">
        <f>IF($O249="","",IFERROR(CHOOSE(MATCH($F249,الإعدادات!$B$4:$B$7,0),INDEX('حضور سوريال'!$D$7:$D$36,$O249),INDEX('حضور غبريال'!$D$7:$D$36,$O249),INDEX('حضور رفائيل'!$D$7:$D$36,$O249),INDEX('حضور ميخائيل'!$D$7:$D$36,$O249)),""))</f>
        <v/>
      </c>
      <c r="R249" s="21" t="str">
        <f>IF($O249="","",IFERROR(CHOOSE(MATCH($F249,الإعدادات!$B$4:$B$7,0),INDEX('حضور سوريال'!$F$7:$F$36,$O249),INDEX('حضور غبريال'!$F$7:$F$36,$O249),INDEX('حضور رفائيل'!$F$7:$F$36,$O249),INDEX('حضور ميخائيل'!$F$7:$F$36,$O249)),""))</f>
        <v/>
      </c>
      <c r="S249" s="20" t="str">
        <f>IF($O249="","",IFERROR(CHOOSE(MATCH($F249,الإعدادات!$B$4:$B$7,0),INDEX('حضور سوريال'!$G$7:$G$36,$O249),INDEX('حضور غبريال'!$G$7:$G$36,$O249),INDEX('حضور رفائيل'!$G$7:$G$36,$O249),INDEX('حضور ميخائيل'!$G$7:$G$36,$O249)),""))</f>
        <v/>
      </c>
      <c r="T249" s="22" t="str">
        <f>IF($O249="","",IFERROR(CHOOSE(MATCH($F249,الإعدادات!$B$4:$B$7,0),INDEX('حضور سوريال'!$H$7:$H$36,$O249),INDEX('حضور غبريال'!$H$7:$H$36,$O249),INDEX('حضور رفائيل'!$H$7:$H$36,$O249),INDEX('حضور ميخائيل'!$H$7:$H$36,$O249)),""))</f>
        <v/>
      </c>
      <c r="U249" s="23" t="str">
        <f>IF($O249="","",IFERROR(CHOOSE(MATCH($F249,الإعدادات!$B$4:$B$7,0),INDEX('حضور سوريال'!$I$7:$I$36,$O249),INDEX('حضور غبريال'!$I$7:$I$36,$O249),INDEX('حضور رفائيل'!$I$7:$I$36,$O249),INDEX('حضور ميخائيل'!$I$7:$I$36,$O249)),""))</f>
        <v/>
      </c>
      <c r="V249" t="str">
        <f>IF($O249="","",IFERROR(CHOOSE(MATCH($F249,الإعدادات!$B$4:$B$7,0),INDEX('حضور سوريال'!$BM$7:$BM$36,$O249),INDEX('حضور غبريال'!$BM$7:$BM$36,$O249),INDEX('حضور رفائيل'!$BM$7:$BM$36,$O249),INDEX('حضور ميخائيل'!$BM$7:$BM$36,$O249)),""))</f>
        <v/>
      </c>
      <c r="W249" t="str">
        <f>IF(OR(V249=3,V249=4),COUNTIFS(V$6:V249,3)+COUNTIFS(V$6:V249,4),"")</f>
        <v/>
      </c>
    </row>
    <row r="250" spans="1:23" ht="25.5" customHeight="1">
      <c r="A250" s="13" t="str">
        <f t="shared" si="9"/>
        <v/>
      </c>
      <c r="B250" s="14" t="str">
        <f t="shared" si="10"/>
        <v/>
      </c>
      <c r="C250" s="15"/>
      <c r="D250" s="16"/>
      <c r="E250" s="16"/>
      <c r="F250" s="16"/>
      <c r="G250" s="16"/>
      <c r="H250" s="17"/>
      <c r="I250" s="17"/>
      <c r="J250" s="18"/>
      <c r="K250" s="16"/>
      <c r="L250" s="18"/>
      <c r="M250" s="16"/>
      <c r="N250" s="19" t="str">
        <f t="shared" si="11"/>
        <v/>
      </c>
      <c r="O250" s="19" t="str">
        <f>IF(OR(C250="",F250=""),"",COUNTIFS(F$6:F250,F250,C$6:C250,"&lt;&gt;"))</f>
        <v/>
      </c>
      <c r="P250" s="20" t="str">
        <f>IF($O250="","",IFERROR(CHOOSE(MATCH($F250,الإعدادات!$B$4:$B$7,0),INDEX('حضور سوريال'!$C$7:$C$36,$O250),INDEX('حضور غبريال'!$C$7:$C$36,$O250),INDEX('حضور رفائيل'!$C$7:$C$36,$O250),INDEX('حضور ميخائيل'!$C$7:$C$36,$O250)),""))</f>
        <v/>
      </c>
      <c r="Q250" s="20" t="str">
        <f>IF($O250="","",IFERROR(CHOOSE(MATCH($F250,الإعدادات!$B$4:$B$7,0),INDEX('حضور سوريال'!$D$7:$D$36,$O250),INDEX('حضور غبريال'!$D$7:$D$36,$O250),INDEX('حضور رفائيل'!$D$7:$D$36,$O250),INDEX('حضور ميخائيل'!$D$7:$D$36,$O250)),""))</f>
        <v/>
      </c>
      <c r="R250" s="21" t="str">
        <f>IF($O250="","",IFERROR(CHOOSE(MATCH($F250,الإعدادات!$B$4:$B$7,0),INDEX('حضور سوريال'!$F$7:$F$36,$O250),INDEX('حضور غبريال'!$F$7:$F$36,$O250),INDEX('حضور رفائيل'!$F$7:$F$36,$O250),INDEX('حضور ميخائيل'!$F$7:$F$36,$O250)),""))</f>
        <v/>
      </c>
      <c r="S250" s="20" t="str">
        <f>IF($O250="","",IFERROR(CHOOSE(MATCH($F250,الإعدادات!$B$4:$B$7,0),INDEX('حضور سوريال'!$G$7:$G$36,$O250),INDEX('حضور غبريال'!$G$7:$G$36,$O250),INDEX('حضور رفائيل'!$G$7:$G$36,$O250),INDEX('حضور ميخائيل'!$G$7:$G$36,$O250)),""))</f>
        <v/>
      </c>
      <c r="T250" s="22" t="str">
        <f>IF($O250="","",IFERROR(CHOOSE(MATCH($F250,الإعدادات!$B$4:$B$7,0),INDEX('حضور سوريال'!$H$7:$H$36,$O250),INDEX('حضور غبريال'!$H$7:$H$36,$O250),INDEX('حضور رفائيل'!$H$7:$H$36,$O250),INDEX('حضور ميخائيل'!$H$7:$H$36,$O250)),""))</f>
        <v/>
      </c>
      <c r="U250" s="23" t="str">
        <f>IF($O250="","",IFERROR(CHOOSE(MATCH($F250,الإعدادات!$B$4:$B$7,0),INDEX('حضور سوريال'!$I$7:$I$36,$O250),INDEX('حضور غبريال'!$I$7:$I$36,$O250),INDEX('حضور رفائيل'!$I$7:$I$36,$O250),INDEX('حضور ميخائيل'!$I$7:$I$36,$O250)),""))</f>
        <v/>
      </c>
      <c r="V250" t="str">
        <f>IF($O250="","",IFERROR(CHOOSE(MATCH($F250,الإعدادات!$B$4:$B$7,0),INDEX('حضور سوريال'!$BM$7:$BM$36,$O250),INDEX('حضور غبريال'!$BM$7:$BM$36,$O250),INDEX('حضور رفائيل'!$BM$7:$BM$36,$O250),INDEX('حضور ميخائيل'!$BM$7:$BM$36,$O250)),""))</f>
        <v/>
      </c>
      <c r="W250" t="str">
        <f>IF(OR(V250=3,V250=4),COUNTIFS(V$6:V250,3)+COUNTIFS(V$6:V250,4),"")</f>
        <v/>
      </c>
    </row>
    <row r="251" spans="1:23" ht="25.5" customHeight="1">
      <c r="A251" s="13" t="str">
        <f t="shared" si="9"/>
        <v/>
      </c>
      <c r="B251" s="14" t="str">
        <f t="shared" si="10"/>
        <v/>
      </c>
      <c r="C251" s="15"/>
      <c r="D251" s="16"/>
      <c r="E251" s="16"/>
      <c r="F251" s="16"/>
      <c r="G251" s="16"/>
      <c r="H251" s="17"/>
      <c r="I251" s="17"/>
      <c r="J251" s="18"/>
      <c r="K251" s="16"/>
      <c r="L251" s="18"/>
      <c r="M251" s="16"/>
      <c r="N251" s="19" t="str">
        <f t="shared" si="11"/>
        <v/>
      </c>
      <c r="O251" s="19" t="str">
        <f>IF(OR(C251="",F251=""),"",COUNTIFS(F$6:F251,F251,C$6:C251,"&lt;&gt;"))</f>
        <v/>
      </c>
      <c r="P251" s="20" t="str">
        <f>IF($O251="","",IFERROR(CHOOSE(MATCH($F251,الإعدادات!$B$4:$B$7,0),INDEX('حضور سوريال'!$C$7:$C$36,$O251),INDEX('حضور غبريال'!$C$7:$C$36,$O251),INDEX('حضور رفائيل'!$C$7:$C$36,$O251),INDEX('حضور ميخائيل'!$C$7:$C$36,$O251)),""))</f>
        <v/>
      </c>
      <c r="Q251" s="20" t="str">
        <f>IF($O251="","",IFERROR(CHOOSE(MATCH($F251,الإعدادات!$B$4:$B$7,0),INDEX('حضور سوريال'!$D$7:$D$36,$O251),INDEX('حضور غبريال'!$D$7:$D$36,$O251),INDEX('حضور رفائيل'!$D$7:$D$36,$O251),INDEX('حضور ميخائيل'!$D$7:$D$36,$O251)),""))</f>
        <v/>
      </c>
      <c r="R251" s="21" t="str">
        <f>IF($O251="","",IFERROR(CHOOSE(MATCH($F251,الإعدادات!$B$4:$B$7,0),INDEX('حضور سوريال'!$F$7:$F$36,$O251),INDEX('حضور غبريال'!$F$7:$F$36,$O251),INDEX('حضور رفائيل'!$F$7:$F$36,$O251),INDEX('حضور ميخائيل'!$F$7:$F$36,$O251)),""))</f>
        <v/>
      </c>
      <c r="S251" s="20" t="str">
        <f>IF($O251="","",IFERROR(CHOOSE(MATCH($F251,الإعدادات!$B$4:$B$7,0),INDEX('حضور سوريال'!$G$7:$G$36,$O251),INDEX('حضور غبريال'!$G$7:$G$36,$O251),INDEX('حضور رفائيل'!$G$7:$G$36,$O251),INDEX('حضور ميخائيل'!$G$7:$G$36,$O251)),""))</f>
        <v/>
      </c>
      <c r="T251" s="22" t="str">
        <f>IF($O251="","",IFERROR(CHOOSE(MATCH($F251,الإعدادات!$B$4:$B$7,0),INDEX('حضور سوريال'!$H$7:$H$36,$O251),INDEX('حضور غبريال'!$H$7:$H$36,$O251),INDEX('حضور رفائيل'!$H$7:$H$36,$O251),INDEX('حضور ميخائيل'!$H$7:$H$36,$O251)),""))</f>
        <v/>
      </c>
      <c r="U251" s="23" t="str">
        <f>IF($O251="","",IFERROR(CHOOSE(MATCH($F251,الإعدادات!$B$4:$B$7,0),INDEX('حضور سوريال'!$I$7:$I$36,$O251),INDEX('حضور غبريال'!$I$7:$I$36,$O251),INDEX('حضور رفائيل'!$I$7:$I$36,$O251),INDEX('حضور ميخائيل'!$I$7:$I$36,$O251)),""))</f>
        <v/>
      </c>
      <c r="V251" t="str">
        <f>IF($O251="","",IFERROR(CHOOSE(MATCH($F251,الإعدادات!$B$4:$B$7,0),INDEX('حضور سوريال'!$BM$7:$BM$36,$O251),INDEX('حضور غبريال'!$BM$7:$BM$36,$O251),INDEX('حضور رفائيل'!$BM$7:$BM$36,$O251),INDEX('حضور ميخائيل'!$BM$7:$BM$36,$O251)),""))</f>
        <v/>
      </c>
      <c r="W251" t="str">
        <f>IF(OR(V251=3,V251=4),COUNTIFS(V$6:V251,3)+COUNTIFS(V$6:V251,4),"")</f>
        <v/>
      </c>
    </row>
    <row r="252" spans="1:23" ht="25.5" customHeight="1">
      <c r="A252" s="13" t="str">
        <f t="shared" si="9"/>
        <v/>
      </c>
      <c r="B252" s="14" t="str">
        <f t="shared" si="10"/>
        <v/>
      </c>
      <c r="C252" s="15"/>
      <c r="D252" s="16"/>
      <c r="E252" s="16"/>
      <c r="F252" s="16"/>
      <c r="G252" s="16"/>
      <c r="H252" s="17"/>
      <c r="I252" s="17"/>
      <c r="J252" s="18"/>
      <c r="K252" s="16"/>
      <c r="L252" s="18"/>
      <c r="M252" s="16"/>
      <c r="N252" s="19" t="str">
        <f t="shared" si="11"/>
        <v/>
      </c>
      <c r="O252" s="19" t="str">
        <f>IF(OR(C252="",F252=""),"",COUNTIFS(F$6:F252,F252,C$6:C252,"&lt;&gt;"))</f>
        <v/>
      </c>
      <c r="P252" s="20" t="str">
        <f>IF($O252="","",IFERROR(CHOOSE(MATCH($F252,الإعدادات!$B$4:$B$7,0),INDEX('حضور سوريال'!$C$7:$C$36,$O252),INDEX('حضور غبريال'!$C$7:$C$36,$O252),INDEX('حضور رفائيل'!$C$7:$C$36,$O252),INDEX('حضور ميخائيل'!$C$7:$C$36,$O252)),""))</f>
        <v/>
      </c>
      <c r="Q252" s="20" t="str">
        <f>IF($O252="","",IFERROR(CHOOSE(MATCH($F252,الإعدادات!$B$4:$B$7,0),INDEX('حضور سوريال'!$D$7:$D$36,$O252),INDEX('حضور غبريال'!$D$7:$D$36,$O252),INDEX('حضور رفائيل'!$D$7:$D$36,$O252),INDEX('حضور ميخائيل'!$D$7:$D$36,$O252)),""))</f>
        <v/>
      </c>
      <c r="R252" s="21" t="str">
        <f>IF($O252="","",IFERROR(CHOOSE(MATCH($F252,الإعدادات!$B$4:$B$7,0),INDEX('حضور سوريال'!$F$7:$F$36,$O252),INDEX('حضور غبريال'!$F$7:$F$36,$O252),INDEX('حضور رفائيل'!$F$7:$F$36,$O252),INDEX('حضور ميخائيل'!$F$7:$F$36,$O252)),""))</f>
        <v/>
      </c>
      <c r="S252" s="20" t="str">
        <f>IF($O252="","",IFERROR(CHOOSE(MATCH($F252,الإعدادات!$B$4:$B$7,0),INDEX('حضور سوريال'!$G$7:$G$36,$O252),INDEX('حضور غبريال'!$G$7:$G$36,$O252),INDEX('حضور رفائيل'!$G$7:$G$36,$O252),INDEX('حضور ميخائيل'!$G$7:$G$36,$O252)),""))</f>
        <v/>
      </c>
      <c r="T252" s="22" t="str">
        <f>IF($O252="","",IFERROR(CHOOSE(MATCH($F252,الإعدادات!$B$4:$B$7,0),INDEX('حضور سوريال'!$H$7:$H$36,$O252),INDEX('حضور غبريال'!$H$7:$H$36,$O252),INDEX('حضور رفائيل'!$H$7:$H$36,$O252),INDEX('حضور ميخائيل'!$H$7:$H$36,$O252)),""))</f>
        <v/>
      </c>
      <c r="U252" s="23" t="str">
        <f>IF($O252="","",IFERROR(CHOOSE(MATCH($F252,الإعدادات!$B$4:$B$7,0),INDEX('حضور سوريال'!$I$7:$I$36,$O252),INDEX('حضور غبريال'!$I$7:$I$36,$O252),INDEX('حضور رفائيل'!$I$7:$I$36,$O252),INDEX('حضور ميخائيل'!$I$7:$I$36,$O252)),""))</f>
        <v/>
      </c>
      <c r="V252" t="str">
        <f>IF($O252="","",IFERROR(CHOOSE(MATCH($F252,الإعدادات!$B$4:$B$7,0),INDEX('حضور سوريال'!$BM$7:$BM$36,$O252),INDEX('حضور غبريال'!$BM$7:$BM$36,$O252),INDEX('حضور رفائيل'!$BM$7:$BM$36,$O252),INDEX('حضور ميخائيل'!$BM$7:$BM$36,$O252)),""))</f>
        <v/>
      </c>
      <c r="W252" t="str">
        <f>IF(OR(V252=3,V252=4),COUNTIFS(V$6:V252,3)+COUNTIFS(V$6:V252,4),"")</f>
        <v/>
      </c>
    </row>
    <row r="253" spans="1:23" ht="25.5" customHeight="1">
      <c r="A253" s="13" t="str">
        <f t="shared" si="9"/>
        <v/>
      </c>
      <c r="B253" s="14" t="str">
        <f t="shared" si="10"/>
        <v/>
      </c>
      <c r="C253" s="15"/>
      <c r="D253" s="16"/>
      <c r="E253" s="16"/>
      <c r="F253" s="16"/>
      <c r="G253" s="16"/>
      <c r="H253" s="17"/>
      <c r="I253" s="17"/>
      <c r="J253" s="18"/>
      <c r="K253" s="16"/>
      <c r="L253" s="18"/>
      <c r="M253" s="16"/>
      <c r="N253" s="19" t="str">
        <f t="shared" si="11"/>
        <v/>
      </c>
      <c r="O253" s="19" t="str">
        <f>IF(OR(C253="",F253=""),"",COUNTIFS(F$6:F253,F253,C$6:C253,"&lt;&gt;"))</f>
        <v/>
      </c>
      <c r="P253" s="20" t="str">
        <f>IF($O253="","",IFERROR(CHOOSE(MATCH($F253,الإعدادات!$B$4:$B$7,0),INDEX('حضور سوريال'!$C$7:$C$36,$O253),INDEX('حضور غبريال'!$C$7:$C$36,$O253),INDEX('حضور رفائيل'!$C$7:$C$36,$O253),INDEX('حضور ميخائيل'!$C$7:$C$36,$O253)),""))</f>
        <v/>
      </c>
      <c r="Q253" s="20" t="str">
        <f>IF($O253="","",IFERROR(CHOOSE(MATCH($F253,الإعدادات!$B$4:$B$7,0),INDEX('حضور سوريال'!$D$7:$D$36,$O253),INDEX('حضور غبريال'!$D$7:$D$36,$O253),INDEX('حضور رفائيل'!$D$7:$D$36,$O253),INDEX('حضور ميخائيل'!$D$7:$D$36,$O253)),""))</f>
        <v/>
      </c>
      <c r="R253" s="21" t="str">
        <f>IF($O253="","",IFERROR(CHOOSE(MATCH($F253,الإعدادات!$B$4:$B$7,0),INDEX('حضور سوريال'!$F$7:$F$36,$O253),INDEX('حضور غبريال'!$F$7:$F$36,$O253),INDEX('حضور رفائيل'!$F$7:$F$36,$O253),INDEX('حضور ميخائيل'!$F$7:$F$36,$O253)),""))</f>
        <v/>
      </c>
      <c r="S253" s="20" t="str">
        <f>IF($O253="","",IFERROR(CHOOSE(MATCH($F253,الإعدادات!$B$4:$B$7,0),INDEX('حضور سوريال'!$G$7:$G$36,$O253),INDEX('حضور غبريال'!$G$7:$G$36,$O253),INDEX('حضور رفائيل'!$G$7:$G$36,$O253),INDEX('حضور ميخائيل'!$G$7:$G$36,$O253)),""))</f>
        <v/>
      </c>
      <c r="T253" s="22" t="str">
        <f>IF($O253="","",IFERROR(CHOOSE(MATCH($F253,الإعدادات!$B$4:$B$7,0),INDEX('حضور سوريال'!$H$7:$H$36,$O253),INDEX('حضور غبريال'!$H$7:$H$36,$O253),INDEX('حضور رفائيل'!$H$7:$H$36,$O253),INDEX('حضور ميخائيل'!$H$7:$H$36,$O253)),""))</f>
        <v/>
      </c>
      <c r="U253" s="23" t="str">
        <f>IF($O253="","",IFERROR(CHOOSE(MATCH($F253,الإعدادات!$B$4:$B$7,0),INDEX('حضور سوريال'!$I$7:$I$36,$O253),INDEX('حضور غبريال'!$I$7:$I$36,$O253),INDEX('حضور رفائيل'!$I$7:$I$36,$O253),INDEX('حضور ميخائيل'!$I$7:$I$36,$O253)),""))</f>
        <v/>
      </c>
      <c r="V253" t="str">
        <f>IF($O253="","",IFERROR(CHOOSE(MATCH($F253,الإعدادات!$B$4:$B$7,0),INDEX('حضور سوريال'!$BM$7:$BM$36,$O253),INDEX('حضور غبريال'!$BM$7:$BM$36,$O253),INDEX('حضور رفائيل'!$BM$7:$BM$36,$O253),INDEX('حضور ميخائيل'!$BM$7:$BM$36,$O253)),""))</f>
        <v/>
      </c>
      <c r="W253" t="str">
        <f>IF(OR(V253=3,V253=4),COUNTIFS(V$6:V253,3)+COUNTIFS(V$6:V253,4),"")</f>
        <v/>
      </c>
    </row>
    <row r="254" spans="1:23" ht="25.5" customHeight="1">
      <c r="A254" s="13" t="str">
        <f t="shared" si="9"/>
        <v/>
      </c>
      <c r="B254" s="14" t="str">
        <f t="shared" si="10"/>
        <v/>
      </c>
      <c r="C254" s="15"/>
      <c r="D254" s="16"/>
      <c r="E254" s="16"/>
      <c r="F254" s="16"/>
      <c r="G254" s="16"/>
      <c r="H254" s="17"/>
      <c r="I254" s="17"/>
      <c r="J254" s="18"/>
      <c r="K254" s="16"/>
      <c r="L254" s="18"/>
      <c r="M254" s="16"/>
      <c r="N254" s="19" t="str">
        <f t="shared" si="11"/>
        <v/>
      </c>
      <c r="O254" s="19" t="str">
        <f>IF(OR(C254="",F254=""),"",COUNTIFS(F$6:F254,F254,C$6:C254,"&lt;&gt;"))</f>
        <v/>
      </c>
      <c r="P254" s="20" t="str">
        <f>IF($O254="","",IFERROR(CHOOSE(MATCH($F254,الإعدادات!$B$4:$B$7,0),INDEX('حضور سوريال'!$C$7:$C$36,$O254),INDEX('حضور غبريال'!$C$7:$C$36,$O254),INDEX('حضور رفائيل'!$C$7:$C$36,$O254),INDEX('حضور ميخائيل'!$C$7:$C$36,$O254)),""))</f>
        <v/>
      </c>
      <c r="Q254" s="20" t="str">
        <f>IF($O254="","",IFERROR(CHOOSE(MATCH($F254,الإعدادات!$B$4:$B$7,0),INDEX('حضور سوريال'!$D$7:$D$36,$O254),INDEX('حضور غبريال'!$D$7:$D$36,$O254),INDEX('حضور رفائيل'!$D$7:$D$36,$O254),INDEX('حضور ميخائيل'!$D$7:$D$36,$O254)),""))</f>
        <v/>
      </c>
      <c r="R254" s="21" t="str">
        <f>IF($O254="","",IFERROR(CHOOSE(MATCH($F254,الإعدادات!$B$4:$B$7,0),INDEX('حضور سوريال'!$F$7:$F$36,$O254),INDEX('حضور غبريال'!$F$7:$F$36,$O254),INDEX('حضور رفائيل'!$F$7:$F$36,$O254),INDEX('حضور ميخائيل'!$F$7:$F$36,$O254)),""))</f>
        <v/>
      </c>
      <c r="S254" s="20" t="str">
        <f>IF($O254="","",IFERROR(CHOOSE(MATCH($F254,الإعدادات!$B$4:$B$7,0),INDEX('حضور سوريال'!$G$7:$G$36,$O254),INDEX('حضور غبريال'!$G$7:$G$36,$O254),INDEX('حضور رفائيل'!$G$7:$G$36,$O254),INDEX('حضور ميخائيل'!$G$7:$G$36,$O254)),""))</f>
        <v/>
      </c>
      <c r="T254" s="22" t="str">
        <f>IF($O254="","",IFERROR(CHOOSE(MATCH($F254,الإعدادات!$B$4:$B$7,0),INDEX('حضور سوريال'!$H$7:$H$36,$O254),INDEX('حضور غبريال'!$H$7:$H$36,$O254),INDEX('حضور رفائيل'!$H$7:$H$36,$O254),INDEX('حضور ميخائيل'!$H$7:$H$36,$O254)),""))</f>
        <v/>
      </c>
      <c r="U254" s="23" t="str">
        <f>IF($O254="","",IFERROR(CHOOSE(MATCH($F254,الإعدادات!$B$4:$B$7,0),INDEX('حضور سوريال'!$I$7:$I$36,$O254),INDEX('حضور غبريال'!$I$7:$I$36,$O254),INDEX('حضور رفائيل'!$I$7:$I$36,$O254),INDEX('حضور ميخائيل'!$I$7:$I$36,$O254)),""))</f>
        <v/>
      </c>
      <c r="V254" t="str">
        <f>IF($O254="","",IFERROR(CHOOSE(MATCH($F254,الإعدادات!$B$4:$B$7,0),INDEX('حضور سوريال'!$BM$7:$BM$36,$O254),INDEX('حضور غبريال'!$BM$7:$BM$36,$O254),INDEX('حضور رفائيل'!$BM$7:$BM$36,$O254),INDEX('حضور ميخائيل'!$BM$7:$BM$36,$O254)),""))</f>
        <v/>
      </c>
      <c r="W254" t="str">
        <f>IF(OR(V254=3,V254=4),COUNTIFS(V$6:V254,3)+COUNTIFS(V$6:V254,4),"")</f>
        <v/>
      </c>
    </row>
    <row r="255" spans="1:23" ht="25.5" customHeight="1">
      <c r="A255" s="13" t="str">
        <f t="shared" si="9"/>
        <v/>
      </c>
      <c r="B255" s="14" t="str">
        <f t="shared" si="10"/>
        <v/>
      </c>
      <c r="C255" s="15"/>
      <c r="D255" s="16"/>
      <c r="E255" s="16"/>
      <c r="F255" s="16"/>
      <c r="G255" s="16"/>
      <c r="H255" s="17"/>
      <c r="I255" s="17"/>
      <c r="J255" s="18"/>
      <c r="K255" s="16"/>
      <c r="L255" s="18"/>
      <c r="M255" s="16"/>
      <c r="N255" s="19" t="str">
        <f t="shared" si="11"/>
        <v/>
      </c>
      <c r="O255" s="19" t="str">
        <f>IF(OR(C255="",F255=""),"",COUNTIFS(F$6:F255,F255,C$6:C255,"&lt;&gt;"))</f>
        <v/>
      </c>
      <c r="P255" s="20" t="str">
        <f>IF($O255="","",IFERROR(CHOOSE(MATCH($F255,الإعدادات!$B$4:$B$7,0),INDEX('حضور سوريال'!$C$7:$C$36,$O255),INDEX('حضور غبريال'!$C$7:$C$36,$O255),INDEX('حضور رفائيل'!$C$7:$C$36,$O255),INDEX('حضور ميخائيل'!$C$7:$C$36,$O255)),""))</f>
        <v/>
      </c>
      <c r="Q255" s="20" t="str">
        <f>IF($O255="","",IFERROR(CHOOSE(MATCH($F255,الإعدادات!$B$4:$B$7,0),INDEX('حضور سوريال'!$D$7:$D$36,$O255),INDEX('حضور غبريال'!$D$7:$D$36,$O255),INDEX('حضور رفائيل'!$D$7:$D$36,$O255),INDEX('حضور ميخائيل'!$D$7:$D$36,$O255)),""))</f>
        <v/>
      </c>
      <c r="R255" s="21" t="str">
        <f>IF($O255="","",IFERROR(CHOOSE(MATCH($F255,الإعدادات!$B$4:$B$7,0),INDEX('حضور سوريال'!$F$7:$F$36,$O255),INDEX('حضور غبريال'!$F$7:$F$36,$O255),INDEX('حضور رفائيل'!$F$7:$F$36,$O255),INDEX('حضور ميخائيل'!$F$7:$F$36,$O255)),""))</f>
        <v/>
      </c>
      <c r="S255" s="20" t="str">
        <f>IF($O255="","",IFERROR(CHOOSE(MATCH($F255,الإعدادات!$B$4:$B$7,0),INDEX('حضور سوريال'!$G$7:$G$36,$O255),INDEX('حضور غبريال'!$G$7:$G$36,$O255),INDEX('حضور رفائيل'!$G$7:$G$36,$O255),INDEX('حضور ميخائيل'!$G$7:$G$36,$O255)),""))</f>
        <v/>
      </c>
      <c r="T255" s="22" t="str">
        <f>IF($O255="","",IFERROR(CHOOSE(MATCH($F255,الإعدادات!$B$4:$B$7,0),INDEX('حضور سوريال'!$H$7:$H$36,$O255),INDEX('حضور غبريال'!$H$7:$H$36,$O255),INDEX('حضور رفائيل'!$H$7:$H$36,$O255),INDEX('حضور ميخائيل'!$H$7:$H$36,$O255)),""))</f>
        <v/>
      </c>
      <c r="U255" s="23" t="str">
        <f>IF($O255="","",IFERROR(CHOOSE(MATCH($F255,الإعدادات!$B$4:$B$7,0),INDEX('حضور سوريال'!$I$7:$I$36,$O255),INDEX('حضور غبريال'!$I$7:$I$36,$O255),INDEX('حضور رفائيل'!$I$7:$I$36,$O255),INDEX('حضور ميخائيل'!$I$7:$I$36,$O255)),""))</f>
        <v/>
      </c>
      <c r="V255" t="str">
        <f>IF($O255="","",IFERROR(CHOOSE(MATCH($F255,الإعدادات!$B$4:$B$7,0),INDEX('حضور سوريال'!$BM$7:$BM$36,$O255),INDEX('حضور غبريال'!$BM$7:$BM$36,$O255),INDEX('حضور رفائيل'!$BM$7:$BM$36,$O255),INDEX('حضور ميخائيل'!$BM$7:$BM$36,$O255)),""))</f>
        <v/>
      </c>
      <c r="W255" t="str">
        <f>IF(OR(V255=3,V255=4),COUNTIFS(V$6:V255,3)+COUNTIFS(V$6:V255,4),"")</f>
        <v/>
      </c>
    </row>
    <row r="256" spans="1:23" ht="25.5" customHeight="1">
      <c r="A256" s="13" t="str">
        <f t="shared" si="9"/>
        <v/>
      </c>
      <c r="B256" s="14" t="str">
        <f t="shared" si="10"/>
        <v/>
      </c>
      <c r="C256" s="15"/>
      <c r="D256" s="16"/>
      <c r="E256" s="16"/>
      <c r="F256" s="16"/>
      <c r="G256" s="16"/>
      <c r="H256" s="17"/>
      <c r="I256" s="17"/>
      <c r="J256" s="18"/>
      <c r="K256" s="16"/>
      <c r="L256" s="18"/>
      <c r="M256" s="16"/>
      <c r="N256" s="19" t="str">
        <f t="shared" si="11"/>
        <v/>
      </c>
      <c r="O256" s="19" t="str">
        <f>IF(OR(C256="",F256=""),"",COUNTIFS(F$6:F256,F256,C$6:C256,"&lt;&gt;"))</f>
        <v/>
      </c>
      <c r="P256" s="20" t="str">
        <f>IF($O256="","",IFERROR(CHOOSE(MATCH($F256,الإعدادات!$B$4:$B$7,0),INDEX('حضور سوريال'!$C$7:$C$36,$O256),INDEX('حضور غبريال'!$C$7:$C$36,$O256),INDEX('حضور رفائيل'!$C$7:$C$36,$O256),INDEX('حضور ميخائيل'!$C$7:$C$36,$O256)),""))</f>
        <v/>
      </c>
      <c r="Q256" s="20" t="str">
        <f>IF($O256="","",IFERROR(CHOOSE(MATCH($F256,الإعدادات!$B$4:$B$7,0),INDEX('حضور سوريال'!$D$7:$D$36,$O256),INDEX('حضور غبريال'!$D$7:$D$36,$O256),INDEX('حضور رفائيل'!$D$7:$D$36,$O256),INDEX('حضور ميخائيل'!$D$7:$D$36,$O256)),""))</f>
        <v/>
      </c>
      <c r="R256" s="21" t="str">
        <f>IF($O256="","",IFERROR(CHOOSE(MATCH($F256,الإعدادات!$B$4:$B$7,0),INDEX('حضور سوريال'!$F$7:$F$36,$O256),INDEX('حضور غبريال'!$F$7:$F$36,$O256),INDEX('حضور رفائيل'!$F$7:$F$36,$O256),INDEX('حضور ميخائيل'!$F$7:$F$36,$O256)),""))</f>
        <v/>
      </c>
      <c r="S256" s="20" t="str">
        <f>IF($O256="","",IFERROR(CHOOSE(MATCH($F256,الإعدادات!$B$4:$B$7,0),INDEX('حضور سوريال'!$G$7:$G$36,$O256),INDEX('حضور غبريال'!$G$7:$G$36,$O256),INDEX('حضور رفائيل'!$G$7:$G$36,$O256),INDEX('حضور ميخائيل'!$G$7:$G$36,$O256)),""))</f>
        <v/>
      </c>
      <c r="T256" s="22" t="str">
        <f>IF($O256="","",IFERROR(CHOOSE(MATCH($F256,الإعدادات!$B$4:$B$7,0),INDEX('حضور سوريال'!$H$7:$H$36,$O256),INDEX('حضور غبريال'!$H$7:$H$36,$O256),INDEX('حضور رفائيل'!$H$7:$H$36,$O256),INDEX('حضور ميخائيل'!$H$7:$H$36,$O256)),""))</f>
        <v/>
      </c>
      <c r="U256" s="23" t="str">
        <f>IF($O256="","",IFERROR(CHOOSE(MATCH($F256,الإعدادات!$B$4:$B$7,0),INDEX('حضور سوريال'!$I$7:$I$36,$O256),INDEX('حضور غبريال'!$I$7:$I$36,$O256),INDEX('حضور رفائيل'!$I$7:$I$36,$O256),INDEX('حضور ميخائيل'!$I$7:$I$36,$O256)),""))</f>
        <v/>
      </c>
      <c r="V256" t="str">
        <f>IF($O256="","",IFERROR(CHOOSE(MATCH($F256,الإعدادات!$B$4:$B$7,0),INDEX('حضور سوريال'!$BM$7:$BM$36,$O256),INDEX('حضور غبريال'!$BM$7:$BM$36,$O256),INDEX('حضور رفائيل'!$BM$7:$BM$36,$O256),INDEX('حضور ميخائيل'!$BM$7:$BM$36,$O256)),""))</f>
        <v/>
      </c>
      <c r="W256" t="str">
        <f>IF(OR(V256=3,V256=4),COUNTIFS(V$6:V256,3)+COUNTIFS(V$6:V256,4),"")</f>
        <v/>
      </c>
    </row>
    <row r="257" spans="1:23" ht="25.5" customHeight="1">
      <c r="A257" s="13" t="str">
        <f t="shared" si="9"/>
        <v/>
      </c>
      <c r="B257" s="14" t="str">
        <f t="shared" si="10"/>
        <v/>
      </c>
      <c r="C257" s="15"/>
      <c r="D257" s="16"/>
      <c r="E257" s="16"/>
      <c r="F257" s="16"/>
      <c r="G257" s="16"/>
      <c r="H257" s="17"/>
      <c r="I257" s="17"/>
      <c r="J257" s="18"/>
      <c r="K257" s="16"/>
      <c r="L257" s="18"/>
      <c r="M257" s="16"/>
      <c r="N257" s="19" t="str">
        <f t="shared" si="11"/>
        <v/>
      </c>
      <c r="O257" s="19" t="str">
        <f>IF(OR(C257="",F257=""),"",COUNTIFS(F$6:F257,F257,C$6:C257,"&lt;&gt;"))</f>
        <v/>
      </c>
      <c r="P257" s="20" t="str">
        <f>IF($O257="","",IFERROR(CHOOSE(MATCH($F257,الإعدادات!$B$4:$B$7,0),INDEX('حضور سوريال'!$C$7:$C$36,$O257),INDEX('حضور غبريال'!$C$7:$C$36,$O257),INDEX('حضور رفائيل'!$C$7:$C$36,$O257),INDEX('حضور ميخائيل'!$C$7:$C$36,$O257)),""))</f>
        <v/>
      </c>
      <c r="Q257" s="20" t="str">
        <f>IF($O257="","",IFERROR(CHOOSE(MATCH($F257,الإعدادات!$B$4:$B$7,0),INDEX('حضور سوريال'!$D$7:$D$36,$O257),INDEX('حضور غبريال'!$D$7:$D$36,$O257),INDEX('حضور رفائيل'!$D$7:$D$36,$O257),INDEX('حضور ميخائيل'!$D$7:$D$36,$O257)),""))</f>
        <v/>
      </c>
      <c r="R257" s="21" t="str">
        <f>IF($O257="","",IFERROR(CHOOSE(MATCH($F257,الإعدادات!$B$4:$B$7,0),INDEX('حضور سوريال'!$F$7:$F$36,$O257),INDEX('حضور غبريال'!$F$7:$F$36,$O257),INDEX('حضور رفائيل'!$F$7:$F$36,$O257),INDEX('حضور ميخائيل'!$F$7:$F$36,$O257)),""))</f>
        <v/>
      </c>
      <c r="S257" s="20" t="str">
        <f>IF($O257="","",IFERROR(CHOOSE(MATCH($F257,الإعدادات!$B$4:$B$7,0),INDEX('حضور سوريال'!$G$7:$G$36,$O257),INDEX('حضور غبريال'!$G$7:$G$36,$O257),INDEX('حضور رفائيل'!$G$7:$G$36,$O257),INDEX('حضور ميخائيل'!$G$7:$G$36,$O257)),""))</f>
        <v/>
      </c>
      <c r="T257" s="22" t="str">
        <f>IF($O257="","",IFERROR(CHOOSE(MATCH($F257,الإعدادات!$B$4:$B$7,0),INDEX('حضور سوريال'!$H$7:$H$36,$O257),INDEX('حضور غبريال'!$H$7:$H$36,$O257),INDEX('حضور رفائيل'!$H$7:$H$36,$O257),INDEX('حضور ميخائيل'!$H$7:$H$36,$O257)),""))</f>
        <v/>
      </c>
      <c r="U257" s="23" t="str">
        <f>IF($O257="","",IFERROR(CHOOSE(MATCH($F257,الإعدادات!$B$4:$B$7,0),INDEX('حضور سوريال'!$I$7:$I$36,$O257),INDEX('حضور غبريال'!$I$7:$I$36,$O257),INDEX('حضور رفائيل'!$I$7:$I$36,$O257),INDEX('حضور ميخائيل'!$I$7:$I$36,$O257)),""))</f>
        <v/>
      </c>
      <c r="V257" t="str">
        <f>IF($O257="","",IFERROR(CHOOSE(MATCH($F257,الإعدادات!$B$4:$B$7,0),INDEX('حضور سوريال'!$BM$7:$BM$36,$O257),INDEX('حضور غبريال'!$BM$7:$BM$36,$O257),INDEX('حضور رفائيل'!$BM$7:$BM$36,$O257),INDEX('حضور ميخائيل'!$BM$7:$BM$36,$O257)),""))</f>
        <v/>
      </c>
      <c r="W257" t="str">
        <f>IF(OR(V257=3,V257=4),COUNTIFS(V$6:V257,3)+COUNTIFS(V$6:V257,4),"")</f>
        <v/>
      </c>
    </row>
    <row r="258" spans="1:23" ht="25.5" customHeight="1">
      <c r="A258" s="13" t="str">
        <f t="shared" si="9"/>
        <v/>
      </c>
      <c r="B258" s="14" t="str">
        <f t="shared" si="10"/>
        <v/>
      </c>
      <c r="C258" s="15"/>
      <c r="D258" s="16"/>
      <c r="E258" s="16"/>
      <c r="F258" s="16"/>
      <c r="G258" s="16"/>
      <c r="H258" s="17"/>
      <c r="I258" s="17"/>
      <c r="J258" s="18"/>
      <c r="K258" s="16"/>
      <c r="L258" s="18"/>
      <c r="M258" s="16"/>
      <c r="N258" s="19" t="str">
        <f t="shared" si="11"/>
        <v/>
      </c>
      <c r="O258" s="19" t="str">
        <f>IF(OR(C258="",F258=""),"",COUNTIFS(F$6:F258,F258,C$6:C258,"&lt;&gt;"))</f>
        <v/>
      </c>
      <c r="P258" s="20" t="str">
        <f>IF($O258="","",IFERROR(CHOOSE(MATCH($F258,الإعدادات!$B$4:$B$7,0),INDEX('حضور سوريال'!$C$7:$C$36,$O258),INDEX('حضور غبريال'!$C$7:$C$36,$O258),INDEX('حضور رفائيل'!$C$7:$C$36,$O258),INDEX('حضور ميخائيل'!$C$7:$C$36,$O258)),""))</f>
        <v/>
      </c>
      <c r="Q258" s="20" t="str">
        <f>IF($O258="","",IFERROR(CHOOSE(MATCH($F258,الإعدادات!$B$4:$B$7,0),INDEX('حضور سوريال'!$D$7:$D$36,$O258),INDEX('حضور غبريال'!$D$7:$D$36,$O258),INDEX('حضور رفائيل'!$D$7:$D$36,$O258),INDEX('حضور ميخائيل'!$D$7:$D$36,$O258)),""))</f>
        <v/>
      </c>
      <c r="R258" s="21" t="str">
        <f>IF($O258="","",IFERROR(CHOOSE(MATCH($F258,الإعدادات!$B$4:$B$7,0),INDEX('حضور سوريال'!$F$7:$F$36,$O258),INDEX('حضور غبريال'!$F$7:$F$36,$O258),INDEX('حضور رفائيل'!$F$7:$F$36,$O258),INDEX('حضور ميخائيل'!$F$7:$F$36,$O258)),""))</f>
        <v/>
      </c>
      <c r="S258" s="20" t="str">
        <f>IF($O258="","",IFERROR(CHOOSE(MATCH($F258,الإعدادات!$B$4:$B$7,0),INDEX('حضور سوريال'!$G$7:$G$36,$O258),INDEX('حضور غبريال'!$G$7:$G$36,$O258),INDEX('حضور رفائيل'!$G$7:$G$36,$O258),INDEX('حضور ميخائيل'!$G$7:$G$36,$O258)),""))</f>
        <v/>
      </c>
      <c r="T258" s="22" t="str">
        <f>IF($O258="","",IFERROR(CHOOSE(MATCH($F258,الإعدادات!$B$4:$B$7,0),INDEX('حضور سوريال'!$H$7:$H$36,$O258),INDEX('حضور غبريال'!$H$7:$H$36,$O258),INDEX('حضور رفائيل'!$H$7:$H$36,$O258),INDEX('حضور ميخائيل'!$H$7:$H$36,$O258)),""))</f>
        <v/>
      </c>
      <c r="U258" s="23" t="str">
        <f>IF($O258="","",IFERROR(CHOOSE(MATCH($F258,الإعدادات!$B$4:$B$7,0),INDEX('حضور سوريال'!$I$7:$I$36,$O258),INDEX('حضور غبريال'!$I$7:$I$36,$O258),INDEX('حضور رفائيل'!$I$7:$I$36,$O258),INDEX('حضور ميخائيل'!$I$7:$I$36,$O258)),""))</f>
        <v/>
      </c>
      <c r="V258" t="str">
        <f>IF($O258="","",IFERROR(CHOOSE(MATCH($F258,الإعدادات!$B$4:$B$7,0),INDEX('حضور سوريال'!$BM$7:$BM$36,$O258),INDEX('حضور غبريال'!$BM$7:$BM$36,$O258),INDEX('حضور رفائيل'!$BM$7:$BM$36,$O258),INDEX('حضور ميخائيل'!$BM$7:$BM$36,$O258)),""))</f>
        <v/>
      </c>
      <c r="W258" t="str">
        <f>IF(OR(V258=3,V258=4),COUNTIFS(V$6:V258,3)+COUNTIFS(V$6:V258,4),"")</f>
        <v/>
      </c>
    </row>
    <row r="259" spans="1:23" ht="25.5" customHeight="1">
      <c r="A259" s="13" t="str">
        <f t="shared" si="9"/>
        <v/>
      </c>
      <c r="B259" s="14" t="str">
        <f t="shared" si="10"/>
        <v/>
      </c>
      <c r="C259" s="15"/>
      <c r="D259" s="16"/>
      <c r="E259" s="16"/>
      <c r="F259" s="16"/>
      <c r="G259" s="16"/>
      <c r="H259" s="17"/>
      <c r="I259" s="17"/>
      <c r="J259" s="18"/>
      <c r="K259" s="16"/>
      <c r="L259" s="18"/>
      <c r="M259" s="16"/>
      <c r="N259" s="19" t="str">
        <f t="shared" si="11"/>
        <v/>
      </c>
      <c r="O259" s="19" t="str">
        <f>IF(OR(C259="",F259=""),"",COUNTIFS(F$6:F259,F259,C$6:C259,"&lt;&gt;"))</f>
        <v/>
      </c>
      <c r="P259" s="20" t="str">
        <f>IF($O259="","",IFERROR(CHOOSE(MATCH($F259,الإعدادات!$B$4:$B$7,0),INDEX('حضور سوريال'!$C$7:$C$36,$O259),INDEX('حضور غبريال'!$C$7:$C$36,$O259),INDEX('حضور رفائيل'!$C$7:$C$36,$O259),INDEX('حضور ميخائيل'!$C$7:$C$36,$O259)),""))</f>
        <v/>
      </c>
      <c r="Q259" s="20" t="str">
        <f>IF($O259="","",IFERROR(CHOOSE(MATCH($F259,الإعدادات!$B$4:$B$7,0),INDEX('حضور سوريال'!$D$7:$D$36,$O259),INDEX('حضور غبريال'!$D$7:$D$36,$O259),INDEX('حضور رفائيل'!$D$7:$D$36,$O259),INDEX('حضور ميخائيل'!$D$7:$D$36,$O259)),""))</f>
        <v/>
      </c>
      <c r="R259" s="21" t="str">
        <f>IF($O259="","",IFERROR(CHOOSE(MATCH($F259,الإعدادات!$B$4:$B$7,0),INDEX('حضور سوريال'!$F$7:$F$36,$O259),INDEX('حضور غبريال'!$F$7:$F$36,$O259),INDEX('حضور رفائيل'!$F$7:$F$36,$O259),INDEX('حضور ميخائيل'!$F$7:$F$36,$O259)),""))</f>
        <v/>
      </c>
      <c r="S259" s="20" t="str">
        <f>IF($O259="","",IFERROR(CHOOSE(MATCH($F259,الإعدادات!$B$4:$B$7,0),INDEX('حضور سوريال'!$G$7:$G$36,$O259),INDEX('حضور غبريال'!$G$7:$G$36,$O259),INDEX('حضور رفائيل'!$G$7:$G$36,$O259),INDEX('حضور ميخائيل'!$G$7:$G$36,$O259)),""))</f>
        <v/>
      </c>
      <c r="T259" s="22" t="str">
        <f>IF($O259="","",IFERROR(CHOOSE(MATCH($F259,الإعدادات!$B$4:$B$7,0),INDEX('حضور سوريال'!$H$7:$H$36,$O259),INDEX('حضور غبريال'!$H$7:$H$36,$O259),INDEX('حضور رفائيل'!$H$7:$H$36,$O259),INDEX('حضور ميخائيل'!$H$7:$H$36,$O259)),""))</f>
        <v/>
      </c>
      <c r="U259" s="23" t="str">
        <f>IF($O259="","",IFERROR(CHOOSE(MATCH($F259,الإعدادات!$B$4:$B$7,0),INDEX('حضور سوريال'!$I$7:$I$36,$O259),INDEX('حضور غبريال'!$I$7:$I$36,$O259),INDEX('حضور رفائيل'!$I$7:$I$36,$O259),INDEX('حضور ميخائيل'!$I$7:$I$36,$O259)),""))</f>
        <v/>
      </c>
      <c r="V259" t="str">
        <f>IF($O259="","",IFERROR(CHOOSE(MATCH($F259,الإعدادات!$B$4:$B$7,0),INDEX('حضور سوريال'!$BM$7:$BM$36,$O259),INDEX('حضور غبريال'!$BM$7:$BM$36,$O259),INDEX('حضور رفائيل'!$BM$7:$BM$36,$O259),INDEX('حضور ميخائيل'!$BM$7:$BM$36,$O259)),""))</f>
        <v/>
      </c>
      <c r="W259" t="str">
        <f>IF(OR(V259=3,V259=4),COUNTIFS(V$6:V259,3)+COUNTIFS(V$6:V259,4),"")</f>
        <v/>
      </c>
    </row>
    <row r="260" spans="1:23" ht="25.5" customHeight="1">
      <c r="A260" s="13" t="str">
        <f t="shared" si="9"/>
        <v/>
      </c>
      <c r="B260" s="14" t="str">
        <f t="shared" si="10"/>
        <v/>
      </c>
      <c r="C260" s="15"/>
      <c r="D260" s="16"/>
      <c r="E260" s="16"/>
      <c r="F260" s="16"/>
      <c r="G260" s="16"/>
      <c r="H260" s="17"/>
      <c r="I260" s="17"/>
      <c r="J260" s="18"/>
      <c r="K260" s="16"/>
      <c r="L260" s="18"/>
      <c r="M260" s="16"/>
      <c r="N260" s="19" t="str">
        <f t="shared" si="11"/>
        <v/>
      </c>
      <c r="O260" s="19" t="str">
        <f>IF(OR(C260="",F260=""),"",COUNTIFS(F$6:F260,F260,C$6:C260,"&lt;&gt;"))</f>
        <v/>
      </c>
      <c r="P260" s="20" t="str">
        <f>IF($O260="","",IFERROR(CHOOSE(MATCH($F260,الإعدادات!$B$4:$B$7,0),INDEX('حضور سوريال'!$C$7:$C$36,$O260),INDEX('حضور غبريال'!$C$7:$C$36,$O260),INDEX('حضور رفائيل'!$C$7:$C$36,$O260),INDEX('حضور ميخائيل'!$C$7:$C$36,$O260)),""))</f>
        <v/>
      </c>
      <c r="Q260" s="20" t="str">
        <f>IF($O260="","",IFERROR(CHOOSE(MATCH($F260,الإعدادات!$B$4:$B$7,0),INDEX('حضور سوريال'!$D$7:$D$36,$O260),INDEX('حضور غبريال'!$D$7:$D$36,$O260),INDEX('حضور رفائيل'!$D$7:$D$36,$O260),INDEX('حضور ميخائيل'!$D$7:$D$36,$O260)),""))</f>
        <v/>
      </c>
      <c r="R260" s="21" t="str">
        <f>IF($O260="","",IFERROR(CHOOSE(MATCH($F260,الإعدادات!$B$4:$B$7,0),INDEX('حضور سوريال'!$F$7:$F$36,$O260),INDEX('حضور غبريال'!$F$7:$F$36,$O260),INDEX('حضور رفائيل'!$F$7:$F$36,$O260),INDEX('حضور ميخائيل'!$F$7:$F$36,$O260)),""))</f>
        <v/>
      </c>
      <c r="S260" s="20" t="str">
        <f>IF($O260="","",IFERROR(CHOOSE(MATCH($F260,الإعدادات!$B$4:$B$7,0),INDEX('حضور سوريال'!$G$7:$G$36,$O260),INDEX('حضور غبريال'!$G$7:$G$36,$O260),INDEX('حضور رفائيل'!$G$7:$G$36,$O260),INDEX('حضور ميخائيل'!$G$7:$G$36,$O260)),""))</f>
        <v/>
      </c>
      <c r="T260" s="22" t="str">
        <f>IF($O260="","",IFERROR(CHOOSE(MATCH($F260,الإعدادات!$B$4:$B$7,0),INDEX('حضور سوريال'!$H$7:$H$36,$O260),INDEX('حضور غبريال'!$H$7:$H$36,$O260),INDEX('حضور رفائيل'!$H$7:$H$36,$O260),INDEX('حضور ميخائيل'!$H$7:$H$36,$O260)),""))</f>
        <v/>
      </c>
      <c r="U260" s="23" t="str">
        <f>IF($O260="","",IFERROR(CHOOSE(MATCH($F260,الإعدادات!$B$4:$B$7,0),INDEX('حضور سوريال'!$I$7:$I$36,$O260),INDEX('حضور غبريال'!$I$7:$I$36,$O260),INDEX('حضور رفائيل'!$I$7:$I$36,$O260),INDEX('حضور ميخائيل'!$I$7:$I$36,$O260)),""))</f>
        <v/>
      </c>
      <c r="V260" t="str">
        <f>IF($O260="","",IFERROR(CHOOSE(MATCH($F260,الإعدادات!$B$4:$B$7,0),INDEX('حضور سوريال'!$BM$7:$BM$36,$O260),INDEX('حضور غبريال'!$BM$7:$BM$36,$O260),INDEX('حضور رفائيل'!$BM$7:$BM$36,$O260),INDEX('حضور ميخائيل'!$BM$7:$BM$36,$O260)),""))</f>
        <v/>
      </c>
      <c r="W260" t="str">
        <f>IF(OR(V260=3,V260=4),COUNTIFS(V$6:V260,3)+COUNTIFS(V$6:V260,4),"")</f>
        <v/>
      </c>
    </row>
    <row r="261" spans="1:23" ht="25.5" customHeight="1">
      <c r="A261" s="13" t="str">
        <f t="shared" si="9"/>
        <v/>
      </c>
      <c r="B261" s="14" t="str">
        <f t="shared" si="10"/>
        <v/>
      </c>
      <c r="C261" s="15"/>
      <c r="D261" s="16"/>
      <c r="E261" s="16"/>
      <c r="F261" s="16"/>
      <c r="G261" s="16"/>
      <c r="H261" s="17"/>
      <c r="I261" s="17"/>
      <c r="J261" s="18"/>
      <c r="K261" s="16"/>
      <c r="L261" s="18"/>
      <c r="M261" s="16"/>
      <c r="N261" s="19" t="str">
        <f t="shared" si="11"/>
        <v/>
      </c>
      <c r="O261" s="19" t="str">
        <f>IF(OR(C261="",F261=""),"",COUNTIFS(F$6:F261,F261,C$6:C261,"&lt;&gt;"))</f>
        <v/>
      </c>
      <c r="P261" s="20" t="str">
        <f>IF($O261="","",IFERROR(CHOOSE(MATCH($F261,الإعدادات!$B$4:$B$7,0),INDEX('حضور سوريال'!$C$7:$C$36,$O261),INDEX('حضور غبريال'!$C$7:$C$36,$O261),INDEX('حضور رفائيل'!$C$7:$C$36,$O261),INDEX('حضور ميخائيل'!$C$7:$C$36,$O261)),""))</f>
        <v/>
      </c>
      <c r="Q261" s="20" t="str">
        <f>IF($O261="","",IFERROR(CHOOSE(MATCH($F261,الإعدادات!$B$4:$B$7,0),INDEX('حضور سوريال'!$D$7:$D$36,$O261),INDEX('حضور غبريال'!$D$7:$D$36,$O261),INDEX('حضور رفائيل'!$D$7:$D$36,$O261),INDEX('حضور ميخائيل'!$D$7:$D$36,$O261)),""))</f>
        <v/>
      </c>
      <c r="R261" s="21" t="str">
        <f>IF($O261="","",IFERROR(CHOOSE(MATCH($F261,الإعدادات!$B$4:$B$7,0),INDEX('حضور سوريال'!$F$7:$F$36,$O261),INDEX('حضور غبريال'!$F$7:$F$36,$O261),INDEX('حضور رفائيل'!$F$7:$F$36,$O261),INDEX('حضور ميخائيل'!$F$7:$F$36,$O261)),""))</f>
        <v/>
      </c>
      <c r="S261" s="20" t="str">
        <f>IF($O261="","",IFERROR(CHOOSE(MATCH($F261,الإعدادات!$B$4:$B$7,0),INDEX('حضور سوريال'!$G$7:$G$36,$O261),INDEX('حضور غبريال'!$G$7:$G$36,$O261),INDEX('حضور رفائيل'!$G$7:$G$36,$O261),INDEX('حضور ميخائيل'!$G$7:$G$36,$O261)),""))</f>
        <v/>
      </c>
      <c r="T261" s="22" t="str">
        <f>IF($O261="","",IFERROR(CHOOSE(MATCH($F261,الإعدادات!$B$4:$B$7,0),INDEX('حضور سوريال'!$H$7:$H$36,$O261),INDEX('حضور غبريال'!$H$7:$H$36,$O261),INDEX('حضور رفائيل'!$H$7:$H$36,$O261),INDEX('حضور ميخائيل'!$H$7:$H$36,$O261)),""))</f>
        <v/>
      </c>
      <c r="U261" s="23" t="str">
        <f>IF($O261="","",IFERROR(CHOOSE(MATCH($F261,الإعدادات!$B$4:$B$7,0),INDEX('حضور سوريال'!$I$7:$I$36,$O261),INDEX('حضور غبريال'!$I$7:$I$36,$O261),INDEX('حضور رفائيل'!$I$7:$I$36,$O261),INDEX('حضور ميخائيل'!$I$7:$I$36,$O261)),""))</f>
        <v/>
      </c>
      <c r="V261" t="str">
        <f>IF($O261="","",IFERROR(CHOOSE(MATCH($F261,الإعدادات!$B$4:$B$7,0),INDEX('حضور سوريال'!$BM$7:$BM$36,$O261),INDEX('حضور غبريال'!$BM$7:$BM$36,$O261),INDEX('حضور رفائيل'!$BM$7:$BM$36,$O261),INDEX('حضور ميخائيل'!$BM$7:$BM$36,$O261)),""))</f>
        <v/>
      </c>
      <c r="W261" t="str">
        <f>IF(OR(V261=3,V261=4),COUNTIFS(V$6:V261,3)+COUNTIFS(V$6:V261,4),"")</f>
        <v/>
      </c>
    </row>
    <row r="262" spans="1:23" ht="25.5" customHeight="1">
      <c r="A262" s="13" t="str">
        <f t="shared" ref="A262:A305" si="12">IF(C262="","",ROW()-5)</f>
        <v/>
      </c>
      <c r="B262" s="14" t="str">
        <f t="shared" ref="B262:B305" si="13">IF(C262="","","B-"&amp;TEXT(ROW()-5,"000"))</f>
        <v/>
      </c>
      <c r="C262" s="15"/>
      <c r="D262" s="16"/>
      <c r="E262" s="16"/>
      <c r="F262" s="16"/>
      <c r="G262" s="16"/>
      <c r="H262" s="17"/>
      <c r="I262" s="17"/>
      <c r="J262" s="18"/>
      <c r="K262" s="16"/>
      <c r="L262" s="18"/>
      <c r="M262" s="16"/>
      <c r="N262" s="19" t="str">
        <f t="shared" ref="N262:N305" si="14">IF(O262="","",F262&amp;"|"&amp;O262)</f>
        <v/>
      </c>
      <c r="O262" s="19" t="str">
        <f>IF(OR(C262="",F262=""),"",COUNTIFS(F$6:F262,F262,C$6:C262,"&lt;&gt;"))</f>
        <v/>
      </c>
      <c r="P262" s="20" t="str">
        <f>IF($O262="","",IFERROR(CHOOSE(MATCH($F262,الإعدادات!$B$4:$B$7,0),INDEX('حضور سوريال'!$C$7:$C$36,$O262),INDEX('حضور غبريال'!$C$7:$C$36,$O262),INDEX('حضور رفائيل'!$C$7:$C$36,$O262),INDEX('حضور ميخائيل'!$C$7:$C$36,$O262)),""))</f>
        <v/>
      </c>
      <c r="Q262" s="20" t="str">
        <f>IF($O262="","",IFERROR(CHOOSE(MATCH($F262,الإعدادات!$B$4:$B$7,0),INDEX('حضور سوريال'!$D$7:$D$36,$O262),INDEX('حضور غبريال'!$D$7:$D$36,$O262),INDEX('حضور رفائيل'!$D$7:$D$36,$O262),INDEX('حضور ميخائيل'!$D$7:$D$36,$O262)),""))</f>
        <v/>
      </c>
      <c r="R262" s="21" t="str">
        <f>IF($O262="","",IFERROR(CHOOSE(MATCH($F262,الإعدادات!$B$4:$B$7,0),INDEX('حضور سوريال'!$F$7:$F$36,$O262),INDEX('حضور غبريال'!$F$7:$F$36,$O262),INDEX('حضور رفائيل'!$F$7:$F$36,$O262),INDEX('حضور ميخائيل'!$F$7:$F$36,$O262)),""))</f>
        <v/>
      </c>
      <c r="S262" s="20" t="str">
        <f>IF($O262="","",IFERROR(CHOOSE(MATCH($F262,الإعدادات!$B$4:$B$7,0),INDEX('حضور سوريال'!$G$7:$G$36,$O262),INDEX('حضور غبريال'!$G$7:$G$36,$O262),INDEX('حضور رفائيل'!$G$7:$G$36,$O262),INDEX('حضور ميخائيل'!$G$7:$G$36,$O262)),""))</f>
        <v/>
      </c>
      <c r="T262" s="22" t="str">
        <f>IF($O262="","",IFERROR(CHOOSE(MATCH($F262,الإعدادات!$B$4:$B$7,0),INDEX('حضور سوريال'!$H$7:$H$36,$O262),INDEX('حضور غبريال'!$H$7:$H$36,$O262),INDEX('حضور رفائيل'!$H$7:$H$36,$O262),INDEX('حضور ميخائيل'!$H$7:$H$36,$O262)),""))</f>
        <v/>
      </c>
      <c r="U262" s="23" t="str">
        <f>IF($O262="","",IFERROR(CHOOSE(MATCH($F262,الإعدادات!$B$4:$B$7,0),INDEX('حضور سوريال'!$I$7:$I$36,$O262),INDEX('حضور غبريال'!$I$7:$I$36,$O262),INDEX('حضور رفائيل'!$I$7:$I$36,$O262),INDEX('حضور ميخائيل'!$I$7:$I$36,$O262)),""))</f>
        <v/>
      </c>
      <c r="V262" t="str">
        <f>IF($O262="","",IFERROR(CHOOSE(MATCH($F262,الإعدادات!$B$4:$B$7,0),INDEX('حضور سوريال'!$BM$7:$BM$36,$O262),INDEX('حضور غبريال'!$BM$7:$BM$36,$O262),INDEX('حضور رفائيل'!$BM$7:$BM$36,$O262),INDEX('حضور ميخائيل'!$BM$7:$BM$36,$O262)),""))</f>
        <v/>
      </c>
      <c r="W262" t="str">
        <f>IF(OR(V262=3,V262=4),COUNTIFS(V$6:V262,3)+COUNTIFS(V$6:V262,4),"")</f>
        <v/>
      </c>
    </row>
    <row r="263" spans="1:23" ht="25.5" customHeight="1">
      <c r="A263" s="13" t="str">
        <f t="shared" si="12"/>
        <v/>
      </c>
      <c r="B263" s="14" t="str">
        <f t="shared" si="13"/>
        <v/>
      </c>
      <c r="C263" s="15"/>
      <c r="D263" s="16"/>
      <c r="E263" s="16"/>
      <c r="F263" s="16"/>
      <c r="G263" s="16"/>
      <c r="H263" s="17"/>
      <c r="I263" s="17"/>
      <c r="J263" s="18"/>
      <c r="K263" s="16"/>
      <c r="L263" s="18"/>
      <c r="M263" s="16"/>
      <c r="N263" s="19" t="str">
        <f t="shared" si="14"/>
        <v/>
      </c>
      <c r="O263" s="19" t="str">
        <f>IF(OR(C263="",F263=""),"",COUNTIFS(F$6:F263,F263,C$6:C263,"&lt;&gt;"))</f>
        <v/>
      </c>
      <c r="P263" s="20" t="str">
        <f>IF($O263="","",IFERROR(CHOOSE(MATCH($F263,الإعدادات!$B$4:$B$7,0),INDEX('حضور سوريال'!$C$7:$C$36,$O263),INDEX('حضور غبريال'!$C$7:$C$36,$O263),INDEX('حضور رفائيل'!$C$7:$C$36,$O263),INDEX('حضور ميخائيل'!$C$7:$C$36,$O263)),""))</f>
        <v/>
      </c>
      <c r="Q263" s="20" t="str">
        <f>IF($O263="","",IFERROR(CHOOSE(MATCH($F263,الإعدادات!$B$4:$B$7,0),INDEX('حضور سوريال'!$D$7:$D$36,$O263),INDEX('حضور غبريال'!$D$7:$D$36,$O263),INDEX('حضور رفائيل'!$D$7:$D$36,$O263),INDEX('حضور ميخائيل'!$D$7:$D$36,$O263)),""))</f>
        <v/>
      </c>
      <c r="R263" s="21" t="str">
        <f>IF($O263="","",IFERROR(CHOOSE(MATCH($F263,الإعدادات!$B$4:$B$7,0),INDEX('حضور سوريال'!$F$7:$F$36,$O263),INDEX('حضور غبريال'!$F$7:$F$36,$O263),INDEX('حضور رفائيل'!$F$7:$F$36,$O263),INDEX('حضور ميخائيل'!$F$7:$F$36,$O263)),""))</f>
        <v/>
      </c>
      <c r="S263" s="20" t="str">
        <f>IF($O263="","",IFERROR(CHOOSE(MATCH($F263,الإعدادات!$B$4:$B$7,0),INDEX('حضور سوريال'!$G$7:$G$36,$O263),INDEX('حضور غبريال'!$G$7:$G$36,$O263),INDEX('حضور رفائيل'!$G$7:$G$36,$O263),INDEX('حضور ميخائيل'!$G$7:$G$36,$O263)),""))</f>
        <v/>
      </c>
      <c r="T263" s="22" t="str">
        <f>IF($O263="","",IFERROR(CHOOSE(MATCH($F263,الإعدادات!$B$4:$B$7,0),INDEX('حضور سوريال'!$H$7:$H$36,$O263),INDEX('حضور غبريال'!$H$7:$H$36,$O263),INDEX('حضور رفائيل'!$H$7:$H$36,$O263),INDEX('حضور ميخائيل'!$H$7:$H$36,$O263)),""))</f>
        <v/>
      </c>
      <c r="U263" s="23" t="str">
        <f>IF($O263="","",IFERROR(CHOOSE(MATCH($F263,الإعدادات!$B$4:$B$7,0),INDEX('حضور سوريال'!$I$7:$I$36,$O263),INDEX('حضور غبريال'!$I$7:$I$36,$O263),INDEX('حضور رفائيل'!$I$7:$I$36,$O263),INDEX('حضور ميخائيل'!$I$7:$I$36,$O263)),""))</f>
        <v/>
      </c>
      <c r="V263" t="str">
        <f>IF($O263="","",IFERROR(CHOOSE(MATCH($F263,الإعدادات!$B$4:$B$7,0),INDEX('حضور سوريال'!$BM$7:$BM$36,$O263),INDEX('حضور غبريال'!$BM$7:$BM$36,$O263),INDEX('حضور رفائيل'!$BM$7:$BM$36,$O263),INDEX('حضور ميخائيل'!$BM$7:$BM$36,$O263)),""))</f>
        <v/>
      </c>
      <c r="W263" t="str">
        <f>IF(OR(V263=3,V263=4),COUNTIFS(V$6:V263,3)+COUNTIFS(V$6:V263,4),"")</f>
        <v/>
      </c>
    </row>
    <row r="264" spans="1:23" ht="25.5" customHeight="1">
      <c r="A264" s="13" t="str">
        <f t="shared" si="12"/>
        <v/>
      </c>
      <c r="B264" s="14" t="str">
        <f t="shared" si="13"/>
        <v/>
      </c>
      <c r="C264" s="15"/>
      <c r="D264" s="16"/>
      <c r="E264" s="16"/>
      <c r="F264" s="16"/>
      <c r="G264" s="16"/>
      <c r="H264" s="17"/>
      <c r="I264" s="17"/>
      <c r="J264" s="18"/>
      <c r="K264" s="16"/>
      <c r="L264" s="18"/>
      <c r="M264" s="16"/>
      <c r="N264" s="19" t="str">
        <f t="shared" si="14"/>
        <v/>
      </c>
      <c r="O264" s="19" t="str">
        <f>IF(OR(C264="",F264=""),"",COUNTIFS(F$6:F264,F264,C$6:C264,"&lt;&gt;"))</f>
        <v/>
      </c>
      <c r="P264" s="20" t="str">
        <f>IF($O264="","",IFERROR(CHOOSE(MATCH($F264,الإعدادات!$B$4:$B$7,0),INDEX('حضور سوريال'!$C$7:$C$36,$O264),INDEX('حضور غبريال'!$C$7:$C$36,$O264),INDEX('حضور رفائيل'!$C$7:$C$36,$O264),INDEX('حضور ميخائيل'!$C$7:$C$36,$O264)),""))</f>
        <v/>
      </c>
      <c r="Q264" s="20" t="str">
        <f>IF($O264="","",IFERROR(CHOOSE(MATCH($F264,الإعدادات!$B$4:$B$7,0),INDEX('حضور سوريال'!$D$7:$D$36,$O264),INDEX('حضور غبريال'!$D$7:$D$36,$O264),INDEX('حضور رفائيل'!$D$7:$D$36,$O264),INDEX('حضور ميخائيل'!$D$7:$D$36,$O264)),""))</f>
        <v/>
      </c>
      <c r="R264" s="21" t="str">
        <f>IF($O264="","",IFERROR(CHOOSE(MATCH($F264,الإعدادات!$B$4:$B$7,0),INDEX('حضور سوريال'!$F$7:$F$36,$O264),INDEX('حضور غبريال'!$F$7:$F$36,$O264),INDEX('حضور رفائيل'!$F$7:$F$36,$O264),INDEX('حضور ميخائيل'!$F$7:$F$36,$O264)),""))</f>
        <v/>
      </c>
      <c r="S264" s="20" t="str">
        <f>IF($O264="","",IFERROR(CHOOSE(MATCH($F264,الإعدادات!$B$4:$B$7,0),INDEX('حضور سوريال'!$G$7:$G$36,$O264),INDEX('حضور غبريال'!$G$7:$G$36,$O264),INDEX('حضور رفائيل'!$G$7:$G$36,$O264),INDEX('حضور ميخائيل'!$G$7:$G$36,$O264)),""))</f>
        <v/>
      </c>
      <c r="T264" s="22" t="str">
        <f>IF($O264="","",IFERROR(CHOOSE(MATCH($F264,الإعدادات!$B$4:$B$7,0),INDEX('حضور سوريال'!$H$7:$H$36,$O264),INDEX('حضور غبريال'!$H$7:$H$36,$O264),INDEX('حضور رفائيل'!$H$7:$H$36,$O264),INDEX('حضور ميخائيل'!$H$7:$H$36,$O264)),""))</f>
        <v/>
      </c>
      <c r="U264" s="23" t="str">
        <f>IF($O264="","",IFERROR(CHOOSE(MATCH($F264,الإعدادات!$B$4:$B$7,0),INDEX('حضور سوريال'!$I$7:$I$36,$O264),INDEX('حضور غبريال'!$I$7:$I$36,$O264),INDEX('حضور رفائيل'!$I$7:$I$36,$O264),INDEX('حضور ميخائيل'!$I$7:$I$36,$O264)),""))</f>
        <v/>
      </c>
      <c r="V264" t="str">
        <f>IF($O264="","",IFERROR(CHOOSE(MATCH($F264,الإعدادات!$B$4:$B$7,0),INDEX('حضور سوريال'!$BM$7:$BM$36,$O264),INDEX('حضور غبريال'!$BM$7:$BM$36,$O264),INDEX('حضور رفائيل'!$BM$7:$BM$36,$O264),INDEX('حضور ميخائيل'!$BM$7:$BM$36,$O264)),""))</f>
        <v/>
      </c>
      <c r="W264" t="str">
        <f>IF(OR(V264=3,V264=4),COUNTIFS(V$6:V264,3)+COUNTIFS(V$6:V264,4),"")</f>
        <v/>
      </c>
    </row>
    <row r="265" spans="1:23" ht="25.5" customHeight="1">
      <c r="A265" s="13" t="str">
        <f t="shared" si="12"/>
        <v/>
      </c>
      <c r="B265" s="14" t="str">
        <f t="shared" si="13"/>
        <v/>
      </c>
      <c r="C265" s="15"/>
      <c r="D265" s="16"/>
      <c r="E265" s="16"/>
      <c r="F265" s="16"/>
      <c r="G265" s="16"/>
      <c r="H265" s="17"/>
      <c r="I265" s="17"/>
      <c r="J265" s="18"/>
      <c r="K265" s="16"/>
      <c r="L265" s="18"/>
      <c r="M265" s="16"/>
      <c r="N265" s="19" t="str">
        <f t="shared" si="14"/>
        <v/>
      </c>
      <c r="O265" s="19" t="str">
        <f>IF(OR(C265="",F265=""),"",COUNTIFS(F$6:F265,F265,C$6:C265,"&lt;&gt;"))</f>
        <v/>
      </c>
      <c r="P265" s="20" t="str">
        <f>IF($O265="","",IFERROR(CHOOSE(MATCH($F265,الإعدادات!$B$4:$B$7,0),INDEX('حضور سوريال'!$C$7:$C$36,$O265),INDEX('حضور غبريال'!$C$7:$C$36,$O265),INDEX('حضور رفائيل'!$C$7:$C$36,$O265),INDEX('حضور ميخائيل'!$C$7:$C$36,$O265)),""))</f>
        <v/>
      </c>
      <c r="Q265" s="20" t="str">
        <f>IF($O265="","",IFERROR(CHOOSE(MATCH($F265,الإعدادات!$B$4:$B$7,0),INDEX('حضور سوريال'!$D$7:$D$36,$O265),INDEX('حضور غبريال'!$D$7:$D$36,$O265),INDEX('حضور رفائيل'!$D$7:$D$36,$O265),INDEX('حضور ميخائيل'!$D$7:$D$36,$O265)),""))</f>
        <v/>
      </c>
      <c r="R265" s="21" t="str">
        <f>IF($O265="","",IFERROR(CHOOSE(MATCH($F265,الإعدادات!$B$4:$B$7,0),INDEX('حضور سوريال'!$F$7:$F$36,$O265),INDEX('حضور غبريال'!$F$7:$F$36,$O265),INDEX('حضور رفائيل'!$F$7:$F$36,$O265),INDEX('حضور ميخائيل'!$F$7:$F$36,$O265)),""))</f>
        <v/>
      </c>
      <c r="S265" s="20" t="str">
        <f>IF($O265="","",IFERROR(CHOOSE(MATCH($F265,الإعدادات!$B$4:$B$7,0),INDEX('حضور سوريال'!$G$7:$G$36,$O265),INDEX('حضور غبريال'!$G$7:$G$36,$O265),INDEX('حضور رفائيل'!$G$7:$G$36,$O265),INDEX('حضور ميخائيل'!$G$7:$G$36,$O265)),""))</f>
        <v/>
      </c>
      <c r="T265" s="22" t="str">
        <f>IF($O265="","",IFERROR(CHOOSE(MATCH($F265,الإعدادات!$B$4:$B$7,0),INDEX('حضور سوريال'!$H$7:$H$36,$O265),INDEX('حضور غبريال'!$H$7:$H$36,$O265),INDEX('حضور رفائيل'!$H$7:$H$36,$O265),INDEX('حضور ميخائيل'!$H$7:$H$36,$O265)),""))</f>
        <v/>
      </c>
      <c r="U265" s="23" t="str">
        <f>IF($O265="","",IFERROR(CHOOSE(MATCH($F265,الإعدادات!$B$4:$B$7,0),INDEX('حضور سوريال'!$I$7:$I$36,$O265),INDEX('حضور غبريال'!$I$7:$I$36,$O265),INDEX('حضور رفائيل'!$I$7:$I$36,$O265),INDEX('حضور ميخائيل'!$I$7:$I$36,$O265)),""))</f>
        <v/>
      </c>
      <c r="V265" t="str">
        <f>IF($O265="","",IFERROR(CHOOSE(MATCH($F265,الإعدادات!$B$4:$B$7,0),INDEX('حضور سوريال'!$BM$7:$BM$36,$O265),INDEX('حضور غبريال'!$BM$7:$BM$36,$O265),INDEX('حضور رفائيل'!$BM$7:$BM$36,$O265),INDEX('حضور ميخائيل'!$BM$7:$BM$36,$O265)),""))</f>
        <v/>
      </c>
      <c r="W265" t="str">
        <f>IF(OR(V265=3,V265=4),COUNTIFS(V$6:V265,3)+COUNTIFS(V$6:V265,4),"")</f>
        <v/>
      </c>
    </row>
    <row r="266" spans="1:23" ht="25.5" customHeight="1">
      <c r="A266" s="13" t="str">
        <f t="shared" si="12"/>
        <v/>
      </c>
      <c r="B266" s="14" t="str">
        <f t="shared" si="13"/>
        <v/>
      </c>
      <c r="C266" s="15"/>
      <c r="D266" s="16"/>
      <c r="E266" s="16"/>
      <c r="F266" s="16"/>
      <c r="G266" s="16"/>
      <c r="H266" s="17"/>
      <c r="I266" s="17"/>
      <c r="J266" s="18"/>
      <c r="K266" s="16"/>
      <c r="L266" s="18"/>
      <c r="M266" s="16"/>
      <c r="N266" s="19" t="str">
        <f t="shared" si="14"/>
        <v/>
      </c>
      <c r="O266" s="19" t="str">
        <f>IF(OR(C266="",F266=""),"",COUNTIFS(F$6:F266,F266,C$6:C266,"&lt;&gt;"))</f>
        <v/>
      </c>
      <c r="P266" s="20" t="str">
        <f>IF($O266="","",IFERROR(CHOOSE(MATCH($F266,الإعدادات!$B$4:$B$7,0),INDEX('حضور سوريال'!$C$7:$C$36,$O266),INDEX('حضور غبريال'!$C$7:$C$36,$O266),INDEX('حضور رفائيل'!$C$7:$C$36,$O266),INDEX('حضور ميخائيل'!$C$7:$C$36,$O266)),""))</f>
        <v/>
      </c>
      <c r="Q266" s="20" t="str">
        <f>IF($O266="","",IFERROR(CHOOSE(MATCH($F266,الإعدادات!$B$4:$B$7,0),INDEX('حضور سوريال'!$D$7:$D$36,$O266),INDEX('حضور غبريال'!$D$7:$D$36,$O266),INDEX('حضور رفائيل'!$D$7:$D$36,$O266),INDEX('حضور ميخائيل'!$D$7:$D$36,$O266)),""))</f>
        <v/>
      </c>
      <c r="R266" s="21" t="str">
        <f>IF($O266="","",IFERROR(CHOOSE(MATCH($F266,الإعدادات!$B$4:$B$7,0),INDEX('حضور سوريال'!$F$7:$F$36,$O266),INDEX('حضور غبريال'!$F$7:$F$36,$O266),INDEX('حضور رفائيل'!$F$7:$F$36,$O266),INDEX('حضور ميخائيل'!$F$7:$F$36,$O266)),""))</f>
        <v/>
      </c>
      <c r="S266" s="20" t="str">
        <f>IF($O266="","",IFERROR(CHOOSE(MATCH($F266,الإعدادات!$B$4:$B$7,0),INDEX('حضور سوريال'!$G$7:$G$36,$O266),INDEX('حضور غبريال'!$G$7:$G$36,$O266),INDEX('حضور رفائيل'!$G$7:$G$36,$O266),INDEX('حضور ميخائيل'!$G$7:$G$36,$O266)),""))</f>
        <v/>
      </c>
      <c r="T266" s="22" t="str">
        <f>IF($O266="","",IFERROR(CHOOSE(MATCH($F266,الإعدادات!$B$4:$B$7,0),INDEX('حضور سوريال'!$H$7:$H$36,$O266),INDEX('حضور غبريال'!$H$7:$H$36,$O266),INDEX('حضور رفائيل'!$H$7:$H$36,$O266),INDEX('حضور ميخائيل'!$H$7:$H$36,$O266)),""))</f>
        <v/>
      </c>
      <c r="U266" s="23" t="str">
        <f>IF($O266="","",IFERROR(CHOOSE(MATCH($F266,الإعدادات!$B$4:$B$7,0),INDEX('حضور سوريال'!$I$7:$I$36,$O266),INDEX('حضور غبريال'!$I$7:$I$36,$O266),INDEX('حضور رفائيل'!$I$7:$I$36,$O266),INDEX('حضور ميخائيل'!$I$7:$I$36,$O266)),""))</f>
        <v/>
      </c>
      <c r="V266" t="str">
        <f>IF($O266="","",IFERROR(CHOOSE(MATCH($F266,الإعدادات!$B$4:$B$7,0),INDEX('حضور سوريال'!$BM$7:$BM$36,$O266),INDEX('حضور غبريال'!$BM$7:$BM$36,$O266),INDEX('حضور رفائيل'!$BM$7:$BM$36,$O266),INDEX('حضور ميخائيل'!$BM$7:$BM$36,$O266)),""))</f>
        <v/>
      </c>
      <c r="W266" t="str">
        <f>IF(OR(V266=3,V266=4),COUNTIFS(V$6:V266,3)+COUNTIFS(V$6:V266,4),"")</f>
        <v/>
      </c>
    </row>
    <row r="267" spans="1:23" ht="25.5" customHeight="1">
      <c r="A267" s="13" t="str">
        <f t="shared" si="12"/>
        <v/>
      </c>
      <c r="B267" s="14" t="str">
        <f t="shared" si="13"/>
        <v/>
      </c>
      <c r="C267" s="15"/>
      <c r="D267" s="16"/>
      <c r="E267" s="16"/>
      <c r="F267" s="16"/>
      <c r="G267" s="16"/>
      <c r="H267" s="17"/>
      <c r="I267" s="17"/>
      <c r="J267" s="18"/>
      <c r="K267" s="16"/>
      <c r="L267" s="18"/>
      <c r="M267" s="16"/>
      <c r="N267" s="19" t="str">
        <f t="shared" si="14"/>
        <v/>
      </c>
      <c r="O267" s="19" t="str">
        <f>IF(OR(C267="",F267=""),"",COUNTIFS(F$6:F267,F267,C$6:C267,"&lt;&gt;"))</f>
        <v/>
      </c>
      <c r="P267" s="20" t="str">
        <f>IF($O267="","",IFERROR(CHOOSE(MATCH($F267,الإعدادات!$B$4:$B$7,0),INDEX('حضور سوريال'!$C$7:$C$36,$O267),INDEX('حضور غبريال'!$C$7:$C$36,$O267),INDEX('حضور رفائيل'!$C$7:$C$36,$O267),INDEX('حضور ميخائيل'!$C$7:$C$36,$O267)),""))</f>
        <v/>
      </c>
      <c r="Q267" s="20" t="str">
        <f>IF($O267="","",IFERROR(CHOOSE(MATCH($F267,الإعدادات!$B$4:$B$7,0),INDEX('حضور سوريال'!$D$7:$D$36,$O267),INDEX('حضور غبريال'!$D$7:$D$36,$O267),INDEX('حضور رفائيل'!$D$7:$D$36,$O267),INDEX('حضور ميخائيل'!$D$7:$D$36,$O267)),""))</f>
        <v/>
      </c>
      <c r="R267" s="21" t="str">
        <f>IF($O267="","",IFERROR(CHOOSE(MATCH($F267,الإعدادات!$B$4:$B$7,0),INDEX('حضور سوريال'!$F$7:$F$36,$O267),INDEX('حضور غبريال'!$F$7:$F$36,$O267),INDEX('حضور رفائيل'!$F$7:$F$36,$O267),INDEX('حضور ميخائيل'!$F$7:$F$36,$O267)),""))</f>
        <v/>
      </c>
      <c r="S267" s="20" t="str">
        <f>IF($O267="","",IFERROR(CHOOSE(MATCH($F267,الإعدادات!$B$4:$B$7,0),INDEX('حضور سوريال'!$G$7:$G$36,$O267),INDEX('حضور غبريال'!$G$7:$G$36,$O267),INDEX('حضور رفائيل'!$G$7:$G$36,$O267),INDEX('حضور ميخائيل'!$G$7:$G$36,$O267)),""))</f>
        <v/>
      </c>
      <c r="T267" s="22" t="str">
        <f>IF($O267="","",IFERROR(CHOOSE(MATCH($F267,الإعدادات!$B$4:$B$7,0),INDEX('حضور سوريال'!$H$7:$H$36,$O267),INDEX('حضور غبريال'!$H$7:$H$36,$O267),INDEX('حضور رفائيل'!$H$7:$H$36,$O267),INDEX('حضور ميخائيل'!$H$7:$H$36,$O267)),""))</f>
        <v/>
      </c>
      <c r="U267" s="23" t="str">
        <f>IF($O267="","",IFERROR(CHOOSE(MATCH($F267,الإعدادات!$B$4:$B$7,0),INDEX('حضور سوريال'!$I$7:$I$36,$O267),INDEX('حضور غبريال'!$I$7:$I$36,$O267),INDEX('حضور رفائيل'!$I$7:$I$36,$O267),INDEX('حضور ميخائيل'!$I$7:$I$36,$O267)),""))</f>
        <v/>
      </c>
      <c r="V267" t="str">
        <f>IF($O267="","",IFERROR(CHOOSE(MATCH($F267,الإعدادات!$B$4:$B$7,0),INDEX('حضور سوريال'!$BM$7:$BM$36,$O267),INDEX('حضور غبريال'!$BM$7:$BM$36,$O267),INDEX('حضور رفائيل'!$BM$7:$BM$36,$O267),INDEX('حضور ميخائيل'!$BM$7:$BM$36,$O267)),""))</f>
        <v/>
      </c>
      <c r="W267" t="str">
        <f>IF(OR(V267=3,V267=4),COUNTIFS(V$6:V267,3)+COUNTIFS(V$6:V267,4),"")</f>
        <v/>
      </c>
    </row>
    <row r="268" spans="1:23" ht="25.5" customHeight="1">
      <c r="A268" s="13" t="str">
        <f t="shared" si="12"/>
        <v/>
      </c>
      <c r="B268" s="14" t="str">
        <f t="shared" si="13"/>
        <v/>
      </c>
      <c r="C268" s="15"/>
      <c r="D268" s="16"/>
      <c r="E268" s="16"/>
      <c r="F268" s="16"/>
      <c r="G268" s="16"/>
      <c r="H268" s="17"/>
      <c r="I268" s="17"/>
      <c r="J268" s="18"/>
      <c r="K268" s="16"/>
      <c r="L268" s="18"/>
      <c r="M268" s="16"/>
      <c r="N268" s="19" t="str">
        <f t="shared" si="14"/>
        <v/>
      </c>
      <c r="O268" s="19" t="str">
        <f>IF(OR(C268="",F268=""),"",COUNTIFS(F$6:F268,F268,C$6:C268,"&lt;&gt;"))</f>
        <v/>
      </c>
      <c r="P268" s="20" t="str">
        <f>IF($O268="","",IFERROR(CHOOSE(MATCH($F268,الإعدادات!$B$4:$B$7,0),INDEX('حضور سوريال'!$C$7:$C$36,$O268),INDEX('حضور غبريال'!$C$7:$C$36,$O268),INDEX('حضور رفائيل'!$C$7:$C$36,$O268),INDEX('حضور ميخائيل'!$C$7:$C$36,$O268)),""))</f>
        <v/>
      </c>
      <c r="Q268" s="20" t="str">
        <f>IF($O268="","",IFERROR(CHOOSE(MATCH($F268,الإعدادات!$B$4:$B$7,0),INDEX('حضور سوريال'!$D$7:$D$36,$O268),INDEX('حضور غبريال'!$D$7:$D$36,$O268),INDEX('حضور رفائيل'!$D$7:$D$36,$O268),INDEX('حضور ميخائيل'!$D$7:$D$36,$O268)),""))</f>
        <v/>
      </c>
      <c r="R268" s="21" t="str">
        <f>IF($O268="","",IFERROR(CHOOSE(MATCH($F268,الإعدادات!$B$4:$B$7,0),INDEX('حضور سوريال'!$F$7:$F$36,$O268),INDEX('حضور غبريال'!$F$7:$F$36,$O268),INDEX('حضور رفائيل'!$F$7:$F$36,$O268),INDEX('حضور ميخائيل'!$F$7:$F$36,$O268)),""))</f>
        <v/>
      </c>
      <c r="S268" s="20" t="str">
        <f>IF($O268="","",IFERROR(CHOOSE(MATCH($F268,الإعدادات!$B$4:$B$7,0),INDEX('حضور سوريال'!$G$7:$G$36,$O268),INDEX('حضور غبريال'!$G$7:$G$36,$O268),INDEX('حضور رفائيل'!$G$7:$G$36,$O268),INDEX('حضور ميخائيل'!$G$7:$G$36,$O268)),""))</f>
        <v/>
      </c>
      <c r="T268" s="22" t="str">
        <f>IF($O268="","",IFERROR(CHOOSE(MATCH($F268,الإعدادات!$B$4:$B$7,0),INDEX('حضور سوريال'!$H$7:$H$36,$O268),INDEX('حضور غبريال'!$H$7:$H$36,$O268),INDEX('حضور رفائيل'!$H$7:$H$36,$O268),INDEX('حضور ميخائيل'!$H$7:$H$36,$O268)),""))</f>
        <v/>
      </c>
      <c r="U268" s="23" t="str">
        <f>IF($O268="","",IFERROR(CHOOSE(MATCH($F268,الإعدادات!$B$4:$B$7,0),INDEX('حضور سوريال'!$I$7:$I$36,$O268),INDEX('حضور غبريال'!$I$7:$I$36,$O268),INDEX('حضور رفائيل'!$I$7:$I$36,$O268),INDEX('حضور ميخائيل'!$I$7:$I$36,$O268)),""))</f>
        <v/>
      </c>
      <c r="V268" t="str">
        <f>IF($O268="","",IFERROR(CHOOSE(MATCH($F268,الإعدادات!$B$4:$B$7,0),INDEX('حضور سوريال'!$BM$7:$BM$36,$O268),INDEX('حضور غبريال'!$BM$7:$BM$36,$O268),INDEX('حضور رفائيل'!$BM$7:$BM$36,$O268),INDEX('حضور ميخائيل'!$BM$7:$BM$36,$O268)),""))</f>
        <v/>
      </c>
      <c r="W268" t="str">
        <f>IF(OR(V268=3,V268=4),COUNTIFS(V$6:V268,3)+COUNTIFS(V$6:V268,4),"")</f>
        <v/>
      </c>
    </row>
    <row r="269" spans="1:23" ht="25.5" customHeight="1">
      <c r="A269" s="13" t="str">
        <f t="shared" si="12"/>
        <v/>
      </c>
      <c r="B269" s="14" t="str">
        <f t="shared" si="13"/>
        <v/>
      </c>
      <c r="C269" s="15"/>
      <c r="D269" s="16"/>
      <c r="E269" s="16"/>
      <c r="F269" s="16"/>
      <c r="G269" s="16"/>
      <c r="H269" s="17"/>
      <c r="I269" s="17"/>
      <c r="J269" s="18"/>
      <c r="K269" s="16"/>
      <c r="L269" s="18"/>
      <c r="M269" s="16"/>
      <c r="N269" s="19" t="str">
        <f t="shared" si="14"/>
        <v/>
      </c>
      <c r="O269" s="19" t="str">
        <f>IF(OR(C269="",F269=""),"",COUNTIFS(F$6:F269,F269,C$6:C269,"&lt;&gt;"))</f>
        <v/>
      </c>
      <c r="P269" s="20" t="str">
        <f>IF($O269="","",IFERROR(CHOOSE(MATCH($F269,الإعدادات!$B$4:$B$7,0),INDEX('حضور سوريال'!$C$7:$C$36,$O269),INDEX('حضور غبريال'!$C$7:$C$36,$O269),INDEX('حضور رفائيل'!$C$7:$C$36,$O269),INDEX('حضور ميخائيل'!$C$7:$C$36,$O269)),""))</f>
        <v/>
      </c>
      <c r="Q269" s="20" t="str">
        <f>IF($O269="","",IFERROR(CHOOSE(MATCH($F269,الإعدادات!$B$4:$B$7,0),INDEX('حضور سوريال'!$D$7:$D$36,$O269),INDEX('حضور غبريال'!$D$7:$D$36,$O269),INDEX('حضور رفائيل'!$D$7:$D$36,$O269),INDEX('حضور ميخائيل'!$D$7:$D$36,$O269)),""))</f>
        <v/>
      </c>
      <c r="R269" s="21" t="str">
        <f>IF($O269="","",IFERROR(CHOOSE(MATCH($F269,الإعدادات!$B$4:$B$7,0),INDEX('حضور سوريال'!$F$7:$F$36,$O269),INDEX('حضور غبريال'!$F$7:$F$36,$O269),INDEX('حضور رفائيل'!$F$7:$F$36,$O269),INDEX('حضور ميخائيل'!$F$7:$F$36,$O269)),""))</f>
        <v/>
      </c>
      <c r="S269" s="20" t="str">
        <f>IF($O269="","",IFERROR(CHOOSE(MATCH($F269,الإعدادات!$B$4:$B$7,0),INDEX('حضور سوريال'!$G$7:$G$36,$O269),INDEX('حضور غبريال'!$G$7:$G$36,$O269),INDEX('حضور رفائيل'!$G$7:$G$36,$O269),INDEX('حضور ميخائيل'!$G$7:$G$36,$O269)),""))</f>
        <v/>
      </c>
      <c r="T269" s="22" t="str">
        <f>IF($O269="","",IFERROR(CHOOSE(MATCH($F269,الإعدادات!$B$4:$B$7,0),INDEX('حضور سوريال'!$H$7:$H$36,$O269),INDEX('حضور غبريال'!$H$7:$H$36,$O269),INDEX('حضور رفائيل'!$H$7:$H$36,$O269),INDEX('حضور ميخائيل'!$H$7:$H$36,$O269)),""))</f>
        <v/>
      </c>
      <c r="U269" s="23" t="str">
        <f>IF($O269="","",IFERROR(CHOOSE(MATCH($F269,الإعدادات!$B$4:$B$7,0),INDEX('حضور سوريال'!$I$7:$I$36,$O269),INDEX('حضور غبريال'!$I$7:$I$36,$O269),INDEX('حضور رفائيل'!$I$7:$I$36,$O269),INDEX('حضور ميخائيل'!$I$7:$I$36,$O269)),""))</f>
        <v/>
      </c>
      <c r="V269" t="str">
        <f>IF($O269="","",IFERROR(CHOOSE(MATCH($F269,الإعدادات!$B$4:$B$7,0),INDEX('حضور سوريال'!$BM$7:$BM$36,$O269),INDEX('حضور غبريال'!$BM$7:$BM$36,$O269),INDEX('حضور رفائيل'!$BM$7:$BM$36,$O269),INDEX('حضور ميخائيل'!$BM$7:$BM$36,$O269)),""))</f>
        <v/>
      </c>
      <c r="W269" t="str">
        <f>IF(OR(V269=3,V269=4),COUNTIFS(V$6:V269,3)+COUNTIFS(V$6:V269,4),"")</f>
        <v/>
      </c>
    </row>
    <row r="270" spans="1:23" ht="25.5" customHeight="1">
      <c r="A270" s="13" t="str">
        <f t="shared" si="12"/>
        <v/>
      </c>
      <c r="B270" s="14" t="str">
        <f t="shared" si="13"/>
        <v/>
      </c>
      <c r="C270" s="15"/>
      <c r="D270" s="16"/>
      <c r="E270" s="16"/>
      <c r="F270" s="16"/>
      <c r="G270" s="16"/>
      <c r="H270" s="17"/>
      <c r="I270" s="17"/>
      <c r="J270" s="18"/>
      <c r="K270" s="16"/>
      <c r="L270" s="18"/>
      <c r="M270" s="16"/>
      <c r="N270" s="19" t="str">
        <f t="shared" si="14"/>
        <v/>
      </c>
      <c r="O270" s="19" t="str">
        <f>IF(OR(C270="",F270=""),"",COUNTIFS(F$6:F270,F270,C$6:C270,"&lt;&gt;"))</f>
        <v/>
      </c>
      <c r="P270" s="20" t="str">
        <f>IF($O270="","",IFERROR(CHOOSE(MATCH($F270,الإعدادات!$B$4:$B$7,0),INDEX('حضور سوريال'!$C$7:$C$36,$O270),INDEX('حضور غبريال'!$C$7:$C$36,$O270),INDEX('حضور رفائيل'!$C$7:$C$36,$O270),INDEX('حضور ميخائيل'!$C$7:$C$36,$O270)),""))</f>
        <v/>
      </c>
      <c r="Q270" s="20" t="str">
        <f>IF($O270="","",IFERROR(CHOOSE(MATCH($F270,الإعدادات!$B$4:$B$7,0),INDEX('حضور سوريال'!$D$7:$D$36,$O270),INDEX('حضور غبريال'!$D$7:$D$36,$O270),INDEX('حضور رفائيل'!$D$7:$D$36,$O270),INDEX('حضور ميخائيل'!$D$7:$D$36,$O270)),""))</f>
        <v/>
      </c>
      <c r="R270" s="21" t="str">
        <f>IF($O270="","",IFERROR(CHOOSE(MATCH($F270,الإعدادات!$B$4:$B$7,0),INDEX('حضور سوريال'!$F$7:$F$36,$O270),INDEX('حضور غبريال'!$F$7:$F$36,$O270),INDEX('حضور رفائيل'!$F$7:$F$36,$O270),INDEX('حضور ميخائيل'!$F$7:$F$36,$O270)),""))</f>
        <v/>
      </c>
      <c r="S270" s="20" t="str">
        <f>IF($O270="","",IFERROR(CHOOSE(MATCH($F270,الإعدادات!$B$4:$B$7,0),INDEX('حضور سوريال'!$G$7:$G$36,$O270),INDEX('حضور غبريال'!$G$7:$G$36,$O270),INDEX('حضور رفائيل'!$G$7:$G$36,$O270),INDEX('حضور ميخائيل'!$G$7:$G$36,$O270)),""))</f>
        <v/>
      </c>
      <c r="T270" s="22" t="str">
        <f>IF($O270="","",IFERROR(CHOOSE(MATCH($F270,الإعدادات!$B$4:$B$7,0),INDEX('حضور سوريال'!$H$7:$H$36,$O270),INDEX('حضور غبريال'!$H$7:$H$36,$O270),INDEX('حضور رفائيل'!$H$7:$H$36,$O270),INDEX('حضور ميخائيل'!$H$7:$H$36,$O270)),""))</f>
        <v/>
      </c>
      <c r="U270" s="23" t="str">
        <f>IF($O270="","",IFERROR(CHOOSE(MATCH($F270,الإعدادات!$B$4:$B$7,0),INDEX('حضور سوريال'!$I$7:$I$36,$O270),INDEX('حضور غبريال'!$I$7:$I$36,$O270),INDEX('حضور رفائيل'!$I$7:$I$36,$O270),INDEX('حضور ميخائيل'!$I$7:$I$36,$O270)),""))</f>
        <v/>
      </c>
      <c r="V270" t="str">
        <f>IF($O270="","",IFERROR(CHOOSE(MATCH($F270,الإعدادات!$B$4:$B$7,0),INDEX('حضور سوريال'!$BM$7:$BM$36,$O270),INDEX('حضور غبريال'!$BM$7:$BM$36,$O270),INDEX('حضور رفائيل'!$BM$7:$BM$36,$O270),INDEX('حضور ميخائيل'!$BM$7:$BM$36,$O270)),""))</f>
        <v/>
      </c>
      <c r="W270" t="str">
        <f>IF(OR(V270=3,V270=4),COUNTIFS(V$6:V270,3)+COUNTIFS(V$6:V270,4),"")</f>
        <v/>
      </c>
    </row>
    <row r="271" spans="1:23" ht="25.5" customHeight="1">
      <c r="A271" s="13" t="str">
        <f t="shared" si="12"/>
        <v/>
      </c>
      <c r="B271" s="14" t="str">
        <f t="shared" si="13"/>
        <v/>
      </c>
      <c r="C271" s="15"/>
      <c r="D271" s="16"/>
      <c r="E271" s="16"/>
      <c r="F271" s="16"/>
      <c r="G271" s="16"/>
      <c r="H271" s="17"/>
      <c r="I271" s="17"/>
      <c r="J271" s="18"/>
      <c r="K271" s="16"/>
      <c r="L271" s="18"/>
      <c r="M271" s="16"/>
      <c r="N271" s="19" t="str">
        <f t="shared" si="14"/>
        <v/>
      </c>
      <c r="O271" s="19" t="str">
        <f>IF(OR(C271="",F271=""),"",COUNTIFS(F$6:F271,F271,C$6:C271,"&lt;&gt;"))</f>
        <v/>
      </c>
      <c r="P271" s="20" t="str">
        <f>IF($O271="","",IFERROR(CHOOSE(MATCH($F271,الإعدادات!$B$4:$B$7,0),INDEX('حضور سوريال'!$C$7:$C$36,$O271),INDEX('حضور غبريال'!$C$7:$C$36,$O271),INDEX('حضور رفائيل'!$C$7:$C$36,$O271),INDEX('حضور ميخائيل'!$C$7:$C$36,$O271)),""))</f>
        <v/>
      </c>
      <c r="Q271" s="20" t="str">
        <f>IF($O271="","",IFERROR(CHOOSE(MATCH($F271,الإعدادات!$B$4:$B$7,0),INDEX('حضور سوريال'!$D$7:$D$36,$O271),INDEX('حضور غبريال'!$D$7:$D$36,$O271),INDEX('حضور رفائيل'!$D$7:$D$36,$O271),INDEX('حضور ميخائيل'!$D$7:$D$36,$O271)),""))</f>
        <v/>
      </c>
      <c r="R271" s="21" t="str">
        <f>IF($O271="","",IFERROR(CHOOSE(MATCH($F271,الإعدادات!$B$4:$B$7,0),INDEX('حضور سوريال'!$F$7:$F$36,$O271),INDEX('حضور غبريال'!$F$7:$F$36,$O271),INDEX('حضور رفائيل'!$F$7:$F$36,$O271),INDEX('حضور ميخائيل'!$F$7:$F$36,$O271)),""))</f>
        <v/>
      </c>
      <c r="S271" s="20" t="str">
        <f>IF($O271="","",IFERROR(CHOOSE(MATCH($F271,الإعدادات!$B$4:$B$7,0),INDEX('حضور سوريال'!$G$7:$G$36,$O271),INDEX('حضور غبريال'!$G$7:$G$36,$O271),INDEX('حضور رفائيل'!$G$7:$G$36,$O271),INDEX('حضور ميخائيل'!$G$7:$G$36,$O271)),""))</f>
        <v/>
      </c>
      <c r="T271" s="22" t="str">
        <f>IF($O271="","",IFERROR(CHOOSE(MATCH($F271,الإعدادات!$B$4:$B$7,0),INDEX('حضور سوريال'!$H$7:$H$36,$O271),INDEX('حضور غبريال'!$H$7:$H$36,$O271),INDEX('حضور رفائيل'!$H$7:$H$36,$O271),INDEX('حضور ميخائيل'!$H$7:$H$36,$O271)),""))</f>
        <v/>
      </c>
      <c r="U271" s="23" t="str">
        <f>IF($O271="","",IFERROR(CHOOSE(MATCH($F271,الإعدادات!$B$4:$B$7,0),INDEX('حضور سوريال'!$I$7:$I$36,$O271),INDEX('حضور غبريال'!$I$7:$I$36,$O271),INDEX('حضور رفائيل'!$I$7:$I$36,$O271),INDEX('حضور ميخائيل'!$I$7:$I$36,$O271)),""))</f>
        <v/>
      </c>
      <c r="V271" t="str">
        <f>IF($O271="","",IFERROR(CHOOSE(MATCH($F271,الإعدادات!$B$4:$B$7,0),INDEX('حضور سوريال'!$BM$7:$BM$36,$O271),INDEX('حضور غبريال'!$BM$7:$BM$36,$O271),INDEX('حضور رفائيل'!$BM$7:$BM$36,$O271),INDEX('حضور ميخائيل'!$BM$7:$BM$36,$O271)),""))</f>
        <v/>
      </c>
      <c r="W271" t="str">
        <f>IF(OR(V271=3,V271=4),COUNTIFS(V$6:V271,3)+COUNTIFS(V$6:V271,4),"")</f>
        <v/>
      </c>
    </row>
    <row r="272" spans="1:23" ht="25.5" customHeight="1">
      <c r="A272" s="13" t="str">
        <f t="shared" si="12"/>
        <v/>
      </c>
      <c r="B272" s="14" t="str">
        <f t="shared" si="13"/>
        <v/>
      </c>
      <c r="C272" s="15"/>
      <c r="D272" s="16"/>
      <c r="E272" s="16"/>
      <c r="F272" s="16"/>
      <c r="G272" s="16"/>
      <c r="H272" s="17"/>
      <c r="I272" s="17"/>
      <c r="J272" s="18"/>
      <c r="K272" s="16"/>
      <c r="L272" s="18"/>
      <c r="M272" s="16"/>
      <c r="N272" s="19" t="str">
        <f t="shared" si="14"/>
        <v/>
      </c>
      <c r="O272" s="19" t="str">
        <f>IF(OR(C272="",F272=""),"",COUNTIFS(F$6:F272,F272,C$6:C272,"&lt;&gt;"))</f>
        <v/>
      </c>
      <c r="P272" s="20" t="str">
        <f>IF($O272="","",IFERROR(CHOOSE(MATCH($F272,الإعدادات!$B$4:$B$7,0),INDEX('حضور سوريال'!$C$7:$C$36,$O272),INDEX('حضور غبريال'!$C$7:$C$36,$O272),INDEX('حضور رفائيل'!$C$7:$C$36,$O272),INDEX('حضور ميخائيل'!$C$7:$C$36,$O272)),""))</f>
        <v/>
      </c>
      <c r="Q272" s="20" t="str">
        <f>IF($O272="","",IFERROR(CHOOSE(MATCH($F272,الإعدادات!$B$4:$B$7,0),INDEX('حضور سوريال'!$D$7:$D$36,$O272),INDEX('حضور غبريال'!$D$7:$D$36,$O272),INDEX('حضور رفائيل'!$D$7:$D$36,$O272),INDEX('حضور ميخائيل'!$D$7:$D$36,$O272)),""))</f>
        <v/>
      </c>
      <c r="R272" s="21" t="str">
        <f>IF($O272="","",IFERROR(CHOOSE(MATCH($F272,الإعدادات!$B$4:$B$7,0),INDEX('حضور سوريال'!$F$7:$F$36,$O272),INDEX('حضور غبريال'!$F$7:$F$36,$O272),INDEX('حضور رفائيل'!$F$7:$F$36,$O272),INDEX('حضور ميخائيل'!$F$7:$F$36,$O272)),""))</f>
        <v/>
      </c>
      <c r="S272" s="20" t="str">
        <f>IF($O272="","",IFERROR(CHOOSE(MATCH($F272,الإعدادات!$B$4:$B$7,0),INDEX('حضور سوريال'!$G$7:$G$36,$O272),INDEX('حضور غبريال'!$G$7:$G$36,$O272),INDEX('حضور رفائيل'!$G$7:$G$36,$O272),INDEX('حضور ميخائيل'!$G$7:$G$36,$O272)),""))</f>
        <v/>
      </c>
      <c r="T272" s="22" t="str">
        <f>IF($O272="","",IFERROR(CHOOSE(MATCH($F272,الإعدادات!$B$4:$B$7,0),INDEX('حضور سوريال'!$H$7:$H$36,$O272),INDEX('حضور غبريال'!$H$7:$H$36,$O272),INDEX('حضور رفائيل'!$H$7:$H$36,$O272),INDEX('حضور ميخائيل'!$H$7:$H$36,$O272)),""))</f>
        <v/>
      </c>
      <c r="U272" s="23" t="str">
        <f>IF($O272="","",IFERROR(CHOOSE(MATCH($F272,الإعدادات!$B$4:$B$7,0),INDEX('حضور سوريال'!$I$7:$I$36,$O272),INDEX('حضور غبريال'!$I$7:$I$36,$O272),INDEX('حضور رفائيل'!$I$7:$I$36,$O272),INDEX('حضور ميخائيل'!$I$7:$I$36,$O272)),""))</f>
        <v/>
      </c>
      <c r="V272" t="str">
        <f>IF($O272="","",IFERROR(CHOOSE(MATCH($F272,الإعدادات!$B$4:$B$7,0),INDEX('حضور سوريال'!$BM$7:$BM$36,$O272),INDEX('حضور غبريال'!$BM$7:$BM$36,$O272),INDEX('حضور رفائيل'!$BM$7:$BM$36,$O272),INDEX('حضور ميخائيل'!$BM$7:$BM$36,$O272)),""))</f>
        <v/>
      </c>
      <c r="W272" t="str">
        <f>IF(OR(V272=3,V272=4),COUNTIFS(V$6:V272,3)+COUNTIFS(V$6:V272,4),"")</f>
        <v/>
      </c>
    </row>
    <row r="273" spans="1:23" ht="25.5" customHeight="1">
      <c r="A273" s="13" t="str">
        <f t="shared" si="12"/>
        <v/>
      </c>
      <c r="B273" s="14" t="str">
        <f t="shared" si="13"/>
        <v/>
      </c>
      <c r="C273" s="15"/>
      <c r="D273" s="16"/>
      <c r="E273" s="16"/>
      <c r="F273" s="16"/>
      <c r="G273" s="16"/>
      <c r="H273" s="17"/>
      <c r="I273" s="17"/>
      <c r="J273" s="18"/>
      <c r="K273" s="16"/>
      <c r="L273" s="18"/>
      <c r="M273" s="16"/>
      <c r="N273" s="19" t="str">
        <f t="shared" si="14"/>
        <v/>
      </c>
      <c r="O273" s="19" t="str">
        <f>IF(OR(C273="",F273=""),"",COUNTIFS(F$6:F273,F273,C$6:C273,"&lt;&gt;"))</f>
        <v/>
      </c>
      <c r="P273" s="20" t="str">
        <f>IF($O273="","",IFERROR(CHOOSE(MATCH($F273,الإعدادات!$B$4:$B$7,0),INDEX('حضور سوريال'!$C$7:$C$36,$O273),INDEX('حضور غبريال'!$C$7:$C$36,$O273),INDEX('حضور رفائيل'!$C$7:$C$36,$O273),INDEX('حضور ميخائيل'!$C$7:$C$36,$O273)),""))</f>
        <v/>
      </c>
      <c r="Q273" s="20" t="str">
        <f>IF($O273="","",IFERROR(CHOOSE(MATCH($F273,الإعدادات!$B$4:$B$7,0),INDEX('حضور سوريال'!$D$7:$D$36,$O273),INDEX('حضور غبريال'!$D$7:$D$36,$O273),INDEX('حضور رفائيل'!$D$7:$D$36,$O273),INDEX('حضور ميخائيل'!$D$7:$D$36,$O273)),""))</f>
        <v/>
      </c>
      <c r="R273" s="21" t="str">
        <f>IF($O273="","",IFERROR(CHOOSE(MATCH($F273,الإعدادات!$B$4:$B$7,0),INDEX('حضور سوريال'!$F$7:$F$36,$O273),INDEX('حضور غبريال'!$F$7:$F$36,$O273),INDEX('حضور رفائيل'!$F$7:$F$36,$O273),INDEX('حضور ميخائيل'!$F$7:$F$36,$O273)),""))</f>
        <v/>
      </c>
      <c r="S273" s="20" t="str">
        <f>IF($O273="","",IFERROR(CHOOSE(MATCH($F273,الإعدادات!$B$4:$B$7,0),INDEX('حضور سوريال'!$G$7:$G$36,$O273),INDEX('حضور غبريال'!$G$7:$G$36,$O273),INDEX('حضور رفائيل'!$G$7:$G$36,$O273),INDEX('حضور ميخائيل'!$G$7:$G$36,$O273)),""))</f>
        <v/>
      </c>
      <c r="T273" s="22" t="str">
        <f>IF($O273="","",IFERROR(CHOOSE(MATCH($F273,الإعدادات!$B$4:$B$7,0),INDEX('حضور سوريال'!$H$7:$H$36,$O273),INDEX('حضور غبريال'!$H$7:$H$36,$O273),INDEX('حضور رفائيل'!$H$7:$H$36,$O273),INDEX('حضور ميخائيل'!$H$7:$H$36,$O273)),""))</f>
        <v/>
      </c>
      <c r="U273" s="23" t="str">
        <f>IF($O273="","",IFERROR(CHOOSE(MATCH($F273,الإعدادات!$B$4:$B$7,0),INDEX('حضور سوريال'!$I$7:$I$36,$O273),INDEX('حضور غبريال'!$I$7:$I$36,$O273),INDEX('حضور رفائيل'!$I$7:$I$36,$O273),INDEX('حضور ميخائيل'!$I$7:$I$36,$O273)),""))</f>
        <v/>
      </c>
      <c r="V273" t="str">
        <f>IF($O273="","",IFERROR(CHOOSE(MATCH($F273,الإعدادات!$B$4:$B$7,0),INDEX('حضور سوريال'!$BM$7:$BM$36,$O273),INDEX('حضور غبريال'!$BM$7:$BM$36,$O273),INDEX('حضور رفائيل'!$BM$7:$BM$36,$O273),INDEX('حضور ميخائيل'!$BM$7:$BM$36,$O273)),""))</f>
        <v/>
      </c>
      <c r="W273" t="str">
        <f>IF(OR(V273=3,V273=4),COUNTIFS(V$6:V273,3)+COUNTIFS(V$6:V273,4),"")</f>
        <v/>
      </c>
    </row>
    <row r="274" spans="1:23" ht="25.5" customHeight="1">
      <c r="A274" s="13" t="str">
        <f t="shared" si="12"/>
        <v/>
      </c>
      <c r="B274" s="14" t="str">
        <f t="shared" si="13"/>
        <v/>
      </c>
      <c r="C274" s="15"/>
      <c r="D274" s="16"/>
      <c r="E274" s="16"/>
      <c r="F274" s="16"/>
      <c r="G274" s="16"/>
      <c r="H274" s="17"/>
      <c r="I274" s="17"/>
      <c r="J274" s="18"/>
      <c r="K274" s="16"/>
      <c r="L274" s="18"/>
      <c r="M274" s="16"/>
      <c r="N274" s="19" t="str">
        <f t="shared" si="14"/>
        <v/>
      </c>
      <c r="O274" s="19" t="str">
        <f>IF(OR(C274="",F274=""),"",COUNTIFS(F$6:F274,F274,C$6:C274,"&lt;&gt;"))</f>
        <v/>
      </c>
      <c r="P274" s="20" t="str">
        <f>IF($O274="","",IFERROR(CHOOSE(MATCH($F274,الإعدادات!$B$4:$B$7,0),INDEX('حضور سوريال'!$C$7:$C$36,$O274),INDEX('حضور غبريال'!$C$7:$C$36,$O274),INDEX('حضور رفائيل'!$C$7:$C$36,$O274),INDEX('حضور ميخائيل'!$C$7:$C$36,$O274)),""))</f>
        <v/>
      </c>
      <c r="Q274" s="20" t="str">
        <f>IF($O274="","",IFERROR(CHOOSE(MATCH($F274,الإعدادات!$B$4:$B$7,0),INDEX('حضور سوريال'!$D$7:$D$36,$O274),INDEX('حضور غبريال'!$D$7:$D$36,$O274),INDEX('حضور رفائيل'!$D$7:$D$36,$O274),INDEX('حضور ميخائيل'!$D$7:$D$36,$O274)),""))</f>
        <v/>
      </c>
      <c r="R274" s="21" t="str">
        <f>IF($O274="","",IFERROR(CHOOSE(MATCH($F274,الإعدادات!$B$4:$B$7,0),INDEX('حضور سوريال'!$F$7:$F$36,$O274),INDEX('حضور غبريال'!$F$7:$F$36,$O274),INDEX('حضور رفائيل'!$F$7:$F$36,$O274),INDEX('حضور ميخائيل'!$F$7:$F$36,$O274)),""))</f>
        <v/>
      </c>
      <c r="S274" s="20" t="str">
        <f>IF($O274="","",IFERROR(CHOOSE(MATCH($F274,الإعدادات!$B$4:$B$7,0),INDEX('حضور سوريال'!$G$7:$G$36,$O274),INDEX('حضور غبريال'!$G$7:$G$36,$O274),INDEX('حضور رفائيل'!$G$7:$G$36,$O274),INDEX('حضور ميخائيل'!$G$7:$G$36,$O274)),""))</f>
        <v/>
      </c>
      <c r="T274" s="22" t="str">
        <f>IF($O274="","",IFERROR(CHOOSE(MATCH($F274,الإعدادات!$B$4:$B$7,0),INDEX('حضور سوريال'!$H$7:$H$36,$O274),INDEX('حضور غبريال'!$H$7:$H$36,$O274),INDEX('حضور رفائيل'!$H$7:$H$36,$O274),INDEX('حضور ميخائيل'!$H$7:$H$36,$O274)),""))</f>
        <v/>
      </c>
      <c r="U274" s="23" t="str">
        <f>IF($O274="","",IFERROR(CHOOSE(MATCH($F274,الإعدادات!$B$4:$B$7,0),INDEX('حضور سوريال'!$I$7:$I$36,$O274),INDEX('حضور غبريال'!$I$7:$I$36,$O274),INDEX('حضور رفائيل'!$I$7:$I$36,$O274),INDEX('حضور ميخائيل'!$I$7:$I$36,$O274)),""))</f>
        <v/>
      </c>
      <c r="V274" t="str">
        <f>IF($O274="","",IFERROR(CHOOSE(MATCH($F274,الإعدادات!$B$4:$B$7,0),INDEX('حضور سوريال'!$BM$7:$BM$36,$O274),INDEX('حضور غبريال'!$BM$7:$BM$36,$O274),INDEX('حضور رفائيل'!$BM$7:$BM$36,$O274),INDEX('حضور ميخائيل'!$BM$7:$BM$36,$O274)),""))</f>
        <v/>
      </c>
      <c r="W274" t="str">
        <f>IF(OR(V274=3,V274=4),COUNTIFS(V$6:V274,3)+COUNTIFS(V$6:V274,4),"")</f>
        <v/>
      </c>
    </row>
    <row r="275" spans="1:23" ht="25.5" customHeight="1">
      <c r="A275" s="13" t="str">
        <f t="shared" si="12"/>
        <v/>
      </c>
      <c r="B275" s="14" t="str">
        <f t="shared" si="13"/>
        <v/>
      </c>
      <c r="C275" s="15"/>
      <c r="D275" s="16"/>
      <c r="E275" s="16"/>
      <c r="F275" s="16"/>
      <c r="G275" s="16"/>
      <c r="H275" s="17"/>
      <c r="I275" s="17"/>
      <c r="J275" s="18"/>
      <c r="K275" s="16"/>
      <c r="L275" s="18"/>
      <c r="M275" s="16"/>
      <c r="N275" s="19" t="str">
        <f t="shared" si="14"/>
        <v/>
      </c>
      <c r="O275" s="19" t="str">
        <f>IF(OR(C275="",F275=""),"",COUNTIFS(F$6:F275,F275,C$6:C275,"&lt;&gt;"))</f>
        <v/>
      </c>
      <c r="P275" s="20" t="str">
        <f>IF($O275="","",IFERROR(CHOOSE(MATCH($F275,الإعدادات!$B$4:$B$7,0),INDEX('حضور سوريال'!$C$7:$C$36,$O275),INDEX('حضور غبريال'!$C$7:$C$36,$O275),INDEX('حضور رفائيل'!$C$7:$C$36,$O275),INDEX('حضور ميخائيل'!$C$7:$C$36,$O275)),""))</f>
        <v/>
      </c>
      <c r="Q275" s="20" t="str">
        <f>IF($O275="","",IFERROR(CHOOSE(MATCH($F275,الإعدادات!$B$4:$B$7,0),INDEX('حضور سوريال'!$D$7:$D$36,$O275),INDEX('حضور غبريال'!$D$7:$D$36,$O275),INDEX('حضور رفائيل'!$D$7:$D$36,$O275),INDEX('حضور ميخائيل'!$D$7:$D$36,$O275)),""))</f>
        <v/>
      </c>
      <c r="R275" s="21" t="str">
        <f>IF($O275="","",IFERROR(CHOOSE(MATCH($F275,الإعدادات!$B$4:$B$7,0),INDEX('حضور سوريال'!$F$7:$F$36,$O275),INDEX('حضور غبريال'!$F$7:$F$36,$O275),INDEX('حضور رفائيل'!$F$7:$F$36,$O275),INDEX('حضور ميخائيل'!$F$7:$F$36,$O275)),""))</f>
        <v/>
      </c>
      <c r="S275" s="20" t="str">
        <f>IF($O275="","",IFERROR(CHOOSE(MATCH($F275,الإعدادات!$B$4:$B$7,0),INDEX('حضور سوريال'!$G$7:$G$36,$O275),INDEX('حضور غبريال'!$G$7:$G$36,$O275),INDEX('حضور رفائيل'!$G$7:$G$36,$O275),INDEX('حضور ميخائيل'!$G$7:$G$36,$O275)),""))</f>
        <v/>
      </c>
      <c r="T275" s="22" t="str">
        <f>IF($O275="","",IFERROR(CHOOSE(MATCH($F275,الإعدادات!$B$4:$B$7,0),INDEX('حضور سوريال'!$H$7:$H$36,$O275),INDEX('حضور غبريال'!$H$7:$H$36,$O275),INDEX('حضور رفائيل'!$H$7:$H$36,$O275),INDEX('حضور ميخائيل'!$H$7:$H$36,$O275)),""))</f>
        <v/>
      </c>
      <c r="U275" s="23" t="str">
        <f>IF($O275="","",IFERROR(CHOOSE(MATCH($F275,الإعدادات!$B$4:$B$7,0),INDEX('حضور سوريال'!$I$7:$I$36,$O275),INDEX('حضور غبريال'!$I$7:$I$36,$O275),INDEX('حضور رفائيل'!$I$7:$I$36,$O275),INDEX('حضور ميخائيل'!$I$7:$I$36,$O275)),""))</f>
        <v/>
      </c>
      <c r="V275" t="str">
        <f>IF($O275="","",IFERROR(CHOOSE(MATCH($F275,الإعدادات!$B$4:$B$7,0),INDEX('حضور سوريال'!$BM$7:$BM$36,$O275),INDEX('حضور غبريال'!$BM$7:$BM$36,$O275),INDEX('حضور رفائيل'!$BM$7:$BM$36,$O275),INDEX('حضور ميخائيل'!$BM$7:$BM$36,$O275)),""))</f>
        <v/>
      </c>
      <c r="W275" t="str">
        <f>IF(OR(V275=3,V275=4),COUNTIFS(V$6:V275,3)+COUNTIFS(V$6:V275,4),"")</f>
        <v/>
      </c>
    </row>
    <row r="276" spans="1:23" ht="25.5" customHeight="1">
      <c r="A276" s="13" t="str">
        <f t="shared" si="12"/>
        <v/>
      </c>
      <c r="B276" s="14" t="str">
        <f t="shared" si="13"/>
        <v/>
      </c>
      <c r="C276" s="15"/>
      <c r="D276" s="16"/>
      <c r="E276" s="16"/>
      <c r="F276" s="16"/>
      <c r="G276" s="16"/>
      <c r="H276" s="17"/>
      <c r="I276" s="17"/>
      <c r="J276" s="18"/>
      <c r="K276" s="16"/>
      <c r="L276" s="18"/>
      <c r="M276" s="16"/>
      <c r="N276" s="19" t="str">
        <f t="shared" si="14"/>
        <v/>
      </c>
      <c r="O276" s="19" t="str">
        <f>IF(OR(C276="",F276=""),"",COUNTIFS(F$6:F276,F276,C$6:C276,"&lt;&gt;"))</f>
        <v/>
      </c>
      <c r="P276" s="20" t="str">
        <f>IF($O276="","",IFERROR(CHOOSE(MATCH($F276,الإعدادات!$B$4:$B$7,0),INDEX('حضور سوريال'!$C$7:$C$36,$O276),INDEX('حضور غبريال'!$C$7:$C$36,$O276),INDEX('حضور رفائيل'!$C$7:$C$36,$O276),INDEX('حضور ميخائيل'!$C$7:$C$36,$O276)),""))</f>
        <v/>
      </c>
      <c r="Q276" s="20" t="str">
        <f>IF($O276="","",IFERROR(CHOOSE(MATCH($F276,الإعدادات!$B$4:$B$7,0),INDEX('حضور سوريال'!$D$7:$D$36,$O276),INDEX('حضور غبريال'!$D$7:$D$36,$O276),INDEX('حضور رفائيل'!$D$7:$D$36,$O276),INDEX('حضور ميخائيل'!$D$7:$D$36,$O276)),""))</f>
        <v/>
      </c>
      <c r="R276" s="21" t="str">
        <f>IF($O276="","",IFERROR(CHOOSE(MATCH($F276,الإعدادات!$B$4:$B$7,0),INDEX('حضور سوريال'!$F$7:$F$36,$O276),INDEX('حضور غبريال'!$F$7:$F$36,$O276),INDEX('حضور رفائيل'!$F$7:$F$36,$O276),INDEX('حضور ميخائيل'!$F$7:$F$36,$O276)),""))</f>
        <v/>
      </c>
      <c r="S276" s="20" t="str">
        <f>IF($O276="","",IFERROR(CHOOSE(MATCH($F276,الإعدادات!$B$4:$B$7,0),INDEX('حضور سوريال'!$G$7:$G$36,$O276),INDEX('حضور غبريال'!$G$7:$G$36,$O276),INDEX('حضور رفائيل'!$G$7:$G$36,$O276),INDEX('حضور ميخائيل'!$G$7:$G$36,$O276)),""))</f>
        <v/>
      </c>
      <c r="T276" s="22" t="str">
        <f>IF($O276="","",IFERROR(CHOOSE(MATCH($F276,الإعدادات!$B$4:$B$7,0),INDEX('حضور سوريال'!$H$7:$H$36,$O276),INDEX('حضور غبريال'!$H$7:$H$36,$O276),INDEX('حضور رفائيل'!$H$7:$H$36,$O276),INDEX('حضور ميخائيل'!$H$7:$H$36,$O276)),""))</f>
        <v/>
      </c>
      <c r="U276" s="23" t="str">
        <f>IF($O276="","",IFERROR(CHOOSE(MATCH($F276,الإعدادات!$B$4:$B$7,0),INDEX('حضور سوريال'!$I$7:$I$36,$O276),INDEX('حضور غبريال'!$I$7:$I$36,$O276),INDEX('حضور رفائيل'!$I$7:$I$36,$O276),INDEX('حضور ميخائيل'!$I$7:$I$36,$O276)),""))</f>
        <v/>
      </c>
      <c r="V276" t="str">
        <f>IF($O276="","",IFERROR(CHOOSE(MATCH($F276,الإعدادات!$B$4:$B$7,0),INDEX('حضور سوريال'!$BM$7:$BM$36,$O276),INDEX('حضور غبريال'!$BM$7:$BM$36,$O276),INDEX('حضور رفائيل'!$BM$7:$BM$36,$O276),INDEX('حضور ميخائيل'!$BM$7:$BM$36,$O276)),""))</f>
        <v/>
      </c>
      <c r="W276" t="str">
        <f>IF(OR(V276=3,V276=4),COUNTIFS(V$6:V276,3)+COUNTIFS(V$6:V276,4),"")</f>
        <v/>
      </c>
    </row>
    <row r="277" spans="1:23" ht="25.5" customHeight="1">
      <c r="A277" s="13" t="str">
        <f t="shared" si="12"/>
        <v/>
      </c>
      <c r="B277" s="14" t="str">
        <f t="shared" si="13"/>
        <v/>
      </c>
      <c r="C277" s="15"/>
      <c r="D277" s="16"/>
      <c r="E277" s="16"/>
      <c r="F277" s="16"/>
      <c r="G277" s="16"/>
      <c r="H277" s="17"/>
      <c r="I277" s="17"/>
      <c r="J277" s="18"/>
      <c r="K277" s="16"/>
      <c r="L277" s="18"/>
      <c r="M277" s="16"/>
      <c r="N277" s="19" t="str">
        <f t="shared" si="14"/>
        <v/>
      </c>
      <c r="O277" s="19" t="str">
        <f>IF(OR(C277="",F277=""),"",COUNTIFS(F$6:F277,F277,C$6:C277,"&lt;&gt;"))</f>
        <v/>
      </c>
      <c r="P277" s="20" t="str">
        <f>IF($O277="","",IFERROR(CHOOSE(MATCH($F277,الإعدادات!$B$4:$B$7,0),INDEX('حضور سوريال'!$C$7:$C$36,$O277),INDEX('حضور غبريال'!$C$7:$C$36,$O277),INDEX('حضور رفائيل'!$C$7:$C$36,$O277),INDEX('حضور ميخائيل'!$C$7:$C$36,$O277)),""))</f>
        <v/>
      </c>
      <c r="Q277" s="20" t="str">
        <f>IF($O277="","",IFERROR(CHOOSE(MATCH($F277,الإعدادات!$B$4:$B$7,0),INDEX('حضور سوريال'!$D$7:$D$36,$O277),INDEX('حضور غبريال'!$D$7:$D$36,$O277),INDEX('حضور رفائيل'!$D$7:$D$36,$O277),INDEX('حضور ميخائيل'!$D$7:$D$36,$O277)),""))</f>
        <v/>
      </c>
      <c r="R277" s="21" t="str">
        <f>IF($O277="","",IFERROR(CHOOSE(MATCH($F277,الإعدادات!$B$4:$B$7,0),INDEX('حضور سوريال'!$F$7:$F$36,$O277),INDEX('حضور غبريال'!$F$7:$F$36,$O277),INDEX('حضور رفائيل'!$F$7:$F$36,$O277),INDEX('حضور ميخائيل'!$F$7:$F$36,$O277)),""))</f>
        <v/>
      </c>
      <c r="S277" s="20" t="str">
        <f>IF($O277="","",IFERROR(CHOOSE(MATCH($F277,الإعدادات!$B$4:$B$7,0),INDEX('حضور سوريال'!$G$7:$G$36,$O277),INDEX('حضور غبريال'!$G$7:$G$36,$O277),INDEX('حضور رفائيل'!$G$7:$G$36,$O277),INDEX('حضور ميخائيل'!$G$7:$G$36,$O277)),""))</f>
        <v/>
      </c>
      <c r="T277" s="22" t="str">
        <f>IF($O277="","",IFERROR(CHOOSE(MATCH($F277,الإعدادات!$B$4:$B$7,0),INDEX('حضور سوريال'!$H$7:$H$36,$O277),INDEX('حضور غبريال'!$H$7:$H$36,$O277),INDEX('حضور رفائيل'!$H$7:$H$36,$O277),INDEX('حضور ميخائيل'!$H$7:$H$36,$O277)),""))</f>
        <v/>
      </c>
      <c r="U277" s="23" t="str">
        <f>IF($O277="","",IFERROR(CHOOSE(MATCH($F277,الإعدادات!$B$4:$B$7,0),INDEX('حضور سوريال'!$I$7:$I$36,$O277),INDEX('حضور غبريال'!$I$7:$I$36,$O277),INDEX('حضور رفائيل'!$I$7:$I$36,$O277),INDEX('حضور ميخائيل'!$I$7:$I$36,$O277)),""))</f>
        <v/>
      </c>
      <c r="V277" t="str">
        <f>IF($O277="","",IFERROR(CHOOSE(MATCH($F277,الإعدادات!$B$4:$B$7,0),INDEX('حضور سوريال'!$BM$7:$BM$36,$O277),INDEX('حضور غبريال'!$BM$7:$BM$36,$O277),INDEX('حضور رفائيل'!$BM$7:$BM$36,$O277),INDEX('حضور ميخائيل'!$BM$7:$BM$36,$O277)),""))</f>
        <v/>
      </c>
      <c r="W277" t="str">
        <f>IF(OR(V277=3,V277=4),COUNTIFS(V$6:V277,3)+COUNTIFS(V$6:V277,4),"")</f>
        <v/>
      </c>
    </row>
    <row r="278" spans="1:23" ht="25.5" customHeight="1">
      <c r="A278" s="13" t="str">
        <f t="shared" si="12"/>
        <v/>
      </c>
      <c r="B278" s="14" t="str">
        <f t="shared" si="13"/>
        <v/>
      </c>
      <c r="C278" s="15"/>
      <c r="D278" s="16"/>
      <c r="E278" s="16"/>
      <c r="F278" s="16"/>
      <c r="G278" s="16"/>
      <c r="H278" s="17"/>
      <c r="I278" s="17"/>
      <c r="J278" s="18"/>
      <c r="K278" s="16"/>
      <c r="L278" s="18"/>
      <c r="M278" s="16"/>
      <c r="N278" s="19" t="str">
        <f t="shared" si="14"/>
        <v/>
      </c>
      <c r="O278" s="19" t="str">
        <f>IF(OR(C278="",F278=""),"",COUNTIFS(F$6:F278,F278,C$6:C278,"&lt;&gt;"))</f>
        <v/>
      </c>
      <c r="P278" s="20" t="str">
        <f>IF($O278="","",IFERROR(CHOOSE(MATCH($F278,الإعدادات!$B$4:$B$7,0),INDEX('حضور سوريال'!$C$7:$C$36,$O278),INDEX('حضور غبريال'!$C$7:$C$36,$O278),INDEX('حضور رفائيل'!$C$7:$C$36,$O278),INDEX('حضور ميخائيل'!$C$7:$C$36,$O278)),""))</f>
        <v/>
      </c>
      <c r="Q278" s="20" t="str">
        <f>IF($O278="","",IFERROR(CHOOSE(MATCH($F278,الإعدادات!$B$4:$B$7,0),INDEX('حضور سوريال'!$D$7:$D$36,$O278),INDEX('حضور غبريال'!$D$7:$D$36,$O278),INDEX('حضور رفائيل'!$D$7:$D$36,$O278),INDEX('حضور ميخائيل'!$D$7:$D$36,$O278)),""))</f>
        <v/>
      </c>
      <c r="R278" s="21" t="str">
        <f>IF($O278="","",IFERROR(CHOOSE(MATCH($F278,الإعدادات!$B$4:$B$7,0),INDEX('حضور سوريال'!$F$7:$F$36,$O278),INDEX('حضور غبريال'!$F$7:$F$36,$O278),INDEX('حضور رفائيل'!$F$7:$F$36,$O278),INDEX('حضور ميخائيل'!$F$7:$F$36,$O278)),""))</f>
        <v/>
      </c>
      <c r="S278" s="20" t="str">
        <f>IF($O278="","",IFERROR(CHOOSE(MATCH($F278,الإعدادات!$B$4:$B$7,0),INDEX('حضور سوريال'!$G$7:$G$36,$O278),INDEX('حضور غبريال'!$G$7:$G$36,$O278),INDEX('حضور رفائيل'!$G$7:$G$36,$O278),INDEX('حضور ميخائيل'!$G$7:$G$36,$O278)),""))</f>
        <v/>
      </c>
      <c r="T278" s="22" t="str">
        <f>IF($O278="","",IFERROR(CHOOSE(MATCH($F278,الإعدادات!$B$4:$B$7,0),INDEX('حضور سوريال'!$H$7:$H$36,$O278),INDEX('حضور غبريال'!$H$7:$H$36,$O278),INDEX('حضور رفائيل'!$H$7:$H$36,$O278),INDEX('حضور ميخائيل'!$H$7:$H$36,$O278)),""))</f>
        <v/>
      </c>
      <c r="U278" s="23" t="str">
        <f>IF($O278="","",IFERROR(CHOOSE(MATCH($F278,الإعدادات!$B$4:$B$7,0),INDEX('حضور سوريال'!$I$7:$I$36,$O278),INDEX('حضور غبريال'!$I$7:$I$36,$O278),INDEX('حضور رفائيل'!$I$7:$I$36,$O278),INDEX('حضور ميخائيل'!$I$7:$I$36,$O278)),""))</f>
        <v/>
      </c>
      <c r="V278" t="str">
        <f>IF($O278="","",IFERROR(CHOOSE(MATCH($F278,الإعدادات!$B$4:$B$7,0),INDEX('حضور سوريال'!$BM$7:$BM$36,$O278),INDEX('حضور غبريال'!$BM$7:$BM$36,$O278),INDEX('حضور رفائيل'!$BM$7:$BM$36,$O278),INDEX('حضور ميخائيل'!$BM$7:$BM$36,$O278)),""))</f>
        <v/>
      </c>
      <c r="W278" t="str">
        <f>IF(OR(V278=3,V278=4),COUNTIFS(V$6:V278,3)+COUNTIFS(V$6:V278,4),"")</f>
        <v/>
      </c>
    </row>
    <row r="279" spans="1:23" ht="25.5" customHeight="1">
      <c r="A279" s="13" t="str">
        <f t="shared" si="12"/>
        <v/>
      </c>
      <c r="B279" s="14" t="str">
        <f t="shared" si="13"/>
        <v/>
      </c>
      <c r="C279" s="15"/>
      <c r="D279" s="16"/>
      <c r="E279" s="16"/>
      <c r="F279" s="16"/>
      <c r="G279" s="16"/>
      <c r="H279" s="17"/>
      <c r="I279" s="17"/>
      <c r="J279" s="18"/>
      <c r="K279" s="16"/>
      <c r="L279" s="18"/>
      <c r="M279" s="16"/>
      <c r="N279" s="19" t="str">
        <f t="shared" si="14"/>
        <v/>
      </c>
      <c r="O279" s="19" t="str">
        <f>IF(OR(C279="",F279=""),"",COUNTIFS(F$6:F279,F279,C$6:C279,"&lt;&gt;"))</f>
        <v/>
      </c>
      <c r="P279" s="20" t="str">
        <f>IF($O279="","",IFERROR(CHOOSE(MATCH($F279,الإعدادات!$B$4:$B$7,0),INDEX('حضور سوريال'!$C$7:$C$36,$O279),INDEX('حضور غبريال'!$C$7:$C$36,$O279),INDEX('حضور رفائيل'!$C$7:$C$36,$O279),INDEX('حضور ميخائيل'!$C$7:$C$36,$O279)),""))</f>
        <v/>
      </c>
      <c r="Q279" s="20" t="str">
        <f>IF($O279="","",IFERROR(CHOOSE(MATCH($F279,الإعدادات!$B$4:$B$7,0),INDEX('حضور سوريال'!$D$7:$D$36,$O279),INDEX('حضور غبريال'!$D$7:$D$36,$O279),INDEX('حضور رفائيل'!$D$7:$D$36,$O279),INDEX('حضور ميخائيل'!$D$7:$D$36,$O279)),""))</f>
        <v/>
      </c>
      <c r="R279" s="21" t="str">
        <f>IF($O279="","",IFERROR(CHOOSE(MATCH($F279,الإعدادات!$B$4:$B$7,0),INDEX('حضور سوريال'!$F$7:$F$36,$O279),INDEX('حضور غبريال'!$F$7:$F$36,$O279),INDEX('حضور رفائيل'!$F$7:$F$36,$O279),INDEX('حضور ميخائيل'!$F$7:$F$36,$O279)),""))</f>
        <v/>
      </c>
      <c r="S279" s="20" t="str">
        <f>IF($O279="","",IFERROR(CHOOSE(MATCH($F279,الإعدادات!$B$4:$B$7,0),INDEX('حضور سوريال'!$G$7:$G$36,$O279),INDEX('حضور غبريال'!$G$7:$G$36,$O279),INDEX('حضور رفائيل'!$G$7:$G$36,$O279),INDEX('حضور ميخائيل'!$G$7:$G$36,$O279)),""))</f>
        <v/>
      </c>
      <c r="T279" s="22" t="str">
        <f>IF($O279="","",IFERROR(CHOOSE(MATCH($F279,الإعدادات!$B$4:$B$7,0),INDEX('حضور سوريال'!$H$7:$H$36,$O279),INDEX('حضور غبريال'!$H$7:$H$36,$O279),INDEX('حضور رفائيل'!$H$7:$H$36,$O279),INDEX('حضور ميخائيل'!$H$7:$H$36,$O279)),""))</f>
        <v/>
      </c>
      <c r="U279" s="23" t="str">
        <f>IF($O279="","",IFERROR(CHOOSE(MATCH($F279,الإعدادات!$B$4:$B$7,0),INDEX('حضور سوريال'!$I$7:$I$36,$O279),INDEX('حضور غبريال'!$I$7:$I$36,$O279),INDEX('حضور رفائيل'!$I$7:$I$36,$O279),INDEX('حضور ميخائيل'!$I$7:$I$36,$O279)),""))</f>
        <v/>
      </c>
      <c r="V279" t="str">
        <f>IF($O279="","",IFERROR(CHOOSE(MATCH($F279,الإعدادات!$B$4:$B$7,0),INDEX('حضور سوريال'!$BM$7:$BM$36,$O279),INDEX('حضور غبريال'!$BM$7:$BM$36,$O279),INDEX('حضور رفائيل'!$BM$7:$BM$36,$O279),INDEX('حضور ميخائيل'!$BM$7:$BM$36,$O279)),""))</f>
        <v/>
      </c>
      <c r="W279" t="str">
        <f>IF(OR(V279=3,V279=4),COUNTIFS(V$6:V279,3)+COUNTIFS(V$6:V279,4),"")</f>
        <v/>
      </c>
    </row>
    <row r="280" spans="1:23" ht="25.5" customHeight="1">
      <c r="A280" s="13" t="str">
        <f t="shared" si="12"/>
        <v/>
      </c>
      <c r="B280" s="14" t="str">
        <f t="shared" si="13"/>
        <v/>
      </c>
      <c r="C280" s="15"/>
      <c r="D280" s="16"/>
      <c r="E280" s="16"/>
      <c r="F280" s="16"/>
      <c r="G280" s="16"/>
      <c r="H280" s="17"/>
      <c r="I280" s="17"/>
      <c r="J280" s="18"/>
      <c r="K280" s="16"/>
      <c r="L280" s="18"/>
      <c r="M280" s="16"/>
      <c r="N280" s="19" t="str">
        <f t="shared" si="14"/>
        <v/>
      </c>
      <c r="O280" s="19" t="str">
        <f>IF(OR(C280="",F280=""),"",COUNTIFS(F$6:F280,F280,C$6:C280,"&lt;&gt;"))</f>
        <v/>
      </c>
      <c r="P280" s="20" t="str">
        <f>IF($O280="","",IFERROR(CHOOSE(MATCH($F280,الإعدادات!$B$4:$B$7,0),INDEX('حضور سوريال'!$C$7:$C$36,$O280),INDEX('حضور غبريال'!$C$7:$C$36,$O280),INDEX('حضور رفائيل'!$C$7:$C$36,$O280),INDEX('حضور ميخائيل'!$C$7:$C$36,$O280)),""))</f>
        <v/>
      </c>
      <c r="Q280" s="20" t="str">
        <f>IF($O280="","",IFERROR(CHOOSE(MATCH($F280,الإعدادات!$B$4:$B$7,0),INDEX('حضور سوريال'!$D$7:$D$36,$O280),INDEX('حضور غبريال'!$D$7:$D$36,$O280),INDEX('حضور رفائيل'!$D$7:$D$36,$O280),INDEX('حضور ميخائيل'!$D$7:$D$36,$O280)),""))</f>
        <v/>
      </c>
      <c r="R280" s="21" t="str">
        <f>IF($O280="","",IFERROR(CHOOSE(MATCH($F280,الإعدادات!$B$4:$B$7,0),INDEX('حضور سوريال'!$F$7:$F$36,$O280),INDEX('حضور غبريال'!$F$7:$F$36,$O280),INDEX('حضور رفائيل'!$F$7:$F$36,$O280),INDEX('حضور ميخائيل'!$F$7:$F$36,$O280)),""))</f>
        <v/>
      </c>
      <c r="S280" s="20" t="str">
        <f>IF($O280="","",IFERROR(CHOOSE(MATCH($F280,الإعدادات!$B$4:$B$7,0),INDEX('حضور سوريال'!$G$7:$G$36,$O280),INDEX('حضور غبريال'!$G$7:$G$36,$O280),INDEX('حضور رفائيل'!$G$7:$G$36,$O280),INDEX('حضور ميخائيل'!$G$7:$G$36,$O280)),""))</f>
        <v/>
      </c>
      <c r="T280" s="22" t="str">
        <f>IF($O280="","",IFERROR(CHOOSE(MATCH($F280,الإعدادات!$B$4:$B$7,0),INDEX('حضور سوريال'!$H$7:$H$36,$O280),INDEX('حضور غبريال'!$H$7:$H$36,$O280),INDEX('حضور رفائيل'!$H$7:$H$36,$O280),INDEX('حضور ميخائيل'!$H$7:$H$36,$O280)),""))</f>
        <v/>
      </c>
      <c r="U280" s="23" t="str">
        <f>IF($O280="","",IFERROR(CHOOSE(MATCH($F280,الإعدادات!$B$4:$B$7,0),INDEX('حضور سوريال'!$I$7:$I$36,$O280),INDEX('حضور غبريال'!$I$7:$I$36,$O280),INDEX('حضور رفائيل'!$I$7:$I$36,$O280),INDEX('حضور ميخائيل'!$I$7:$I$36,$O280)),""))</f>
        <v/>
      </c>
      <c r="V280" t="str">
        <f>IF($O280="","",IFERROR(CHOOSE(MATCH($F280,الإعدادات!$B$4:$B$7,0),INDEX('حضور سوريال'!$BM$7:$BM$36,$O280),INDEX('حضور غبريال'!$BM$7:$BM$36,$O280),INDEX('حضور رفائيل'!$BM$7:$BM$36,$O280),INDEX('حضور ميخائيل'!$BM$7:$BM$36,$O280)),""))</f>
        <v/>
      </c>
      <c r="W280" t="str">
        <f>IF(OR(V280=3,V280=4),COUNTIFS(V$6:V280,3)+COUNTIFS(V$6:V280,4),"")</f>
        <v/>
      </c>
    </row>
    <row r="281" spans="1:23" ht="25.5" customHeight="1">
      <c r="A281" s="13" t="str">
        <f t="shared" si="12"/>
        <v/>
      </c>
      <c r="B281" s="14" t="str">
        <f t="shared" si="13"/>
        <v/>
      </c>
      <c r="C281" s="15"/>
      <c r="D281" s="16"/>
      <c r="E281" s="16"/>
      <c r="F281" s="16"/>
      <c r="G281" s="16"/>
      <c r="H281" s="17"/>
      <c r="I281" s="17"/>
      <c r="J281" s="18"/>
      <c r="K281" s="16"/>
      <c r="L281" s="18"/>
      <c r="M281" s="16"/>
      <c r="N281" s="19" t="str">
        <f t="shared" si="14"/>
        <v/>
      </c>
      <c r="O281" s="19" t="str">
        <f>IF(OR(C281="",F281=""),"",COUNTIFS(F$6:F281,F281,C$6:C281,"&lt;&gt;"))</f>
        <v/>
      </c>
      <c r="P281" s="20" t="str">
        <f>IF($O281="","",IFERROR(CHOOSE(MATCH($F281,الإعدادات!$B$4:$B$7,0),INDEX('حضور سوريال'!$C$7:$C$36,$O281),INDEX('حضور غبريال'!$C$7:$C$36,$O281),INDEX('حضور رفائيل'!$C$7:$C$36,$O281),INDEX('حضور ميخائيل'!$C$7:$C$36,$O281)),""))</f>
        <v/>
      </c>
      <c r="Q281" s="20" t="str">
        <f>IF($O281="","",IFERROR(CHOOSE(MATCH($F281,الإعدادات!$B$4:$B$7,0),INDEX('حضور سوريال'!$D$7:$D$36,$O281),INDEX('حضور غبريال'!$D$7:$D$36,$O281),INDEX('حضور رفائيل'!$D$7:$D$36,$O281),INDEX('حضور ميخائيل'!$D$7:$D$36,$O281)),""))</f>
        <v/>
      </c>
      <c r="R281" s="21" t="str">
        <f>IF($O281="","",IFERROR(CHOOSE(MATCH($F281,الإعدادات!$B$4:$B$7,0),INDEX('حضور سوريال'!$F$7:$F$36,$O281),INDEX('حضور غبريال'!$F$7:$F$36,$O281),INDEX('حضور رفائيل'!$F$7:$F$36,$O281),INDEX('حضور ميخائيل'!$F$7:$F$36,$O281)),""))</f>
        <v/>
      </c>
      <c r="S281" s="20" t="str">
        <f>IF($O281="","",IFERROR(CHOOSE(MATCH($F281,الإعدادات!$B$4:$B$7,0),INDEX('حضور سوريال'!$G$7:$G$36,$O281),INDEX('حضور غبريال'!$G$7:$G$36,$O281),INDEX('حضور رفائيل'!$G$7:$G$36,$O281),INDEX('حضور ميخائيل'!$G$7:$G$36,$O281)),""))</f>
        <v/>
      </c>
      <c r="T281" s="22" t="str">
        <f>IF($O281="","",IFERROR(CHOOSE(MATCH($F281,الإعدادات!$B$4:$B$7,0),INDEX('حضور سوريال'!$H$7:$H$36,$O281),INDEX('حضور غبريال'!$H$7:$H$36,$O281),INDEX('حضور رفائيل'!$H$7:$H$36,$O281),INDEX('حضور ميخائيل'!$H$7:$H$36,$O281)),""))</f>
        <v/>
      </c>
      <c r="U281" s="23" t="str">
        <f>IF($O281="","",IFERROR(CHOOSE(MATCH($F281,الإعدادات!$B$4:$B$7,0),INDEX('حضور سوريال'!$I$7:$I$36,$O281),INDEX('حضور غبريال'!$I$7:$I$36,$O281),INDEX('حضور رفائيل'!$I$7:$I$36,$O281),INDEX('حضور ميخائيل'!$I$7:$I$36,$O281)),""))</f>
        <v/>
      </c>
      <c r="V281" t="str">
        <f>IF($O281="","",IFERROR(CHOOSE(MATCH($F281,الإعدادات!$B$4:$B$7,0),INDEX('حضور سوريال'!$BM$7:$BM$36,$O281),INDEX('حضور غبريال'!$BM$7:$BM$36,$O281),INDEX('حضور رفائيل'!$BM$7:$BM$36,$O281),INDEX('حضور ميخائيل'!$BM$7:$BM$36,$O281)),""))</f>
        <v/>
      </c>
      <c r="W281" t="str">
        <f>IF(OR(V281=3,V281=4),COUNTIFS(V$6:V281,3)+COUNTIFS(V$6:V281,4),"")</f>
        <v/>
      </c>
    </row>
    <row r="282" spans="1:23" ht="25.5" customHeight="1">
      <c r="A282" s="13" t="str">
        <f t="shared" si="12"/>
        <v/>
      </c>
      <c r="B282" s="14" t="str">
        <f t="shared" si="13"/>
        <v/>
      </c>
      <c r="C282" s="15"/>
      <c r="D282" s="16"/>
      <c r="E282" s="16"/>
      <c r="F282" s="16"/>
      <c r="G282" s="16"/>
      <c r="H282" s="17"/>
      <c r="I282" s="17"/>
      <c r="J282" s="18"/>
      <c r="K282" s="16"/>
      <c r="L282" s="18"/>
      <c r="M282" s="16"/>
      <c r="N282" s="19" t="str">
        <f t="shared" si="14"/>
        <v/>
      </c>
      <c r="O282" s="19" t="str">
        <f>IF(OR(C282="",F282=""),"",COUNTIFS(F$6:F282,F282,C$6:C282,"&lt;&gt;"))</f>
        <v/>
      </c>
      <c r="P282" s="20" t="str">
        <f>IF($O282="","",IFERROR(CHOOSE(MATCH($F282,الإعدادات!$B$4:$B$7,0),INDEX('حضور سوريال'!$C$7:$C$36,$O282),INDEX('حضور غبريال'!$C$7:$C$36,$O282),INDEX('حضور رفائيل'!$C$7:$C$36,$O282),INDEX('حضور ميخائيل'!$C$7:$C$36,$O282)),""))</f>
        <v/>
      </c>
      <c r="Q282" s="20" t="str">
        <f>IF($O282="","",IFERROR(CHOOSE(MATCH($F282,الإعدادات!$B$4:$B$7,0),INDEX('حضور سوريال'!$D$7:$D$36,$O282),INDEX('حضور غبريال'!$D$7:$D$36,$O282),INDEX('حضور رفائيل'!$D$7:$D$36,$O282),INDEX('حضور ميخائيل'!$D$7:$D$36,$O282)),""))</f>
        <v/>
      </c>
      <c r="R282" s="21" t="str">
        <f>IF($O282="","",IFERROR(CHOOSE(MATCH($F282,الإعدادات!$B$4:$B$7,0),INDEX('حضور سوريال'!$F$7:$F$36,$O282),INDEX('حضور غبريال'!$F$7:$F$36,$O282),INDEX('حضور رفائيل'!$F$7:$F$36,$O282),INDEX('حضور ميخائيل'!$F$7:$F$36,$O282)),""))</f>
        <v/>
      </c>
      <c r="S282" s="20" t="str">
        <f>IF($O282="","",IFERROR(CHOOSE(MATCH($F282,الإعدادات!$B$4:$B$7,0),INDEX('حضور سوريال'!$G$7:$G$36,$O282),INDEX('حضور غبريال'!$G$7:$G$36,$O282),INDEX('حضور رفائيل'!$G$7:$G$36,$O282),INDEX('حضور ميخائيل'!$G$7:$G$36,$O282)),""))</f>
        <v/>
      </c>
      <c r="T282" s="22" t="str">
        <f>IF($O282="","",IFERROR(CHOOSE(MATCH($F282,الإعدادات!$B$4:$B$7,0),INDEX('حضور سوريال'!$H$7:$H$36,$O282),INDEX('حضور غبريال'!$H$7:$H$36,$O282),INDEX('حضور رفائيل'!$H$7:$H$36,$O282),INDEX('حضور ميخائيل'!$H$7:$H$36,$O282)),""))</f>
        <v/>
      </c>
      <c r="U282" s="23" t="str">
        <f>IF($O282="","",IFERROR(CHOOSE(MATCH($F282,الإعدادات!$B$4:$B$7,0),INDEX('حضور سوريال'!$I$7:$I$36,$O282),INDEX('حضور غبريال'!$I$7:$I$36,$O282),INDEX('حضور رفائيل'!$I$7:$I$36,$O282),INDEX('حضور ميخائيل'!$I$7:$I$36,$O282)),""))</f>
        <v/>
      </c>
      <c r="V282" t="str">
        <f>IF($O282="","",IFERROR(CHOOSE(MATCH($F282,الإعدادات!$B$4:$B$7,0),INDEX('حضور سوريال'!$BM$7:$BM$36,$O282),INDEX('حضور غبريال'!$BM$7:$BM$36,$O282),INDEX('حضور رفائيل'!$BM$7:$BM$36,$O282),INDEX('حضور ميخائيل'!$BM$7:$BM$36,$O282)),""))</f>
        <v/>
      </c>
      <c r="W282" t="str">
        <f>IF(OR(V282=3,V282=4),COUNTIFS(V$6:V282,3)+COUNTIFS(V$6:V282,4),"")</f>
        <v/>
      </c>
    </row>
    <row r="283" spans="1:23" ht="25.5" customHeight="1">
      <c r="A283" s="13" t="str">
        <f t="shared" si="12"/>
        <v/>
      </c>
      <c r="B283" s="14" t="str">
        <f t="shared" si="13"/>
        <v/>
      </c>
      <c r="C283" s="15"/>
      <c r="D283" s="16"/>
      <c r="E283" s="16"/>
      <c r="F283" s="16"/>
      <c r="G283" s="16"/>
      <c r="H283" s="17"/>
      <c r="I283" s="17"/>
      <c r="J283" s="18"/>
      <c r="K283" s="16"/>
      <c r="L283" s="18"/>
      <c r="M283" s="16"/>
      <c r="N283" s="19" t="str">
        <f t="shared" si="14"/>
        <v/>
      </c>
      <c r="O283" s="19" t="str">
        <f>IF(OR(C283="",F283=""),"",COUNTIFS(F$6:F283,F283,C$6:C283,"&lt;&gt;"))</f>
        <v/>
      </c>
      <c r="P283" s="20" t="str">
        <f>IF($O283="","",IFERROR(CHOOSE(MATCH($F283,الإعدادات!$B$4:$B$7,0),INDEX('حضور سوريال'!$C$7:$C$36,$O283),INDEX('حضور غبريال'!$C$7:$C$36,$O283),INDEX('حضور رفائيل'!$C$7:$C$36,$O283),INDEX('حضور ميخائيل'!$C$7:$C$36,$O283)),""))</f>
        <v/>
      </c>
      <c r="Q283" s="20" t="str">
        <f>IF($O283="","",IFERROR(CHOOSE(MATCH($F283,الإعدادات!$B$4:$B$7,0),INDEX('حضور سوريال'!$D$7:$D$36,$O283),INDEX('حضور غبريال'!$D$7:$D$36,$O283),INDEX('حضور رفائيل'!$D$7:$D$36,$O283),INDEX('حضور ميخائيل'!$D$7:$D$36,$O283)),""))</f>
        <v/>
      </c>
      <c r="R283" s="21" t="str">
        <f>IF($O283="","",IFERROR(CHOOSE(MATCH($F283,الإعدادات!$B$4:$B$7,0),INDEX('حضور سوريال'!$F$7:$F$36,$O283),INDEX('حضور غبريال'!$F$7:$F$36,$O283),INDEX('حضور رفائيل'!$F$7:$F$36,$O283),INDEX('حضور ميخائيل'!$F$7:$F$36,$O283)),""))</f>
        <v/>
      </c>
      <c r="S283" s="20" t="str">
        <f>IF($O283="","",IFERROR(CHOOSE(MATCH($F283,الإعدادات!$B$4:$B$7,0),INDEX('حضور سوريال'!$G$7:$G$36,$O283),INDEX('حضور غبريال'!$G$7:$G$36,$O283),INDEX('حضور رفائيل'!$G$7:$G$36,$O283),INDEX('حضور ميخائيل'!$G$7:$G$36,$O283)),""))</f>
        <v/>
      </c>
      <c r="T283" s="22" t="str">
        <f>IF($O283="","",IFERROR(CHOOSE(MATCH($F283,الإعدادات!$B$4:$B$7,0),INDEX('حضور سوريال'!$H$7:$H$36,$O283),INDEX('حضور غبريال'!$H$7:$H$36,$O283),INDEX('حضور رفائيل'!$H$7:$H$36,$O283),INDEX('حضور ميخائيل'!$H$7:$H$36,$O283)),""))</f>
        <v/>
      </c>
      <c r="U283" s="23" t="str">
        <f>IF($O283="","",IFERROR(CHOOSE(MATCH($F283,الإعدادات!$B$4:$B$7,0),INDEX('حضور سوريال'!$I$7:$I$36,$O283),INDEX('حضور غبريال'!$I$7:$I$36,$O283),INDEX('حضور رفائيل'!$I$7:$I$36,$O283),INDEX('حضور ميخائيل'!$I$7:$I$36,$O283)),""))</f>
        <v/>
      </c>
      <c r="V283" t="str">
        <f>IF($O283="","",IFERROR(CHOOSE(MATCH($F283,الإعدادات!$B$4:$B$7,0),INDEX('حضور سوريال'!$BM$7:$BM$36,$O283),INDEX('حضور غبريال'!$BM$7:$BM$36,$O283),INDEX('حضور رفائيل'!$BM$7:$BM$36,$O283),INDEX('حضور ميخائيل'!$BM$7:$BM$36,$O283)),""))</f>
        <v/>
      </c>
      <c r="W283" t="str">
        <f>IF(OR(V283=3,V283=4),COUNTIFS(V$6:V283,3)+COUNTIFS(V$6:V283,4),"")</f>
        <v/>
      </c>
    </row>
    <row r="284" spans="1:23" ht="25.5" customHeight="1">
      <c r="A284" s="13" t="str">
        <f t="shared" si="12"/>
        <v/>
      </c>
      <c r="B284" s="14" t="str">
        <f t="shared" si="13"/>
        <v/>
      </c>
      <c r="C284" s="15"/>
      <c r="D284" s="16"/>
      <c r="E284" s="16"/>
      <c r="F284" s="16"/>
      <c r="G284" s="16"/>
      <c r="H284" s="17"/>
      <c r="I284" s="17"/>
      <c r="J284" s="18"/>
      <c r="K284" s="16"/>
      <c r="L284" s="18"/>
      <c r="M284" s="16"/>
      <c r="N284" s="19" t="str">
        <f t="shared" si="14"/>
        <v/>
      </c>
      <c r="O284" s="19" t="str">
        <f>IF(OR(C284="",F284=""),"",COUNTIFS(F$6:F284,F284,C$6:C284,"&lt;&gt;"))</f>
        <v/>
      </c>
      <c r="P284" s="20" t="str">
        <f>IF($O284="","",IFERROR(CHOOSE(MATCH($F284,الإعدادات!$B$4:$B$7,0),INDEX('حضور سوريال'!$C$7:$C$36,$O284),INDEX('حضور غبريال'!$C$7:$C$36,$O284),INDEX('حضور رفائيل'!$C$7:$C$36,$O284),INDEX('حضور ميخائيل'!$C$7:$C$36,$O284)),""))</f>
        <v/>
      </c>
      <c r="Q284" s="20" t="str">
        <f>IF($O284="","",IFERROR(CHOOSE(MATCH($F284,الإعدادات!$B$4:$B$7,0),INDEX('حضور سوريال'!$D$7:$D$36,$O284),INDEX('حضور غبريال'!$D$7:$D$36,$O284),INDEX('حضور رفائيل'!$D$7:$D$36,$O284),INDEX('حضور ميخائيل'!$D$7:$D$36,$O284)),""))</f>
        <v/>
      </c>
      <c r="R284" s="21" t="str">
        <f>IF($O284="","",IFERROR(CHOOSE(MATCH($F284,الإعدادات!$B$4:$B$7,0),INDEX('حضور سوريال'!$F$7:$F$36,$O284),INDEX('حضور غبريال'!$F$7:$F$36,$O284),INDEX('حضور رفائيل'!$F$7:$F$36,$O284),INDEX('حضور ميخائيل'!$F$7:$F$36,$O284)),""))</f>
        <v/>
      </c>
      <c r="S284" s="20" t="str">
        <f>IF($O284="","",IFERROR(CHOOSE(MATCH($F284,الإعدادات!$B$4:$B$7,0),INDEX('حضور سوريال'!$G$7:$G$36,$O284),INDEX('حضور غبريال'!$G$7:$G$36,$O284),INDEX('حضور رفائيل'!$G$7:$G$36,$O284),INDEX('حضور ميخائيل'!$G$7:$G$36,$O284)),""))</f>
        <v/>
      </c>
      <c r="T284" s="22" t="str">
        <f>IF($O284="","",IFERROR(CHOOSE(MATCH($F284,الإعدادات!$B$4:$B$7,0),INDEX('حضور سوريال'!$H$7:$H$36,$O284),INDEX('حضور غبريال'!$H$7:$H$36,$O284),INDEX('حضور رفائيل'!$H$7:$H$36,$O284),INDEX('حضور ميخائيل'!$H$7:$H$36,$O284)),""))</f>
        <v/>
      </c>
      <c r="U284" s="23" t="str">
        <f>IF($O284="","",IFERROR(CHOOSE(MATCH($F284,الإعدادات!$B$4:$B$7,0),INDEX('حضور سوريال'!$I$7:$I$36,$O284),INDEX('حضور غبريال'!$I$7:$I$36,$O284),INDEX('حضور رفائيل'!$I$7:$I$36,$O284),INDEX('حضور ميخائيل'!$I$7:$I$36,$O284)),""))</f>
        <v/>
      </c>
      <c r="V284" t="str">
        <f>IF($O284="","",IFERROR(CHOOSE(MATCH($F284,الإعدادات!$B$4:$B$7,0),INDEX('حضور سوريال'!$BM$7:$BM$36,$O284),INDEX('حضور غبريال'!$BM$7:$BM$36,$O284),INDEX('حضور رفائيل'!$BM$7:$BM$36,$O284),INDEX('حضور ميخائيل'!$BM$7:$BM$36,$O284)),""))</f>
        <v/>
      </c>
      <c r="W284" t="str">
        <f>IF(OR(V284=3,V284=4),COUNTIFS(V$6:V284,3)+COUNTIFS(V$6:V284,4),"")</f>
        <v/>
      </c>
    </row>
    <row r="285" spans="1:23" ht="25.5" customHeight="1">
      <c r="A285" s="13" t="str">
        <f t="shared" si="12"/>
        <v/>
      </c>
      <c r="B285" s="14" t="str">
        <f t="shared" si="13"/>
        <v/>
      </c>
      <c r="C285" s="15"/>
      <c r="D285" s="16"/>
      <c r="E285" s="16"/>
      <c r="F285" s="16"/>
      <c r="G285" s="16"/>
      <c r="H285" s="17"/>
      <c r="I285" s="17"/>
      <c r="J285" s="18"/>
      <c r="K285" s="16"/>
      <c r="L285" s="18"/>
      <c r="M285" s="16"/>
      <c r="N285" s="19" t="str">
        <f t="shared" si="14"/>
        <v/>
      </c>
      <c r="O285" s="19" t="str">
        <f>IF(OR(C285="",F285=""),"",COUNTIFS(F$6:F285,F285,C$6:C285,"&lt;&gt;"))</f>
        <v/>
      </c>
      <c r="P285" s="20" t="str">
        <f>IF($O285="","",IFERROR(CHOOSE(MATCH($F285,الإعدادات!$B$4:$B$7,0),INDEX('حضور سوريال'!$C$7:$C$36,$O285),INDEX('حضور غبريال'!$C$7:$C$36,$O285),INDEX('حضور رفائيل'!$C$7:$C$36,$O285),INDEX('حضور ميخائيل'!$C$7:$C$36,$O285)),""))</f>
        <v/>
      </c>
      <c r="Q285" s="20" t="str">
        <f>IF($O285="","",IFERROR(CHOOSE(MATCH($F285,الإعدادات!$B$4:$B$7,0),INDEX('حضور سوريال'!$D$7:$D$36,$O285),INDEX('حضور غبريال'!$D$7:$D$36,$O285),INDEX('حضور رفائيل'!$D$7:$D$36,$O285),INDEX('حضور ميخائيل'!$D$7:$D$36,$O285)),""))</f>
        <v/>
      </c>
      <c r="R285" s="21" t="str">
        <f>IF($O285="","",IFERROR(CHOOSE(MATCH($F285,الإعدادات!$B$4:$B$7,0),INDEX('حضور سوريال'!$F$7:$F$36,$O285),INDEX('حضور غبريال'!$F$7:$F$36,$O285),INDEX('حضور رفائيل'!$F$7:$F$36,$O285),INDEX('حضور ميخائيل'!$F$7:$F$36,$O285)),""))</f>
        <v/>
      </c>
      <c r="S285" s="20" t="str">
        <f>IF($O285="","",IFERROR(CHOOSE(MATCH($F285,الإعدادات!$B$4:$B$7,0),INDEX('حضور سوريال'!$G$7:$G$36,$O285),INDEX('حضور غبريال'!$G$7:$G$36,$O285),INDEX('حضور رفائيل'!$G$7:$G$36,$O285),INDEX('حضور ميخائيل'!$G$7:$G$36,$O285)),""))</f>
        <v/>
      </c>
      <c r="T285" s="22" t="str">
        <f>IF($O285="","",IFERROR(CHOOSE(MATCH($F285,الإعدادات!$B$4:$B$7,0),INDEX('حضور سوريال'!$H$7:$H$36,$O285),INDEX('حضور غبريال'!$H$7:$H$36,$O285),INDEX('حضور رفائيل'!$H$7:$H$36,$O285),INDEX('حضور ميخائيل'!$H$7:$H$36,$O285)),""))</f>
        <v/>
      </c>
      <c r="U285" s="23" t="str">
        <f>IF($O285="","",IFERROR(CHOOSE(MATCH($F285,الإعدادات!$B$4:$B$7,0),INDEX('حضور سوريال'!$I$7:$I$36,$O285),INDEX('حضور غبريال'!$I$7:$I$36,$O285),INDEX('حضور رفائيل'!$I$7:$I$36,$O285),INDEX('حضور ميخائيل'!$I$7:$I$36,$O285)),""))</f>
        <v/>
      </c>
      <c r="V285" t="str">
        <f>IF($O285="","",IFERROR(CHOOSE(MATCH($F285,الإعدادات!$B$4:$B$7,0),INDEX('حضور سوريال'!$BM$7:$BM$36,$O285),INDEX('حضور غبريال'!$BM$7:$BM$36,$O285),INDEX('حضور رفائيل'!$BM$7:$BM$36,$O285),INDEX('حضور ميخائيل'!$BM$7:$BM$36,$O285)),""))</f>
        <v/>
      </c>
      <c r="W285" t="str">
        <f>IF(OR(V285=3,V285=4),COUNTIFS(V$6:V285,3)+COUNTIFS(V$6:V285,4),"")</f>
        <v/>
      </c>
    </row>
    <row r="286" spans="1:23" ht="25.5" customHeight="1">
      <c r="A286" s="13" t="str">
        <f t="shared" si="12"/>
        <v/>
      </c>
      <c r="B286" s="14" t="str">
        <f t="shared" si="13"/>
        <v/>
      </c>
      <c r="C286" s="15"/>
      <c r="D286" s="16"/>
      <c r="E286" s="16"/>
      <c r="F286" s="16"/>
      <c r="G286" s="16"/>
      <c r="H286" s="17"/>
      <c r="I286" s="17"/>
      <c r="J286" s="18"/>
      <c r="K286" s="16"/>
      <c r="L286" s="18"/>
      <c r="M286" s="16"/>
      <c r="N286" s="19" t="str">
        <f t="shared" si="14"/>
        <v/>
      </c>
      <c r="O286" s="19" t="str">
        <f>IF(OR(C286="",F286=""),"",COUNTIFS(F$6:F286,F286,C$6:C286,"&lt;&gt;"))</f>
        <v/>
      </c>
      <c r="P286" s="20" t="str">
        <f>IF($O286="","",IFERROR(CHOOSE(MATCH($F286,الإعدادات!$B$4:$B$7,0),INDEX('حضور سوريال'!$C$7:$C$36,$O286),INDEX('حضور غبريال'!$C$7:$C$36,$O286),INDEX('حضور رفائيل'!$C$7:$C$36,$O286),INDEX('حضور ميخائيل'!$C$7:$C$36,$O286)),""))</f>
        <v/>
      </c>
      <c r="Q286" s="20" t="str">
        <f>IF($O286="","",IFERROR(CHOOSE(MATCH($F286,الإعدادات!$B$4:$B$7,0),INDEX('حضور سوريال'!$D$7:$D$36,$O286),INDEX('حضور غبريال'!$D$7:$D$36,$O286),INDEX('حضور رفائيل'!$D$7:$D$36,$O286),INDEX('حضور ميخائيل'!$D$7:$D$36,$O286)),""))</f>
        <v/>
      </c>
      <c r="R286" s="21" t="str">
        <f>IF($O286="","",IFERROR(CHOOSE(MATCH($F286,الإعدادات!$B$4:$B$7,0),INDEX('حضور سوريال'!$F$7:$F$36,$O286),INDEX('حضور غبريال'!$F$7:$F$36,$O286),INDEX('حضور رفائيل'!$F$7:$F$36,$O286),INDEX('حضور ميخائيل'!$F$7:$F$36,$O286)),""))</f>
        <v/>
      </c>
      <c r="S286" s="20" t="str">
        <f>IF($O286="","",IFERROR(CHOOSE(MATCH($F286,الإعدادات!$B$4:$B$7,0),INDEX('حضور سوريال'!$G$7:$G$36,$O286),INDEX('حضور غبريال'!$G$7:$G$36,$O286),INDEX('حضور رفائيل'!$G$7:$G$36,$O286),INDEX('حضور ميخائيل'!$G$7:$G$36,$O286)),""))</f>
        <v/>
      </c>
      <c r="T286" s="22" t="str">
        <f>IF($O286="","",IFERROR(CHOOSE(MATCH($F286,الإعدادات!$B$4:$B$7,0),INDEX('حضور سوريال'!$H$7:$H$36,$O286),INDEX('حضور غبريال'!$H$7:$H$36,$O286),INDEX('حضور رفائيل'!$H$7:$H$36,$O286),INDEX('حضور ميخائيل'!$H$7:$H$36,$O286)),""))</f>
        <v/>
      </c>
      <c r="U286" s="23" t="str">
        <f>IF($O286="","",IFERROR(CHOOSE(MATCH($F286,الإعدادات!$B$4:$B$7,0),INDEX('حضور سوريال'!$I$7:$I$36,$O286),INDEX('حضور غبريال'!$I$7:$I$36,$O286),INDEX('حضور رفائيل'!$I$7:$I$36,$O286),INDEX('حضور ميخائيل'!$I$7:$I$36,$O286)),""))</f>
        <v/>
      </c>
      <c r="V286" t="str">
        <f>IF($O286="","",IFERROR(CHOOSE(MATCH($F286,الإعدادات!$B$4:$B$7,0),INDEX('حضور سوريال'!$BM$7:$BM$36,$O286),INDEX('حضور غبريال'!$BM$7:$BM$36,$O286),INDEX('حضور رفائيل'!$BM$7:$BM$36,$O286),INDEX('حضور ميخائيل'!$BM$7:$BM$36,$O286)),""))</f>
        <v/>
      </c>
      <c r="W286" t="str">
        <f>IF(OR(V286=3,V286=4),COUNTIFS(V$6:V286,3)+COUNTIFS(V$6:V286,4),"")</f>
        <v/>
      </c>
    </row>
    <row r="287" spans="1:23" ht="25.5" customHeight="1">
      <c r="A287" s="13" t="str">
        <f t="shared" si="12"/>
        <v/>
      </c>
      <c r="B287" s="14" t="str">
        <f t="shared" si="13"/>
        <v/>
      </c>
      <c r="C287" s="15"/>
      <c r="D287" s="16"/>
      <c r="E287" s="16"/>
      <c r="F287" s="16"/>
      <c r="G287" s="16"/>
      <c r="H287" s="17"/>
      <c r="I287" s="17"/>
      <c r="J287" s="18"/>
      <c r="K287" s="16"/>
      <c r="L287" s="18"/>
      <c r="M287" s="16"/>
      <c r="N287" s="19" t="str">
        <f t="shared" si="14"/>
        <v/>
      </c>
      <c r="O287" s="19" t="str">
        <f>IF(OR(C287="",F287=""),"",COUNTIFS(F$6:F287,F287,C$6:C287,"&lt;&gt;"))</f>
        <v/>
      </c>
      <c r="P287" s="20" t="str">
        <f>IF($O287="","",IFERROR(CHOOSE(MATCH($F287,الإعدادات!$B$4:$B$7,0),INDEX('حضور سوريال'!$C$7:$C$36,$O287),INDEX('حضور غبريال'!$C$7:$C$36,$O287),INDEX('حضور رفائيل'!$C$7:$C$36,$O287),INDEX('حضور ميخائيل'!$C$7:$C$36,$O287)),""))</f>
        <v/>
      </c>
      <c r="Q287" s="20" t="str">
        <f>IF($O287="","",IFERROR(CHOOSE(MATCH($F287,الإعدادات!$B$4:$B$7,0),INDEX('حضور سوريال'!$D$7:$D$36,$O287),INDEX('حضور غبريال'!$D$7:$D$36,$O287),INDEX('حضور رفائيل'!$D$7:$D$36,$O287),INDEX('حضور ميخائيل'!$D$7:$D$36,$O287)),""))</f>
        <v/>
      </c>
      <c r="R287" s="21" t="str">
        <f>IF($O287="","",IFERROR(CHOOSE(MATCH($F287,الإعدادات!$B$4:$B$7,0),INDEX('حضور سوريال'!$F$7:$F$36,$O287),INDEX('حضور غبريال'!$F$7:$F$36,$O287),INDEX('حضور رفائيل'!$F$7:$F$36,$O287),INDEX('حضور ميخائيل'!$F$7:$F$36,$O287)),""))</f>
        <v/>
      </c>
      <c r="S287" s="20" t="str">
        <f>IF($O287="","",IFERROR(CHOOSE(MATCH($F287,الإعدادات!$B$4:$B$7,0),INDEX('حضور سوريال'!$G$7:$G$36,$O287),INDEX('حضور غبريال'!$G$7:$G$36,$O287),INDEX('حضور رفائيل'!$G$7:$G$36,$O287),INDEX('حضور ميخائيل'!$G$7:$G$36,$O287)),""))</f>
        <v/>
      </c>
      <c r="T287" s="22" t="str">
        <f>IF($O287="","",IFERROR(CHOOSE(MATCH($F287,الإعدادات!$B$4:$B$7,0),INDEX('حضور سوريال'!$H$7:$H$36,$O287),INDEX('حضور غبريال'!$H$7:$H$36,$O287),INDEX('حضور رفائيل'!$H$7:$H$36,$O287),INDEX('حضور ميخائيل'!$H$7:$H$36,$O287)),""))</f>
        <v/>
      </c>
      <c r="U287" s="23" t="str">
        <f>IF($O287="","",IFERROR(CHOOSE(MATCH($F287,الإعدادات!$B$4:$B$7,0),INDEX('حضور سوريال'!$I$7:$I$36,$O287),INDEX('حضور غبريال'!$I$7:$I$36,$O287),INDEX('حضور رفائيل'!$I$7:$I$36,$O287),INDEX('حضور ميخائيل'!$I$7:$I$36,$O287)),""))</f>
        <v/>
      </c>
      <c r="V287" t="str">
        <f>IF($O287="","",IFERROR(CHOOSE(MATCH($F287,الإعدادات!$B$4:$B$7,0),INDEX('حضور سوريال'!$BM$7:$BM$36,$O287),INDEX('حضور غبريال'!$BM$7:$BM$36,$O287),INDEX('حضور رفائيل'!$BM$7:$BM$36,$O287),INDEX('حضور ميخائيل'!$BM$7:$BM$36,$O287)),""))</f>
        <v/>
      </c>
      <c r="W287" t="str">
        <f>IF(OR(V287=3,V287=4),COUNTIFS(V$6:V287,3)+COUNTIFS(V$6:V287,4),"")</f>
        <v/>
      </c>
    </row>
    <row r="288" spans="1:23" ht="25.5" customHeight="1">
      <c r="A288" s="13" t="str">
        <f t="shared" si="12"/>
        <v/>
      </c>
      <c r="B288" s="14" t="str">
        <f t="shared" si="13"/>
        <v/>
      </c>
      <c r="C288" s="15"/>
      <c r="D288" s="16"/>
      <c r="E288" s="16"/>
      <c r="F288" s="16"/>
      <c r="G288" s="16"/>
      <c r="H288" s="17"/>
      <c r="I288" s="17"/>
      <c r="J288" s="18"/>
      <c r="K288" s="16"/>
      <c r="L288" s="18"/>
      <c r="M288" s="16"/>
      <c r="N288" s="19" t="str">
        <f t="shared" si="14"/>
        <v/>
      </c>
      <c r="O288" s="19" t="str">
        <f>IF(OR(C288="",F288=""),"",COUNTIFS(F$6:F288,F288,C$6:C288,"&lt;&gt;"))</f>
        <v/>
      </c>
      <c r="P288" s="20" t="str">
        <f>IF($O288="","",IFERROR(CHOOSE(MATCH($F288,الإعدادات!$B$4:$B$7,0),INDEX('حضور سوريال'!$C$7:$C$36,$O288),INDEX('حضور غبريال'!$C$7:$C$36,$O288),INDEX('حضور رفائيل'!$C$7:$C$36,$O288),INDEX('حضور ميخائيل'!$C$7:$C$36,$O288)),""))</f>
        <v/>
      </c>
      <c r="Q288" s="20" t="str">
        <f>IF($O288="","",IFERROR(CHOOSE(MATCH($F288,الإعدادات!$B$4:$B$7,0),INDEX('حضور سوريال'!$D$7:$D$36,$O288),INDEX('حضور غبريال'!$D$7:$D$36,$O288),INDEX('حضور رفائيل'!$D$7:$D$36,$O288),INDEX('حضور ميخائيل'!$D$7:$D$36,$O288)),""))</f>
        <v/>
      </c>
      <c r="R288" s="21" t="str">
        <f>IF($O288="","",IFERROR(CHOOSE(MATCH($F288,الإعدادات!$B$4:$B$7,0),INDEX('حضور سوريال'!$F$7:$F$36,$O288),INDEX('حضور غبريال'!$F$7:$F$36,$O288),INDEX('حضور رفائيل'!$F$7:$F$36,$O288),INDEX('حضور ميخائيل'!$F$7:$F$36,$O288)),""))</f>
        <v/>
      </c>
      <c r="S288" s="20" t="str">
        <f>IF($O288="","",IFERROR(CHOOSE(MATCH($F288,الإعدادات!$B$4:$B$7,0),INDEX('حضور سوريال'!$G$7:$G$36,$O288),INDEX('حضور غبريال'!$G$7:$G$36,$O288),INDEX('حضور رفائيل'!$G$7:$G$36,$O288),INDEX('حضور ميخائيل'!$G$7:$G$36,$O288)),""))</f>
        <v/>
      </c>
      <c r="T288" s="22" t="str">
        <f>IF($O288="","",IFERROR(CHOOSE(MATCH($F288,الإعدادات!$B$4:$B$7,0),INDEX('حضور سوريال'!$H$7:$H$36,$O288),INDEX('حضور غبريال'!$H$7:$H$36,$O288),INDEX('حضور رفائيل'!$H$7:$H$36,$O288),INDEX('حضور ميخائيل'!$H$7:$H$36,$O288)),""))</f>
        <v/>
      </c>
      <c r="U288" s="23" t="str">
        <f>IF($O288="","",IFERROR(CHOOSE(MATCH($F288,الإعدادات!$B$4:$B$7,0),INDEX('حضور سوريال'!$I$7:$I$36,$O288),INDEX('حضور غبريال'!$I$7:$I$36,$O288),INDEX('حضور رفائيل'!$I$7:$I$36,$O288),INDEX('حضور ميخائيل'!$I$7:$I$36,$O288)),""))</f>
        <v/>
      </c>
      <c r="V288" t="str">
        <f>IF($O288="","",IFERROR(CHOOSE(MATCH($F288,الإعدادات!$B$4:$B$7,0),INDEX('حضور سوريال'!$BM$7:$BM$36,$O288),INDEX('حضور غبريال'!$BM$7:$BM$36,$O288),INDEX('حضور رفائيل'!$BM$7:$BM$36,$O288),INDEX('حضور ميخائيل'!$BM$7:$BM$36,$O288)),""))</f>
        <v/>
      </c>
      <c r="W288" t="str">
        <f>IF(OR(V288=3,V288=4),COUNTIFS(V$6:V288,3)+COUNTIFS(V$6:V288,4),"")</f>
        <v/>
      </c>
    </row>
    <row r="289" spans="1:23" ht="25.5" customHeight="1">
      <c r="A289" s="13" t="str">
        <f t="shared" si="12"/>
        <v/>
      </c>
      <c r="B289" s="14" t="str">
        <f t="shared" si="13"/>
        <v/>
      </c>
      <c r="C289" s="15"/>
      <c r="D289" s="16"/>
      <c r="E289" s="16"/>
      <c r="F289" s="16"/>
      <c r="G289" s="16"/>
      <c r="H289" s="17"/>
      <c r="I289" s="17"/>
      <c r="J289" s="18"/>
      <c r="K289" s="16"/>
      <c r="L289" s="18"/>
      <c r="M289" s="16"/>
      <c r="N289" s="19" t="str">
        <f t="shared" si="14"/>
        <v/>
      </c>
      <c r="O289" s="19" t="str">
        <f>IF(OR(C289="",F289=""),"",COUNTIFS(F$6:F289,F289,C$6:C289,"&lt;&gt;"))</f>
        <v/>
      </c>
      <c r="P289" s="20" t="str">
        <f>IF($O289="","",IFERROR(CHOOSE(MATCH($F289,الإعدادات!$B$4:$B$7,0),INDEX('حضور سوريال'!$C$7:$C$36,$O289),INDEX('حضور غبريال'!$C$7:$C$36,$O289),INDEX('حضور رفائيل'!$C$7:$C$36,$O289),INDEX('حضور ميخائيل'!$C$7:$C$36,$O289)),""))</f>
        <v/>
      </c>
      <c r="Q289" s="20" t="str">
        <f>IF($O289="","",IFERROR(CHOOSE(MATCH($F289,الإعدادات!$B$4:$B$7,0),INDEX('حضور سوريال'!$D$7:$D$36,$O289),INDEX('حضور غبريال'!$D$7:$D$36,$O289),INDEX('حضور رفائيل'!$D$7:$D$36,$O289),INDEX('حضور ميخائيل'!$D$7:$D$36,$O289)),""))</f>
        <v/>
      </c>
      <c r="R289" s="21" t="str">
        <f>IF($O289="","",IFERROR(CHOOSE(MATCH($F289,الإعدادات!$B$4:$B$7,0),INDEX('حضور سوريال'!$F$7:$F$36,$O289),INDEX('حضور غبريال'!$F$7:$F$36,$O289),INDEX('حضور رفائيل'!$F$7:$F$36,$O289),INDEX('حضور ميخائيل'!$F$7:$F$36,$O289)),""))</f>
        <v/>
      </c>
      <c r="S289" s="20" t="str">
        <f>IF($O289="","",IFERROR(CHOOSE(MATCH($F289,الإعدادات!$B$4:$B$7,0),INDEX('حضور سوريال'!$G$7:$G$36,$O289),INDEX('حضور غبريال'!$G$7:$G$36,$O289),INDEX('حضور رفائيل'!$G$7:$G$36,$O289),INDEX('حضور ميخائيل'!$G$7:$G$36,$O289)),""))</f>
        <v/>
      </c>
      <c r="T289" s="22" t="str">
        <f>IF($O289="","",IFERROR(CHOOSE(MATCH($F289,الإعدادات!$B$4:$B$7,0),INDEX('حضور سوريال'!$H$7:$H$36,$O289),INDEX('حضور غبريال'!$H$7:$H$36,$O289),INDEX('حضور رفائيل'!$H$7:$H$36,$O289),INDEX('حضور ميخائيل'!$H$7:$H$36,$O289)),""))</f>
        <v/>
      </c>
      <c r="U289" s="23" t="str">
        <f>IF($O289="","",IFERROR(CHOOSE(MATCH($F289,الإعدادات!$B$4:$B$7,0),INDEX('حضور سوريال'!$I$7:$I$36,$O289),INDEX('حضور غبريال'!$I$7:$I$36,$O289),INDEX('حضور رفائيل'!$I$7:$I$36,$O289),INDEX('حضور ميخائيل'!$I$7:$I$36,$O289)),""))</f>
        <v/>
      </c>
      <c r="V289" t="str">
        <f>IF($O289="","",IFERROR(CHOOSE(MATCH($F289,الإعدادات!$B$4:$B$7,0),INDEX('حضور سوريال'!$BM$7:$BM$36,$O289),INDEX('حضور غبريال'!$BM$7:$BM$36,$O289),INDEX('حضور رفائيل'!$BM$7:$BM$36,$O289),INDEX('حضور ميخائيل'!$BM$7:$BM$36,$O289)),""))</f>
        <v/>
      </c>
      <c r="W289" t="str">
        <f>IF(OR(V289=3,V289=4),COUNTIFS(V$6:V289,3)+COUNTIFS(V$6:V289,4),"")</f>
        <v/>
      </c>
    </row>
    <row r="290" spans="1:23" ht="25.5" customHeight="1">
      <c r="A290" s="13" t="str">
        <f t="shared" si="12"/>
        <v/>
      </c>
      <c r="B290" s="14" t="str">
        <f t="shared" si="13"/>
        <v/>
      </c>
      <c r="C290" s="15"/>
      <c r="D290" s="16"/>
      <c r="E290" s="16"/>
      <c r="F290" s="16"/>
      <c r="G290" s="16"/>
      <c r="H290" s="17"/>
      <c r="I290" s="17"/>
      <c r="J290" s="18"/>
      <c r="K290" s="16"/>
      <c r="L290" s="18"/>
      <c r="M290" s="16"/>
      <c r="N290" s="19" t="str">
        <f t="shared" si="14"/>
        <v/>
      </c>
      <c r="O290" s="19" t="str">
        <f>IF(OR(C290="",F290=""),"",COUNTIFS(F$6:F290,F290,C$6:C290,"&lt;&gt;"))</f>
        <v/>
      </c>
      <c r="P290" s="20" t="str">
        <f>IF($O290="","",IFERROR(CHOOSE(MATCH($F290,الإعدادات!$B$4:$B$7,0),INDEX('حضور سوريال'!$C$7:$C$36,$O290),INDEX('حضور غبريال'!$C$7:$C$36,$O290),INDEX('حضور رفائيل'!$C$7:$C$36,$O290),INDEX('حضور ميخائيل'!$C$7:$C$36,$O290)),""))</f>
        <v/>
      </c>
      <c r="Q290" s="20" t="str">
        <f>IF($O290="","",IFERROR(CHOOSE(MATCH($F290,الإعدادات!$B$4:$B$7,0),INDEX('حضور سوريال'!$D$7:$D$36,$O290),INDEX('حضور غبريال'!$D$7:$D$36,$O290),INDEX('حضور رفائيل'!$D$7:$D$36,$O290),INDEX('حضور ميخائيل'!$D$7:$D$36,$O290)),""))</f>
        <v/>
      </c>
      <c r="R290" s="21" t="str">
        <f>IF($O290="","",IFERROR(CHOOSE(MATCH($F290,الإعدادات!$B$4:$B$7,0),INDEX('حضور سوريال'!$F$7:$F$36,$O290),INDEX('حضور غبريال'!$F$7:$F$36,$O290),INDEX('حضور رفائيل'!$F$7:$F$36,$O290),INDEX('حضور ميخائيل'!$F$7:$F$36,$O290)),""))</f>
        <v/>
      </c>
      <c r="S290" s="20" t="str">
        <f>IF($O290="","",IFERROR(CHOOSE(MATCH($F290,الإعدادات!$B$4:$B$7,0),INDEX('حضور سوريال'!$G$7:$G$36,$O290),INDEX('حضور غبريال'!$G$7:$G$36,$O290),INDEX('حضور رفائيل'!$G$7:$G$36,$O290),INDEX('حضور ميخائيل'!$G$7:$G$36,$O290)),""))</f>
        <v/>
      </c>
      <c r="T290" s="22" t="str">
        <f>IF($O290="","",IFERROR(CHOOSE(MATCH($F290,الإعدادات!$B$4:$B$7,0),INDEX('حضور سوريال'!$H$7:$H$36,$O290),INDEX('حضور غبريال'!$H$7:$H$36,$O290),INDEX('حضور رفائيل'!$H$7:$H$36,$O290),INDEX('حضور ميخائيل'!$H$7:$H$36,$O290)),""))</f>
        <v/>
      </c>
      <c r="U290" s="23" t="str">
        <f>IF($O290="","",IFERROR(CHOOSE(MATCH($F290,الإعدادات!$B$4:$B$7,0),INDEX('حضور سوريال'!$I$7:$I$36,$O290),INDEX('حضور غبريال'!$I$7:$I$36,$O290),INDEX('حضور رفائيل'!$I$7:$I$36,$O290),INDEX('حضور ميخائيل'!$I$7:$I$36,$O290)),""))</f>
        <v/>
      </c>
      <c r="V290" t="str">
        <f>IF($O290="","",IFERROR(CHOOSE(MATCH($F290,الإعدادات!$B$4:$B$7,0),INDEX('حضور سوريال'!$BM$7:$BM$36,$O290),INDEX('حضور غبريال'!$BM$7:$BM$36,$O290),INDEX('حضور رفائيل'!$BM$7:$BM$36,$O290),INDEX('حضور ميخائيل'!$BM$7:$BM$36,$O290)),""))</f>
        <v/>
      </c>
      <c r="W290" t="str">
        <f>IF(OR(V290=3,V290=4),COUNTIFS(V$6:V290,3)+COUNTIFS(V$6:V290,4),"")</f>
        <v/>
      </c>
    </row>
    <row r="291" spans="1:23" ht="25.5" customHeight="1">
      <c r="A291" s="13" t="str">
        <f t="shared" si="12"/>
        <v/>
      </c>
      <c r="B291" s="14" t="str">
        <f t="shared" si="13"/>
        <v/>
      </c>
      <c r="C291" s="15"/>
      <c r="D291" s="16"/>
      <c r="E291" s="16"/>
      <c r="F291" s="16"/>
      <c r="G291" s="16"/>
      <c r="H291" s="17"/>
      <c r="I291" s="17"/>
      <c r="J291" s="18"/>
      <c r="K291" s="16"/>
      <c r="L291" s="18"/>
      <c r="M291" s="16"/>
      <c r="N291" s="19" t="str">
        <f t="shared" si="14"/>
        <v/>
      </c>
      <c r="O291" s="19" t="str">
        <f>IF(OR(C291="",F291=""),"",COUNTIFS(F$6:F291,F291,C$6:C291,"&lt;&gt;"))</f>
        <v/>
      </c>
      <c r="P291" s="20" t="str">
        <f>IF($O291="","",IFERROR(CHOOSE(MATCH($F291,الإعدادات!$B$4:$B$7,0),INDEX('حضور سوريال'!$C$7:$C$36,$O291),INDEX('حضور غبريال'!$C$7:$C$36,$O291),INDEX('حضور رفائيل'!$C$7:$C$36,$O291),INDEX('حضور ميخائيل'!$C$7:$C$36,$O291)),""))</f>
        <v/>
      </c>
      <c r="Q291" s="20" t="str">
        <f>IF($O291="","",IFERROR(CHOOSE(MATCH($F291,الإعدادات!$B$4:$B$7,0),INDEX('حضور سوريال'!$D$7:$D$36,$O291),INDEX('حضور غبريال'!$D$7:$D$36,$O291),INDEX('حضور رفائيل'!$D$7:$D$36,$O291),INDEX('حضور ميخائيل'!$D$7:$D$36,$O291)),""))</f>
        <v/>
      </c>
      <c r="R291" s="21" t="str">
        <f>IF($O291="","",IFERROR(CHOOSE(MATCH($F291,الإعدادات!$B$4:$B$7,0),INDEX('حضور سوريال'!$F$7:$F$36,$O291),INDEX('حضور غبريال'!$F$7:$F$36,$O291),INDEX('حضور رفائيل'!$F$7:$F$36,$O291),INDEX('حضور ميخائيل'!$F$7:$F$36,$O291)),""))</f>
        <v/>
      </c>
      <c r="S291" s="20" t="str">
        <f>IF($O291="","",IFERROR(CHOOSE(MATCH($F291,الإعدادات!$B$4:$B$7,0),INDEX('حضور سوريال'!$G$7:$G$36,$O291),INDEX('حضور غبريال'!$G$7:$G$36,$O291),INDEX('حضور رفائيل'!$G$7:$G$36,$O291),INDEX('حضور ميخائيل'!$G$7:$G$36,$O291)),""))</f>
        <v/>
      </c>
      <c r="T291" s="22" t="str">
        <f>IF($O291="","",IFERROR(CHOOSE(MATCH($F291,الإعدادات!$B$4:$B$7,0),INDEX('حضور سوريال'!$H$7:$H$36,$O291),INDEX('حضور غبريال'!$H$7:$H$36,$O291),INDEX('حضور رفائيل'!$H$7:$H$36,$O291),INDEX('حضور ميخائيل'!$H$7:$H$36,$O291)),""))</f>
        <v/>
      </c>
      <c r="U291" s="23" t="str">
        <f>IF($O291="","",IFERROR(CHOOSE(MATCH($F291,الإعدادات!$B$4:$B$7,0),INDEX('حضور سوريال'!$I$7:$I$36,$O291),INDEX('حضور غبريال'!$I$7:$I$36,$O291),INDEX('حضور رفائيل'!$I$7:$I$36,$O291),INDEX('حضور ميخائيل'!$I$7:$I$36,$O291)),""))</f>
        <v/>
      </c>
      <c r="V291" t="str">
        <f>IF($O291="","",IFERROR(CHOOSE(MATCH($F291,الإعدادات!$B$4:$B$7,0),INDEX('حضور سوريال'!$BM$7:$BM$36,$O291),INDEX('حضور غبريال'!$BM$7:$BM$36,$O291),INDEX('حضور رفائيل'!$BM$7:$BM$36,$O291),INDEX('حضور ميخائيل'!$BM$7:$BM$36,$O291)),""))</f>
        <v/>
      </c>
      <c r="W291" t="str">
        <f>IF(OR(V291=3,V291=4),COUNTIFS(V$6:V291,3)+COUNTIFS(V$6:V291,4),"")</f>
        <v/>
      </c>
    </row>
    <row r="292" spans="1:23" ht="25.5" customHeight="1">
      <c r="A292" s="13" t="str">
        <f t="shared" si="12"/>
        <v/>
      </c>
      <c r="B292" s="14" t="str">
        <f t="shared" si="13"/>
        <v/>
      </c>
      <c r="C292" s="15"/>
      <c r="D292" s="16"/>
      <c r="E292" s="16"/>
      <c r="F292" s="16"/>
      <c r="G292" s="16"/>
      <c r="H292" s="17"/>
      <c r="I292" s="17"/>
      <c r="J292" s="18"/>
      <c r="K292" s="16"/>
      <c r="L292" s="18"/>
      <c r="M292" s="16"/>
      <c r="N292" s="19" t="str">
        <f t="shared" si="14"/>
        <v/>
      </c>
      <c r="O292" s="19" t="str">
        <f>IF(OR(C292="",F292=""),"",COUNTIFS(F$6:F292,F292,C$6:C292,"&lt;&gt;"))</f>
        <v/>
      </c>
      <c r="P292" s="20" t="str">
        <f>IF($O292="","",IFERROR(CHOOSE(MATCH($F292,الإعدادات!$B$4:$B$7,0),INDEX('حضور سوريال'!$C$7:$C$36,$O292),INDEX('حضور غبريال'!$C$7:$C$36,$O292),INDEX('حضور رفائيل'!$C$7:$C$36,$O292),INDEX('حضور ميخائيل'!$C$7:$C$36,$O292)),""))</f>
        <v/>
      </c>
      <c r="Q292" s="20" t="str">
        <f>IF($O292="","",IFERROR(CHOOSE(MATCH($F292,الإعدادات!$B$4:$B$7,0),INDEX('حضور سوريال'!$D$7:$D$36,$O292),INDEX('حضور غبريال'!$D$7:$D$36,$O292),INDEX('حضور رفائيل'!$D$7:$D$36,$O292),INDEX('حضور ميخائيل'!$D$7:$D$36,$O292)),""))</f>
        <v/>
      </c>
      <c r="R292" s="21" t="str">
        <f>IF($O292="","",IFERROR(CHOOSE(MATCH($F292,الإعدادات!$B$4:$B$7,0),INDEX('حضور سوريال'!$F$7:$F$36,$O292),INDEX('حضور غبريال'!$F$7:$F$36,$O292),INDEX('حضور رفائيل'!$F$7:$F$36,$O292),INDEX('حضور ميخائيل'!$F$7:$F$36,$O292)),""))</f>
        <v/>
      </c>
      <c r="S292" s="20" t="str">
        <f>IF($O292="","",IFERROR(CHOOSE(MATCH($F292,الإعدادات!$B$4:$B$7,0),INDEX('حضور سوريال'!$G$7:$G$36,$O292),INDEX('حضور غبريال'!$G$7:$G$36,$O292),INDEX('حضور رفائيل'!$G$7:$G$36,$O292),INDEX('حضور ميخائيل'!$G$7:$G$36,$O292)),""))</f>
        <v/>
      </c>
      <c r="T292" s="22" t="str">
        <f>IF($O292="","",IFERROR(CHOOSE(MATCH($F292,الإعدادات!$B$4:$B$7,0),INDEX('حضور سوريال'!$H$7:$H$36,$O292),INDEX('حضور غبريال'!$H$7:$H$36,$O292),INDEX('حضور رفائيل'!$H$7:$H$36,$O292),INDEX('حضور ميخائيل'!$H$7:$H$36,$O292)),""))</f>
        <v/>
      </c>
      <c r="U292" s="23" t="str">
        <f>IF($O292="","",IFERROR(CHOOSE(MATCH($F292,الإعدادات!$B$4:$B$7,0),INDEX('حضور سوريال'!$I$7:$I$36,$O292),INDEX('حضور غبريال'!$I$7:$I$36,$O292),INDEX('حضور رفائيل'!$I$7:$I$36,$O292),INDEX('حضور ميخائيل'!$I$7:$I$36,$O292)),""))</f>
        <v/>
      </c>
      <c r="V292" t="str">
        <f>IF($O292="","",IFERROR(CHOOSE(MATCH($F292,الإعدادات!$B$4:$B$7,0),INDEX('حضور سوريال'!$BM$7:$BM$36,$O292),INDEX('حضور غبريال'!$BM$7:$BM$36,$O292),INDEX('حضور رفائيل'!$BM$7:$BM$36,$O292),INDEX('حضور ميخائيل'!$BM$7:$BM$36,$O292)),""))</f>
        <v/>
      </c>
      <c r="W292" t="str">
        <f>IF(OR(V292=3,V292=4),COUNTIFS(V$6:V292,3)+COUNTIFS(V$6:V292,4),"")</f>
        <v/>
      </c>
    </row>
    <row r="293" spans="1:23" ht="25.5" customHeight="1">
      <c r="A293" s="13" t="str">
        <f t="shared" si="12"/>
        <v/>
      </c>
      <c r="B293" s="14" t="str">
        <f t="shared" si="13"/>
        <v/>
      </c>
      <c r="C293" s="15"/>
      <c r="D293" s="16"/>
      <c r="E293" s="16"/>
      <c r="F293" s="16"/>
      <c r="G293" s="16"/>
      <c r="H293" s="17"/>
      <c r="I293" s="17"/>
      <c r="J293" s="18"/>
      <c r="K293" s="16"/>
      <c r="L293" s="18"/>
      <c r="M293" s="16"/>
      <c r="N293" s="19" t="str">
        <f t="shared" si="14"/>
        <v/>
      </c>
      <c r="O293" s="19" t="str">
        <f>IF(OR(C293="",F293=""),"",COUNTIFS(F$6:F293,F293,C$6:C293,"&lt;&gt;"))</f>
        <v/>
      </c>
      <c r="P293" s="20" t="str">
        <f>IF($O293="","",IFERROR(CHOOSE(MATCH($F293,الإعدادات!$B$4:$B$7,0),INDEX('حضور سوريال'!$C$7:$C$36,$O293),INDEX('حضور غبريال'!$C$7:$C$36,$O293),INDEX('حضور رفائيل'!$C$7:$C$36,$O293),INDEX('حضور ميخائيل'!$C$7:$C$36,$O293)),""))</f>
        <v/>
      </c>
      <c r="Q293" s="20" t="str">
        <f>IF($O293="","",IFERROR(CHOOSE(MATCH($F293,الإعدادات!$B$4:$B$7,0),INDEX('حضور سوريال'!$D$7:$D$36,$O293),INDEX('حضور غبريال'!$D$7:$D$36,$O293),INDEX('حضور رفائيل'!$D$7:$D$36,$O293),INDEX('حضور ميخائيل'!$D$7:$D$36,$O293)),""))</f>
        <v/>
      </c>
      <c r="R293" s="21" t="str">
        <f>IF($O293="","",IFERROR(CHOOSE(MATCH($F293,الإعدادات!$B$4:$B$7,0),INDEX('حضور سوريال'!$F$7:$F$36,$O293),INDEX('حضور غبريال'!$F$7:$F$36,$O293),INDEX('حضور رفائيل'!$F$7:$F$36,$O293),INDEX('حضور ميخائيل'!$F$7:$F$36,$O293)),""))</f>
        <v/>
      </c>
      <c r="S293" s="20" t="str">
        <f>IF($O293="","",IFERROR(CHOOSE(MATCH($F293,الإعدادات!$B$4:$B$7,0),INDEX('حضور سوريال'!$G$7:$G$36,$O293),INDEX('حضور غبريال'!$G$7:$G$36,$O293),INDEX('حضور رفائيل'!$G$7:$G$36,$O293),INDEX('حضور ميخائيل'!$G$7:$G$36,$O293)),""))</f>
        <v/>
      </c>
      <c r="T293" s="22" t="str">
        <f>IF($O293="","",IFERROR(CHOOSE(MATCH($F293,الإعدادات!$B$4:$B$7,0),INDEX('حضور سوريال'!$H$7:$H$36,$O293),INDEX('حضور غبريال'!$H$7:$H$36,$O293),INDEX('حضور رفائيل'!$H$7:$H$36,$O293),INDEX('حضور ميخائيل'!$H$7:$H$36,$O293)),""))</f>
        <v/>
      </c>
      <c r="U293" s="23" t="str">
        <f>IF($O293="","",IFERROR(CHOOSE(MATCH($F293,الإعدادات!$B$4:$B$7,0),INDEX('حضور سوريال'!$I$7:$I$36,$O293),INDEX('حضور غبريال'!$I$7:$I$36,$O293),INDEX('حضور رفائيل'!$I$7:$I$36,$O293),INDEX('حضور ميخائيل'!$I$7:$I$36,$O293)),""))</f>
        <v/>
      </c>
      <c r="V293" t="str">
        <f>IF($O293="","",IFERROR(CHOOSE(MATCH($F293,الإعدادات!$B$4:$B$7,0),INDEX('حضور سوريال'!$BM$7:$BM$36,$O293),INDEX('حضور غبريال'!$BM$7:$BM$36,$O293),INDEX('حضور رفائيل'!$BM$7:$BM$36,$O293),INDEX('حضور ميخائيل'!$BM$7:$BM$36,$O293)),""))</f>
        <v/>
      </c>
      <c r="W293" t="str">
        <f>IF(OR(V293=3,V293=4),COUNTIFS(V$6:V293,3)+COUNTIFS(V$6:V293,4),"")</f>
        <v/>
      </c>
    </row>
    <row r="294" spans="1:23" ht="25.5" customHeight="1">
      <c r="A294" s="13" t="str">
        <f t="shared" si="12"/>
        <v/>
      </c>
      <c r="B294" s="14" t="str">
        <f t="shared" si="13"/>
        <v/>
      </c>
      <c r="C294" s="15"/>
      <c r="D294" s="16"/>
      <c r="E294" s="16"/>
      <c r="F294" s="16"/>
      <c r="G294" s="16"/>
      <c r="H294" s="17"/>
      <c r="I294" s="17"/>
      <c r="J294" s="18"/>
      <c r="K294" s="16"/>
      <c r="L294" s="18"/>
      <c r="M294" s="16"/>
      <c r="N294" s="19" t="str">
        <f t="shared" si="14"/>
        <v/>
      </c>
      <c r="O294" s="19" t="str">
        <f>IF(OR(C294="",F294=""),"",COUNTIFS(F$6:F294,F294,C$6:C294,"&lt;&gt;"))</f>
        <v/>
      </c>
      <c r="P294" s="20" t="str">
        <f>IF($O294="","",IFERROR(CHOOSE(MATCH($F294,الإعدادات!$B$4:$B$7,0),INDEX('حضور سوريال'!$C$7:$C$36,$O294),INDEX('حضور غبريال'!$C$7:$C$36,$O294),INDEX('حضور رفائيل'!$C$7:$C$36,$O294),INDEX('حضور ميخائيل'!$C$7:$C$36,$O294)),""))</f>
        <v/>
      </c>
      <c r="Q294" s="20" t="str">
        <f>IF($O294="","",IFERROR(CHOOSE(MATCH($F294,الإعدادات!$B$4:$B$7,0),INDEX('حضور سوريال'!$D$7:$D$36,$O294),INDEX('حضور غبريال'!$D$7:$D$36,$O294),INDEX('حضور رفائيل'!$D$7:$D$36,$O294),INDEX('حضور ميخائيل'!$D$7:$D$36,$O294)),""))</f>
        <v/>
      </c>
      <c r="R294" s="21" t="str">
        <f>IF($O294="","",IFERROR(CHOOSE(MATCH($F294,الإعدادات!$B$4:$B$7,0),INDEX('حضور سوريال'!$F$7:$F$36,$O294),INDEX('حضور غبريال'!$F$7:$F$36,$O294),INDEX('حضور رفائيل'!$F$7:$F$36,$O294),INDEX('حضور ميخائيل'!$F$7:$F$36,$O294)),""))</f>
        <v/>
      </c>
      <c r="S294" s="20" t="str">
        <f>IF($O294="","",IFERROR(CHOOSE(MATCH($F294,الإعدادات!$B$4:$B$7,0),INDEX('حضور سوريال'!$G$7:$G$36,$O294),INDEX('حضور غبريال'!$G$7:$G$36,$O294),INDEX('حضور رفائيل'!$G$7:$G$36,$O294),INDEX('حضور ميخائيل'!$G$7:$G$36,$O294)),""))</f>
        <v/>
      </c>
      <c r="T294" s="22" t="str">
        <f>IF($O294="","",IFERROR(CHOOSE(MATCH($F294,الإعدادات!$B$4:$B$7,0),INDEX('حضور سوريال'!$H$7:$H$36,$O294),INDEX('حضور غبريال'!$H$7:$H$36,$O294),INDEX('حضور رفائيل'!$H$7:$H$36,$O294),INDEX('حضور ميخائيل'!$H$7:$H$36,$O294)),""))</f>
        <v/>
      </c>
      <c r="U294" s="23" t="str">
        <f>IF($O294="","",IFERROR(CHOOSE(MATCH($F294,الإعدادات!$B$4:$B$7,0),INDEX('حضور سوريال'!$I$7:$I$36,$O294),INDEX('حضور غبريال'!$I$7:$I$36,$O294),INDEX('حضور رفائيل'!$I$7:$I$36,$O294),INDEX('حضور ميخائيل'!$I$7:$I$36,$O294)),""))</f>
        <v/>
      </c>
      <c r="V294" t="str">
        <f>IF($O294="","",IFERROR(CHOOSE(MATCH($F294,الإعدادات!$B$4:$B$7,0),INDEX('حضور سوريال'!$BM$7:$BM$36,$O294),INDEX('حضور غبريال'!$BM$7:$BM$36,$O294),INDEX('حضور رفائيل'!$BM$7:$BM$36,$O294),INDEX('حضور ميخائيل'!$BM$7:$BM$36,$O294)),""))</f>
        <v/>
      </c>
      <c r="W294" t="str">
        <f>IF(OR(V294=3,V294=4),COUNTIFS(V$6:V294,3)+COUNTIFS(V$6:V294,4),"")</f>
        <v/>
      </c>
    </row>
    <row r="295" spans="1:23" ht="25.5" customHeight="1">
      <c r="A295" s="13" t="str">
        <f t="shared" si="12"/>
        <v/>
      </c>
      <c r="B295" s="14" t="str">
        <f t="shared" si="13"/>
        <v/>
      </c>
      <c r="C295" s="15"/>
      <c r="D295" s="16"/>
      <c r="E295" s="16"/>
      <c r="F295" s="16"/>
      <c r="G295" s="16"/>
      <c r="H295" s="17"/>
      <c r="I295" s="17"/>
      <c r="J295" s="18"/>
      <c r="K295" s="16"/>
      <c r="L295" s="18"/>
      <c r="M295" s="16"/>
      <c r="N295" s="19" t="str">
        <f t="shared" si="14"/>
        <v/>
      </c>
      <c r="O295" s="19" t="str">
        <f>IF(OR(C295="",F295=""),"",COUNTIFS(F$6:F295,F295,C$6:C295,"&lt;&gt;"))</f>
        <v/>
      </c>
      <c r="P295" s="20" t="str">
        <f>IF($O295="","",IFERROR(CHOOSE(MATCH($F295,الإعدادات!$B$4:$B$7,0),INDEX('حضور سوريال'!$C$7:$C$36,$O295),INDEX('حضور غبريال'!$C$7:$C$36,$O295),INDEX('حضور رفائيل'!$C$7:$C$36,$O295),INDEX('حضور ميخائيل'!$C$7:$C$36,$O295)),""))</f>
        <v/>
      </c>
      <c r="Q295" s="20" t="str">
        <f>IF($O295="","",IFERROR(CHOOSE(MATCH($F295,الإعدادات!$B$4:$B$7,0),INDEX('حضور سوريال'!$D$7:$D$36,$O295),INDEX('حضور غبريال'!$D$7:$D$36,$O295),INDEX('حضور رفائيل'!$D$7:$D$36,$O295),INDEX('حضور ميخائيل'!$D$7:$D$36,$O295)),""))</f>
        <v/>
      </c>
      <c r="R295" s="21" t="str">
        <f>IF($O295="","",IFERROR(CHOOSE(MATCH($F295,الإعدادات!$B$4:$B$7,0),INDEX('حضور سوريال'!$F$7:$F$36,$O295),INDEX('حضور غبريال'!$F$7:$F$36,$O295),INDEX('حضور رفائيل'!$F$7:$F$36,$O295),INDEX('حضور ميخائيل'!$F$7:$F$36,$O295)),""))</f>
        <v/>
      </c>
      <c r="S295" s="20" t="str">
        <f>IF($O295="","",IFERROR(CHOOSE(MATCH($F295,الإعدادات!$B$4:$B$7,0),INDEX('حضور سوريال'!$G$7:$G$36,$O295),INDEX('حضور غبريال'!$G$7:$G$36,$O295),INDEX('حضور رفائيل'!$G$7:$G$36,$O295),INDEX('حضور ميخائيل'!$G$7:$G$36,$O295)),""))</f>
        <v/>
      </c>
      <c r="T295" s="22" t="str">
        <f>IF($O295="","",IFERROR(CHOOSE(MATCH($F295,الإعدادات!$B$4:$B$7,0),INDEX('حضور سوريال'!$H$7:$H$36,$O295),INDEX('حضور غبريال'!$H$7:$H$36,$O295),INDEX('حضور رفائيل'!$H$7:$H$36,$O295),INDEX('حضور ميخائيل'!$H$7:$H$36,$O295)),""))</f>
        <v/>
      </c>
      <c r="U295" s="23" t="str">
        <f>IF($O295="","",IFERROR(CHOOSE(MATCH($F295,الإعدادات!$B$4:$B$7,0),INDEX('حضور سوريال'!$I$7:$I$36,$O295),INDEX('حضور غبريال'!$I$7:$I$36,$O295),INDEX('حضور رفائيل'!$I$7:$I$36,$O295),INDEX('حضور ميخائيل'!$I$7:$I$36,$O295)),""))</f>
        <v/>
      </c>
      <c r="V295" t="str">
        <f>IF($O295="","",IFERROR(CHOOSE(MATCH($F295,الإعدادات!$B$4:$B$7,0),INDEX('حضور سوريال'!$BM$7:$BM$36,$O295),INDEX('حضور غبريال'!$BM$7:$BM$36,$O295),INDEX('حضور رفائيل'!$BM$7:$BM$36,$O295),INDEX('حضور ميخائيل'!$BM$7:$BM$36,$O295)),""))</f>
        <v/>
      </c>
      <c r="W295" t="str">
        <f>IF(OR(V295=3,V295=4),COUNTIFS(V$6:V295,3)+COUNTIFS(V$6:V295,4),"")</f>
        <v/>
      </c>
    </row>
    <row r="296" spans="1:23" ht="25.5" customHeight="1">
      <c r="A296" s="13" t="str">
        <f t="shared" si="12"/>
        <v/>
      </c>
      <c r="B296" s="14" t="str">
        <f t="shared" si="13"/>
        <v/>
      </c>
      <c r="C296" s="15"/>
      <c r="D296" s="16"/>
      <c r="E296" s="16"/>
      <c r="F296" s="16"/>
      <c r="G296" s="16"/>
      <c r="H296" s="17"/>
      <c r="I296" s="17"/>
      <c r="J296" s="18"/>
      <c r="K296" s="16"/>
      <c r="L296" s="18"/>
      <c r="M296" s="16"/>
      <c r="N296" s="19" t="str">
        <f t="shared" si="14"/>
        <v/>
      </c>
      <c r="O296" s="19" t="str">
        <f>IF(OR(C296="",F296=""),"",COUNTIFS(F$6:F296,F296,C$6:C296,"&lt;&gt;"))</f>
        <v/>
      </c>
      <c r="P296" s="20" t="str">
        <f>IF($O296="","",IFERROR(CHOOSE(MATCH($F296,الإعدادات!$B$4:$B$7,0),INDEX('حضور سوريال'!$C$7:$C$36,$O296),INDEX('حضور غبريال'!$C$7:$C$36,$O296),INDEX('حضور رفائيل'!$C$7:$C$36,$O296),INDEX('حضور ميخائيل'!$C$7:$C$36,$O296)),""))</f>
        <v/>
      </c>
      <c r="Q296" s="20" t="str">
        <f>IF($O296="","",IFERROR(CHOOSE(MATCH($F296,الإعدادات!$B$4:$B$7,0),INDEX('حضور سوريال'!$D$7:$D$36,$O296),INDEX('حضور غبريال'!$D$7:$D$36,$O296),INDEX('حضور رفائيل'!$D$7:$D$36,$O296),INDEX('حضور ميخائيل'!$D$7:$D$36,$O296)),""))</f>
        <v/>
      </c>
      <c r="R296" s="21" t="str">
        <f>IF($O296="","",IFERROR(CHOOSE(MATCH($F296,الإعدادات!$B$4:$B$7,0),INDEX('حضور سوريال'!$F$7:$F$36,$O296),INDEX('حضور غبريال'!$F$7:$F$36,$O296),INDEX('حضور رفائيل'!$F$7:$F$36,$O296),INDEX('حضور ميخائيل'!$F$7:$F$36,$O296)),""))</f>
        <v/>
      </c>
      <c r="S296" s="20" t="str">
        <f>IF($O296="","",IFERROR(CHOOSE(MATCH($F296,الإعدادات!$B$4:$B$7,0),INDEX('حضور سوريال'!$G$7:$G$36,$O296),INDEX('حضور غبريال'!$G$7:$G$36,$O296),INDEX('حضور رفائيل'!$G$7:$G$36,$O296),INDEX('حضور ميخائيل'!$G$7:$G$36,$O296)),""))</f>
        <v/>
      </c>
      <c r="T296" s="22" t="str">
        <f>IF($O296="","",IFERROR(CHOOSE(MATCH($F296,الإعدادات!$B$4:$B$7,0),INDEX('حضور سوريال'!$H$7:$H$36,$O296),INDEX('حضور غبريال'!$H$7:$H$36,$O296),INDEX('حضور رفائيل'!$H$7:$H$36,$O296),INDEX('حضور ميخائيل'!$H$7:$H$36,$O296)),""))</f>
        <v/>
      </c>
      <c r="U296" s="23" t="str">
        <f>IF($O296="","",IFERROR(CHOOSE(MATCH($F296,الإعدادات!$B$4:$B$7,0),INDEX('حضور سوريال'!$I$7:$I$36,$O296),INDEX('حضور غبريال'!$I$7:$I$36,$O296),INDEX('حضور رفائيل'!$I$7:$I$36,$O296),INDEX('حضور ميخائيل'!$I$7:$I$36,$O296)),""))</f>
        <v/>
      </c>
      <c r="V296" t="str">
        <f>IF($O296="","",IFERROR(CHOOSE(MATCH($F296,الإعدادات!$B$4:$B$7,0),INDEX('حضور سوريال'!$BM$7:$BM$36,$O296),INDEX('حضور غبريال'!$BM$7:$BM$36,$O296),INDEX('حضور رفائيل'!$BM$7:$BM$36,$O296),INDEX('حضور ميخائيل'!$BM$7:$BM$36,$O296)),""))</f>
        <v/>
      </c>
      <c r="W296" t="str">
        <f>IF(OR(V296=3,V296=4),COUNTIFS(V$6:V296,3)+COUNTIFS(V$6:V296,4),"")</f>
        <v/>
      </c>
    </row>
    <row r="297" spans="1:23" ht="25.5" customHeight="1">
      <c r="A297" s="13" t="str">
        <f t="shared" si="12"/>
        <v/>
      </c>
      <c r="B297" s="14" t="str">
        <f t="shared" si="13"/>
        <v/>
      </c>
      <c r="C297" s="15"/>
      <c r="D297" s="16"/>
      <c r="E297" s="16"/>
      <c r="F297" s="16"/>
      <c r="G297" s="16"/>
      <c r="H297" s="17"/>
      <c r="I297" s="17"/>
      <c r="J297" s="18"/>
      <c r="K297" s="16"/>
      <c r="L297" s="18"/>
      <c r="M297" s="16"/>
      <c r="N297" s="19" t="str">
        <f t="shared" si="14"/>
        <v/>
      </c>
      <c r="O297" s="19" t="str">
        <f>IF(OR(C297="",F297=""),"",COUNTIFS(F$6:F297,F297,C$6:C297,"&lt;&gt;"))</f>
        <v/>
      </c>
      <c r="P297" s="20" t="str">
        <f>IF($O297="","",IFERROR(CHOOSE(MATCH($F297,الإعدادات!$B$4:$B$7,0),INDEX('حضور سوريال'!$C$7:$C$36,$O297),INDEX('حضور غبريال'!$C$7:$C$36,$O297),INDEX('حضور رفائيل'!$C$7:$C$36,$O297),INDEX('حضور ميخائيل'!$C$7:$C$36,$O297)),""))</f>
        <v/>
      </c>
      <c r="Q297" s="20" t="str">
        <f>IF($O297="","",IFERROR(CHOOSE(MATCH($F297,الإعدادات!$B$4:$B$7,0),INDEX('حضور سوريال'!$D$7:$D$36,$O297),INDEX('حضور غبريال'!$D$7:$D$36,$O297),INDEX('حضور رفائيل'!$D$7:$D$36,$O297),INDEX('حضور ميخائيل'!$D$7:$D$36,$O297)),""))</f>
        <v/>
      </c>
      <c r="R297" s="21" t="str">
        <f>IF($O297="","",IFERROR(CHOOSE(MATCH($F297,الإعدادات!$B$4:$B$7,0),INDEX('حضور سوريال'!$F$7:$F$36,$O297),INDEX('حضور غبريال'!$F$7:$F$36,$O297),INDEX('حضور رفائيل'!$F$7:$F$36,$O297),INDEX('حضور ميخائيل'!$F$7:$F$36,$O297)),""))</f>
        <v/>
      </c>
      <c r="S297" s="20" t="str">
        <f>IF($O297="","",IFERROR(CHOOSE(MATCH($F297,الإعدادات!$B$4:$B$7,0),INDEX('حضور سوريال'!$G$7:$G$36,$O297),INDEX('حضور غبريال'!$G$7:$G$36,$O297),INDEX('حضور رفائيل'!$G$7:$G$36,$O297),INDEX('حضور ميخائيل'!$G$7:$G$36,$O297)),""))</f>
        <v/>
      </c>
      <c r="T297" s="22" t="str">
        <f>IF($O297="","",IFERROR(CHOOSE(MATCH($F297,الإعدادات!$B$4:$B$7,0),INDEX('حضور سوريال'!$H$7:$H$36,$O297),INDEX('حضور غبريال'!$H$7:$H$36,$O297),INDEX('حضور رفائيل'!$H$7:$H$36,$O297),INDEX('حضور ميخائيل'!$H$7:$H$36,$O297)),""))</f>
        <v/>
      </c>
      <c r="U297" s="23" t="str">
        <f>IF($O297="","",IFERROR(CHOOSE(MATCH($F297,الإعدادات!$B$4:$B$7,0),INDEX('حضور سوريال'!$I$7:$I$36,$O297),INDEX('حضور غبريال'!$I$7:$I$36,$O297),INDEX('حضور رفائيل'!$I$7:$I$36,$O297),INDEX('حضور ميخائيل'!$I$7:$I$36,$O297)),""))</f>
        <v/>
      </c>
      <c r="V297" t="str">
        <f>IF($O297="","",IFERROR(CHOOSE(MATCH($F297,الإعدادات!$B$4:$B$7,0),INDEX('حضور سوريال'!$BM$7:$BM$36,$O297),INDEX('حضور غبريال'!$BM$7:$BM$36,$O297),INDEX('حضور رفائيل'!$BM$7:$BM$36,$O297),INDEX('حضور ميخائيل'!$BM$7:$BM$36,$O297)),""))</f>
        <v/>
      </c>
      <c r="W297" t="str">
        <f>IF(OR(V297=3,V297=4),COUNTIFS(V$6:V297,3)+COUNTIFS(V$6:V297,4),"")</f>
        <v/>
      </c>
    </row>
    <row r="298" spans="1:23" ht="25.5" customHeight="1">
      <c r="A298" s="13" t="str">
        <f t="shared" si="12"/>
        <v/>
      </c>
      <c r="B298" s="14" t="str">
        <f t="shared" si="13"/>
        <v/>
      </c>
      <c r="C298" s="15"/>
      <c r="D298" s="16"/>
      <c r="E298" s="16"/>
      <c r="F298" s="16"/>
      <c r="G298" s="16"/>
      <c r="H298" s="17"/>
      <c r="I298" s="17"/>
      <c r="J298" s="18"/>
      <c r="K298" s="16"/>
      <c r="L298" s="18"/>
      <c r="M298" s="16"/>
      <c r="N298" s="19" t="str">
        <f t="shared" si="14"/>
        <v/>
      </c>
      <c r="O298" s="19" t="str">
        <f>IF(OR(C298="",F298=""),"",COUNTIFS(F$6:F298,F298,C$6:C298,"&lt;&gt;"))</f>
        <v/>
      </c>
      <c r="P298" s="20" t="str">
        <f>IF($O298="","",IFERROR(CHOOSE(MATCH($F298,الإعدادات!$B$4:$B$7,0),INDEX('حضور سوريال'!$C$7:$C$36,$O298),INDEX('حضور غبريال'!$C$7:$C$36,$O298),INDEX('حضور رفائيل'!$C$7:$C$36,$O298),INDEX('حضور ميخائيل'!$C$7:$C$36,$O298)),""))</f>
        <v/>
      </c>
      <c r="Q298" s="20" t="str">
        <f>IF($O298="","",IFERROR(CHOOSE(MATCH($F298,الإعدادات!$B$4:$B$7,0),INDEX('حضور سوريال'!$D$7:$D$36,$O298),INDEX('حضور غبريال'!$D$7:$D$36,$O298),INDEX('حضور رفائيل'!$D$7:$D$36,$O298),INDEX('حضور ميخائيل'!$D$7:$D$36,$O298)),""))</f>
        <v/>
      </c>
      <c r="R298" s="21" t="str">
        <f>IF($O298="","",IFERROR(CHOOSE(MATCH($F298,الإعدادات!$B$4:$B$7,0),INDEX('حضور سوريال'!$F$7:$F$36,$O298),INDEX('حضور غبريال'!$F$7:$F$36,$O298),INDEX('حضور رفائيل'!$F$7:$F$36,$O298),INDEX('حضور ميخائيل'!$F$7:$F$36,$O298)),""))</f>
        <v/>
      </c>
      <c r="S298" s="20" t="str">
        <f>IF($O298="","",IFERROR(CHOOSE(MATCH($F298,الإعدادات!$B$4:$B$7,0),INDEX('حضور سوريال'!$G$7:$G$36,$O298),INDEX('حضور غبريال'!$G$7:$G$36,$O298),INDEX('حضور رفائيل'!$G$7:$G$36,$O298),INDEX('حضور ميخائيل'!$G$7:$G$36,$O298)),""))</f>
        <v/>
      </c>
      <c r="T298" s="22" t="str">
        <f>IF($O298="","",IFERROR(CHOOSE(MATCH($F298,الإعدادات!$B$4:$B$7,0),INDEX('حضور سوريال'!$H$7:$H$36,$O298),INDEX('حضور غبريال'!$H$7:$H$36,$O298),INDEX('حضور رفائيل'!$H$7:$H$36,$O298),INDEX('حضور ميخائيل'!$H$7:$H$36,$O298)),""))</f>
        <v/>
      </c>
      <c r="U298" s="23" t="str">
        <f>IF($O298="","",IFERROR(CHOOSE(MATCH($F298,الإعدادات!$B$4:$B$7,0),INDEX('حضور سوريال'!$I$7:$I$36,$O298),INDEX('حضور غبريال'!$I$7:$I$36,$O298),INDEX('حضور رفائيل'!$I$7:$I$36,$O298),INDEX('حضور ميخائيل'!$I$7:$I$36,$O298)),""))</f>
        <v/>
      </c>
      <c r="V298" t="str">
        <f>IF($O298="","",IFERROR(CHOOSE(MATCH($F298,الإعدادات!$B$4:$B$7,0),INDEX('حضور سوريال'!$BM$7:$BM$36,$O298),INDEX('حضور غبريال'!$BM$7:$BM$36,$O298),INDEX('حضور رفائيل'!$BM$7:$BM$36,$O298),INDEX('حضور ميخائيل'!$BM$7:$BM$36,$O298)),""))</f>
        <v/>
      </c>
      <c r="W298" t="str">
        <f>IF(OR(V298=3,V298=4),COUNTIFS(V$6:V298,3)+COUNTIFS(V$6:V298,4),"")</f>
        <v/>
      </c>
    </row>
    <row r="299" spans="1:23" ht="25.5" customHeight="1">
      <c r="A299" s="13" t="str">
        <f t="shared" si="12"/>
        <v/>
      </c>
      <c r="B299" s="14" t="str">
        <f t="shared" si="13"/>
        <v/>
      </c>
      <c r="C299" s="15"/>
      <c r="D299" s="16"/>
      <c r="E299" s="16"/>
      <c r="F299" s="16"/>
      <c r="G299" s="16"/>
      <c r="H299" s="17"/>
      <c r="I299" s="17"/>
      <c r="J299" s="18"/>
      <c r="K299" s="16"/>
      <c r="L299" s="18"/>
      <c r="M299" s="16"/>
      <c r="N299" s="19" t="str">
        <f t="shared" si="14"/>
        <v/>
      </c>
      <c r="O299" s="19" t="str">
        <f>IF(OR(C299="",F299=""),"",COUNTIFS(F$6:F299,F299,C$6:C299,"&lt;&gt;"))</f>
        <v/>
      </c>
      <c r="P299" s="20" t="str">
        <f>IF($O299="","",IFERROR(CHOOSE(MATCH($F299,الإعدادات!$B$4:$B$7,0),INDEX('حضور سوريال'!$C$7:$C$36,$O299),INDEX('حضور غبريال'!$C$7:$C$36,$O299),INDEX('حضور رفائيل'!$C$7:$C$36,$O299),INDEX('حضور ميخائيل'!$C$7:$C$36,$O299)),""))</f>
        <v/>
      </c>
      <c r="Q299" s="20" t="str">
        <f>IF($O299="","",IFERROR(CHOOSE(MATCH($F299,الإعدادات!$B$4:$B$7,0),INDEX('حضور سوريال'!$D$7:$D$36,$O299),INDEX('حضور غبريال'!$D$7:$D$36,$O299),INDEX('حضور رفائيل'!$D$7:$D$36,$O299),INDEX('حضور ميخائيل'!$D$7:$D$36,$O299)),""))</f>
        <v/>
      </c>
      <c r="R299" s="21" t="str">
        <f>IF($O299="","",IFERROR(CHOOSE(MATCH($F299,الإعدادات!$B$4:$B$7,0),INDEX('حضور سوريال'!$F$7:$F$36,$O299),INDEX('حضور غبريال'!$F$7:$F$36,$O299),INDEX('حضور رفائيل'!$F$7:$F$36,$O299),INDEX('حضور ميخائيل'!$F$7:$F$36,$O299)),""))</f>
        <v/>
      </c>
      <c r="S299" s="20" t="str">
        <f>IF($O299="","",IFERROR(CHOOSE(MATCH($F299,الإعدادات!$B$4:$B$7,0),INDEX('حضور سوريال'!$G$7:$G$36,$O299),INDEX('حضور غبريال'!$G$7:$G$36,$O299),INDEX('حضور رفائيل'!$G$7:$G$36,$O299),INDEX('حضور ميخائيل'!$G$7:$G$36,$O299)),""))</f>
        <v/>
      </c>
      <c r="T299" s="22" t="str">
        <f>IF($O299="","",IFERROR(CHOOSE(MATCH($F299,الإعدادات!$B$4:$B$7,0),INDEX('حضور سوريال'!$H$7:$H$36,$O299),INDEX('حضور غبريال'!$H$7:$H$36,$O299),INDEX('حضور رفائيل'!$H$7:$H$36,$O299),INDEX('حضور ميخائيل'!$H$7:$H$36,$O299)),""))</f>
        <v/>
      </c>
      <c r="U299" s="23" t="str">
        <f>IF($O299="","",IFERROR(CHOOSE(MATCH($F299,الإعدادات!$B$4:$B$7,0),INDEX('حضور سوريال'!$I$7:$I$36,$O299),INDEX('حضور غبريال'!$I$7:$I$36,$O299),INDEX('حضور رفائيل'!$I$7:$I$36,$O299),INDEX('حضور ميخائيل'!$I$7:$I$36,$O299)),""))</f>
        <v/>
      </c>
      <c r="V299" t="str">
        <f>IF($O299="","",IFERROR(CHOOSE(MATCH($F299,الإعدادات!$B$4:$B$7,0),INDEX('حضور سوريال'!$BM$7:$BM$36,$O299),INDEX('حضور غبريال'!$BM$7:$BM$36,$O299),INDEX('حضور رفائيل'!$BM$7:$BM$36,$O299),INDEX('حضور ميخائيل'!$BM$7:$BM$36,$O299)),""))</f>
        <v/>
      </c>
      <c r="W299" t="str">
        <f>IF(OR(V299=3,V299=4),COUNTIFS(V$6:V299,3)+COUNTIFS(V$6:V299,4),"")</f>
        <v/>
      </c>
    </row>
    <row r="300" spans="1:23" ht="25.5" customHeight="1">
      <c r="A300" s="13" t="str">
        <f t="shared" si="12"/>
        <v/>
      </c>
      <c r="B300" s="14" t="str">
        <f t="shared" si="13"/>
        <v/>
      </c>
      <c r="C300" s="15"/>
      <c r="D300" s="16"/>
      <c r="E300" s="16"/>
      <c r="F300" s="16"/>
      <c r="G300" s="16"/>
      <c r="H300" s="17"/>
      <c r="I300" s="17"/>
      <c r="J300" s="18"/>
      <c r="K300" s="16"/>
      <c r="L300" s="18"/>
      <c r="M300" s="16"/>
      <c r="N300" s="19" t="str">
        <f t="shared" si="14"/>
        <v/>
      </c>
      <c r="O300" s="19" t="str">
        <f>IF(OR(C300="",F300=""),"",COUNTIFS(F$6:F300,F300,C$6:C300,"&lt;&gt;"))</f>
        <v/>
      </c>
      <c r="P300" s="20" t="str">
        <f>IF($O300="","",IFERROR(CHOOSE(MATCH($F300,الإعدادات!$B$4:$B$7,0),INDEX('حضور سوريال'!$C$7:$C$36,$O300),INDEX('حضور غبريال'!$C$7:$C$36,$O300),INDEX('حضور رفائيل'!$C$7:$C$36,$O300),INDEX('حضور ميخائيل'!$C$7:$C$36,$O300)),""))</f>
        <v/>
      </c>
      <c r="Q300" s="20" t="str">
        <f>IF($O300="","",IFERROR(CHOOSE(MATCH($F300,الإعدادات!$B$4:$B$7,0),INDEX('حضور سوريال'!$D$7:$D$36,$O300),INDEX('حضور غبريال'!$D$7:$D$36,$O300),INDEX('حضور رفائيل'!$D$7:$D$36,$O300),INDEX('حضور ميخائيل'!$D$7:$D$36,$O300)),""))</f>
        <v/>
      </c>
      <c r="R300" s="21" t="str">
        <f>IF($O300="","",IFERROR(CHOOSE(MATCH($F300,الإعدادات!$B$4:$B$7,0),INDEX('حضور سوريال'!$F$7:$F$36,$O300),INDEX('حضور غبريال'!$F$7:$F$36,$O300),INDEX('حضور رفائيل'!$F$7:$F$36,$O300),INDEX('حضور ميخائيل'!$F$7:$F$36,$O300)),""))</f>
        <v/>
      </c>
      <c r="S300" s="20" t="str">
        <f>IF($O300="","",IFERROR(CHOOSE(MATCH($F300,الإعدادات!$B$4:$B$7,0),INDEX('حضور سوريال'!$G$7:$G$36,$O300),INDEX('حضور غبريال'!$G$7:$G$36,$O300),INDEX('حضور رفائيل'!$G$7:$G$36,$O300),INDEX('حضور ميخائيل'!$G$7:$G$36,$O300)),""))</f>
        <v/>
      </c>
      <c r="T300" s="22" t="str">
        <f>IF($O300="","",IFERROR(CHOOSE(MATCH($F300,الإعدادات!$B$4:$B$7,0),INDEX('حضور سوريال'!$H$7:$H$36,$O300),INDEX('حضور غبريال'!$H$7:$H$36,$O300),INDEX('حضور رفائيل'!$H$7:$H$36,$O300),INDEX('حضور ميخائيل'!$H$7:$H$36,$O300)),""))</f>
        <v/>
      </c>
      <c r="U300" s="23" t="str">
        <f>IF($O300="","",IFERROR(CHOOSE(MATCH($F300,الإعدادات!$B$4:$B$7,0),INDEX('حضور سوريال'!$I$7:$I$36,$O300),INDEX('حضور غبريال'!$I$7:$I$36,$O300),INDEX('حضور رفائيل'!$I$7:$I$36,$O300),INDEX('حضور ميخائيل'!$I$7:$I$36,$O300)),""))</f>
        <v/>
      </c>
      <c r="V300" t="str">
        <f>IF($O300="","",IFERROR(CHOOSE(MATCH($F300,الإعدادات!$B$4:$B$7,0),INDEX('حضور سوريال'!$BM$7:$BM$36,$O300),INDEX('حضور غبريال'!$BM$7:$BM$36,$O300),INDEX('حضور رفائيل'!$BM$7:$BM$36,$O300),INDEX('حضور ميخائيل'!$BM$7:$BM$36,$O300)),""))</f>
        <v/>
      </c>
      <c r="W300" t="str">
        <f>IF(OR(V300=3,V300=4),COUNTIFS(V$6:V300,3)+COUNTIFS(V$6:V300,4),"")</f>
        <v/>
      </c>
    </row>
    <row r="301" spans="1:23" ht="25.5" customHeight="1">
      <c r="A301" s="13" t="str">
        <f t="shared" si="12"/>
        <v/>
      </c>
      <c r="B301" s="14" t="str">
        <f t="shared" si="13"/>
        <v/>
      </c>
      <c r="C301" s="15"/>
      <c r="D301" s="16"/>
      <c r="E301" s="16"/>
      <c r="F301" s="16"/>
      <c r="G301" s="16"/>
      <c r="H301" s="17"/>
      <c r="I301" s="17"/>
      <c r="J301" s="18"/>
      <c r="K301" s="16"/>
      <c r="L301" s="18"/>
      <c r="M301" s="16"/>
      <c r="N301" s="19" t="str">
        <f t="shared" si="14"/>
        <v/>
      </c>
      <c r="O301" s="19" t="str">
        <f>IF(OR(C301="",F301=""),"",COUNTIFS(F$6:F301,F301,C$6:C301,"&lt;&gt;"))</f>
        <v/>
      </c>
      <c r="P301" s="20" t="str">
        <f>IF($O301="","",IFERROR(CHOOSE(MATCH($F301,الإعدادات!$B$4:$B$7,0),INDEX('حضور سوريال'!$C$7:$C$36,$O301),INDEX('حضور غبريال'!$C$7:$C$36,$O301),INDEX('حضور رفائيل'!$C$7:$C$36,$O301),INDEX('حضور ميخائيل'!$C$7:$C$36,$O301)),""))</f>
        <v/>
      </c>
      <c r="Q301" s="20" t="str">
        <f>IF($O301="","",IFERROR(CHOOSE(MATCH($F301,الإعدادات!$B$4:$B$7,0),INDEX('حضور سوريال'!$D$7:$D$36,$O301),INDEX('حضور غبريال'!$D$7:$D$36,$O301),INDEX('حضور رفائيل'!$D$7:$D$36,$O301),INDEX('حضور ميخائيل'!$D$7:$D$36,$O301)),""))</f>
        <v/>
      </c>
      <c r="R301" s="21" t="str">
        <f>IF($O301="","",IFERROR(CHOOSE(MATCH($F301,الإعدادات!$B$4:$B$7,0),INDEX('حضور سوريال'!$F$7:$F$36,$O301),INDEX('حضور غبريال'!$F$7:$F$36,$O301),INDEX('حضور رفائيل'!$F$7:$F$36,$O301),INDEX('حضور ميخائيل'!$F$7:$F$36,$O301)),""))</f>
        <v/>
      </c>
      <c r="S301" s="20" t="str">
        <f>IF($O301="","",IFERROR(CHOOSE(MATCH($F301,الإعدادات!$B$4:$B$7,0),INDEX('حضور سوريال'!$G$7:$G$36,$O301),INDEX('حضور غبريال'!$G$7:$G$36,$O301),INDEX('حضور رفائيل'!$G$7:$G$36,$O301),INDEX('حضور ميخائيل'!$G$7:$G$36,$O301)),""))</f>
        <v/>
      </c>
      <c r="T301" s="22" t="str">
        <f>IF($O301="","",IFERROR(CHOOSE(MATCH($F301,الإعدادات!$B$4:$B$7,0),INDEX('حضور سوريال'!$H$7:$H$36,$O301),INDEX('حضور غبريال'!$H$7:$H$36,$O301),INDEX('حضور رفائيل'!$H$7:$H$36,$O301),INDEX('حضور ميخائيل'!$H$7:$H$36,$O301)),""))</f>
        <v/>
      </c>
      <c r="U301" s="23" t="str">
        <f>IF($O301="","",IFERROR(CHOOSE(MATCH($F301,الإعدادات!$B$4:$B$7,0),INDEX('حضور سوريال'!$I$7:$I$36,$O301),INDEX('حضور غبريال'!$I$7:$I$36,$O301),INDEX('حضور رفائيل'!$I$7:$I$36,$O301),INDEX('حضور ميخائيل'!$I$7:$I$36,$O301)),""))</f>
        <v/>
      </c>
      <c r="V301" t="str">
        <f>IF($O301="","",IFERROR(CHOOSE(MATCH($F301,الإعدادات!$B$4:$B$7,0),INDEX('حضور سوريال'!$BM$7:$BM$36,$O301),INDEX('حضور غبريال'!$BM$7:$BM$36,$O301),INDEX('حضور رفائيل'!$BM$7:$BM$36,$O301),INDEX('حضور ميخائيل'!$BM$7:$BM$36,$O301)),""))</f>
        <v/>
      </c>
      <c r="W301" t="str">
        <f>IF(OR(V301=3,V301=4),COUNTIFS(V$6:V301,3)+COUNTIFS(V$6:V301,4),"")</f>
        <v/>
      </c>
    </row>
    <row r="302" spans="1:23" ht="25.5" customHeight="1">
      <c r="A302" s="13" t="str">
        <f t="shared" si="12"/>
        <v/>
      </c>
      <c r="B302" s="14" t="str">
        <f t="shared" si="13"/>
        <v/>
      </c>
      <c r="C302" s="15"/>
      <c r="D302" s="16"/>
      <c r="E302" s="16"/>
      <c r="F302" s="16"/>
      <c r="G302" s="16"/>
      <c r="H302" s="17"/>
      <c r="I302" s="17"/>
      <c r="J302" s="18"/>
      <c r="K302" s="16"/>
      <c r="L302" s="18"/>
      <c r="M302" s="16"/>
      <c r="N302" s="19" t="str">
        <f t="shared" si="14"/>
        <v/>
      </c>
      <c r="O302" s="19" t="str">
        <f>IF(OR(C302="",F302=""),"",COUNTIFS(F$6:F302,F302,C$6:C302,"&lt;&gt;"))</f>
        <v/>
      </c>
      <c r="P302" s="20" t="str">
        <f>IF($O302="","",IFERROR(CHOOSE(MATCH($F302,الإعدادات!$B$4:$B$7,0),INDEX('حضور سوريال'!$C$7:$C$36,$O302),INDEX('حضور غبريال'!$C$7:$C$36,$O302),INDEX('حضور رفائيل'!$C$7:$C$36,$O302),INDEX('حضور ميخائيل'!$C$7:$C$36,$O302)),""))</f>
        <v/>
      </c>
      <c r="Q302" s="20" t="str">
        <f>IF($O302="","",IFERROR(CHOOSE(MATCH($F302,الإعدادات!$B$4:$B$7,0),INDEX('حضور سوريال'!$D$7:$D$36,$O302),INDEX('حضور غبريال'!$D$7:$D$36,$O302),INDEX('حضور رفائيل'!$D$7:$D$36,$O302),INDEX('حضور ميخائيل'!$D$7:$D$36,$O302)),""))</f>
        <v/>
      </c>
      <c r="R302" s="21" t="str">
        <f>IF($O302="","",IFERROR(CHOOSE(MATCH($F302,الإعدادات!$B$4:$B$7,0),INDEX('حضور سوريال'!$F$7:$F$36,$O302),INDEX('حضور غبريال'!$F$7:$F$36,$O302),INDEX('حضور رفائيل'!$F$7:$F$36,$O302),INDEX('حضور ميخائيل'!$F$7:$F$36,$O302)),""))</f>
        <v/>
      </c>
      <c r="S302" s="20" t="str">
        <f>IF($O302="","",IFERROR(CHOOSE(MATCH($F302,الإعدادات!$B$4:$B$7,0),INDEX('حضور سوريال'!$G$7:$G$36,$O302),INDEX('حضور غبريال'!$G$7:$G$36,$O302),INDEX('حضور رفائيل'!$G$7:$G$36,$O302),INDEX('حضور ميخائيل'!$G$7:$G$36,$O302)),""))</f>
        <v/>
      </c>
      <c r="T302" s="22" t="str">
        <f>IF($O302="","",IFERROR(CHOOSE(MATCH($F302,الإعدادات!$B$4:$B$7,0),INDEX('حضور سوريال'!$H$7:$H$36,$O302),INDEX('حضور غبريال'!$H$7:$H$36,$O302),INDEX('حضور رفائيل'!$H$7:$H$36,$O302),INDEX('حضور ميخائيل'!$H$7:$H$36,$O302)),""))</f>
        <v/>
      </c>
      <c r="U302" s="23" t="str">
        <f>IF($O302="","",IFERROR(CHOOSE(MATCH($F302,الإعدادات!$B$4:$B$7,0),INDEX('حضور سوريال'!$I$7:$I$36,$O302),INDEX('حضور غبريال'!$I$7:$I$36,$O302),INDEX('حضور رفائيل'!$I$7:$I$36,$O302),INDEX('حضور ميخائيل'!$I$7:$I$36,$O302)),""))</f>
        <v/>
      </c>
      <c r="V302" t="str">
        <f>IF($O302="","",IFERROR(CHOOSE(MATCH($F302,الإعدادات!$B$4:$B$7,0),INDEX('حضور سوريال'!$BM$7:$BM$36,$O302),INDEX('حضور غبريال'!$BM$7:$BM$36,$O302),INDEX('حضور رفائيل'!$BM$7:$BM$36,$O302),INDEX('حضور ميخائيل'!$BM$7:$BM$36,$O302)),""))</f>
        <v/>
      </c>
      <c r="W302" t="str">
        <f>IF(OR(V302=3,V302=4),COUNTIFS(V$6:V302,3)+COUNTIFS(V$6:V302,4),"")</f>
        <v/>
      </c>
    </row>
    <row r="303" spans="1:23" ht="25.5" customHeight="1">
      <c r="A303" s="13" t="str">
        <f t="shared" si="12"/>
        <v/>
      </c>
      <c r="B303" s="14" t="str">
        <f t="shared" si="13"/>
        <v/>
      </c>
      <c r="C303" s="15"/>
      <c r="D303" s="16"/>
      <c r="E303" s="16"/>
      <c r="F303" s="16"/>
      <c r="G303" s="16"/>
      <c r="H303" s="17"/>
      <c r="I303" s="17"/>
      <c r="J303" s="18"/>
      <c r="K303" s="16"/>
      <c r="L303" s="18"/>
      <c r="M303" s="16"/>
      <c r="N303" s="19" t="str">
        <f t="shared" si="14"/>
        <v/>
      </c>
      <c r="O303" s="19" t="str">
        <f>IF(OR(C303="",F303=""),"",COUNTIFS(F$6:F303,F303,C$6:C303,"&lt;&gt;"))</f>
        <v/>
      </c>
      <c r="P303" s="20" t="str">
        <f>IF($O303="","",IFERROR(CHOOSE(MATCH($F303,الإعدادات!$B$4:$B$7,0),INDEX('حضور سوريال'!$C$7:$C$36,$O303),INDEX('حضور غبريال'!$C$7:$C$36,$O303),INDEX('حضور رفائيل'!$C$7:$C$36,$O303),INDEX('حضور ميخائيل'!$C$7:$C$36,$O303)),""))</f>
        <v/>
      </c>
      <c r="Q303" s="20" t="str">
        <f>IF($O303="","",IFERROR(CHOOSE(MATCH($F303,الإعدادات!$B$4:$B$7,0),INDEX('حضور سوريال'!$D$7:$D$36,$O303),INDEX('حضور غبريال'!$D$7:$D$36,$O303),INDEX('حضور رفائيل'!$D$7:$D$36,$O303),INDEX('حضور ميخائيل'!$D$7:$D$36,$O303)),""))</f>
        <v/>
      </c>
      <c r="R303" s="21" t="str">
        <f>IF($O303="","",IFERROR(CHOOSE(MATCH($F303,الإعدادات!$B$4:$B$7,0),INDEX('حضور سوريال'!$F$7:$F$36,$O303),INDEX('حضور غبريال'!$F$7:$F$36,$O303),INDEX('حضور رفائيل'!$F$7:$F$36,$O303),INDEX('حضور ميخائيل'!$F$7:$F$36,$O303)),""))</f>
        <v/>
      </c>
      <c r="S303" s="20" t="str">
        <f>IF($O303="","",IFERROR(CHOOSE(MATCH($F303,الإعدادات!$B$4:$B$7,0),INDEX('حضور سوريال'!$G$7:$G$36,$O303),INDEX('حضور غبريال'!$G$7:$G$36,$O303),INDEX('حضور رفائيل'!$G$7:$G$36,$O303),INDEX('حضور ميخائيل'!$G$7:$G$36,$O303)),""))</f>
        <v/>
      </c>
      <c r="T303" s="22" t="str">
        <f>IF($O303="","",IFERROR(CHOOSE(MATCH($F303,الإعدادات!$B$4:$B$7,0),INDEX('حضور سوريال'!$H$7:$H$36,$O303),INDEX('حضور غبريال'!$H$7:$H$36,$O303),INDEX('حضور رفائيل'!$H$7:$H$36,$O303),INDEX('حضور ميخائيل'!$H$7:$H$36,$O303)),""))</f>
        <v/>
      </c>
      <c r="U303" s="23" t="str">
        <f>IF($O303="","",IFERROR(CHOOSE(MATCH($F303,الإعدادات!$B$4:$B$7,0),INDEX('حضور سوريال'!$I$7:$I$36,$O303),INDEX('حضور غبريال'!$I$7:$I$36,$O303),INDEX('حضور رفائيل'!$I$7:$I$36,$O303),INDEX('حضور ميخائيل'!$I$7:$I$36,$O303)),""))</f>
        <v/>
      </c>
      <c r="V303" t="str">
        <f>IF($O303="","",IFERROR(CHOOSE(MATCH($F303,الإعدادات!$B$4:$B$7,0),INDEX('حضور سوريال'!$BM$7:$BM$36,$O303),INDEX('حضور غبريال'!$BM$7:$BM$36,$O303),INDEX('حضور رفائيل'!$BM$7:$BM$36,$O303),INDEX('حضور ميخائيل'!$BM$7:$BM$36,$O303)),""))</f>
        <v/>
      </c>
      <c r="W303" t="str">
        <f>IF(OR(V303=3,V303=4),COUNTIFS(V$6:V303,3)+COUNTIFS(V$6:V303,4),"")</f>
        <v/>
      </c>
    </row>
    <row r="304" spans="1:23" ht="25.5" customHeight="1">
      <c r="A304" s="13" t="str">
        <f t="shared" si="12"/>
        <v/>
      </c>
      <c r="B304" s="14" t="str">
        <f t="shared" si="13"/>
        <v/>
      </c>
      <c r="C304" s="15"/>
      <c r="D304" s="16"/>
      <c r="E304" s="16"/>
      <c r="F304" s="16"/>
      <c r="G304" s="16"/>
      <c r="H304" s="17"/>
      <c r="I304" s="17"/>
      <c r="J304" s="18"/>
      <c r="K304" s="16"/>
      <c r="L304" s="18"/>
      <c r="M304" s="16"/>
      <c r="N304" s="19" t="str">
        <f t="shared" si="14"/>
        <v/>
      </c>
      <c r="O304" s="19" t="str">
        <f>IF(OR(C304="",F304=""),"",COUNTIFS(F$6:F304,F304,C$6:C304,"&lt;&gt;"))</f>
        <v/>
      </c>
      <c r="P304" s="20" t="str">
        <f>IF($O304="","",IFERROR(CHOOSE(MATCH($F304,الإعدادات!$B$4:$B$7,0),INDEX('حضور سوريال'!$C$7:$C$36,$O304),INDEX('حضور غبريال'!$C$7:$C$36,$O304),INDEX('حضور رفائيل'!$C$7:$C$36,$O304),INDEX('حضور ميخائيل'!$C$7:$C$36,$O304)),""))</f>
        <v/>
      </c>
      <c r="Q304" s="20" t="str">
        <f>IF($O304="","",IFERROR(CHOOSE(MATCH($F304,الإعدادات!$B$4:$B$7,0),INDEX('حضور سوريال'!$D$7:$D$36,$O304),INDEX('حضور غبريال'!$D$7:$D$36,$O304),INDEX('حضور رفائيل'!$D$7:$D$36,$O304),INDEX('حضور ميخائيل'!$D$7:$D$36,$O304)),""))</f>
        <v/>
      </c>
      <c r="R304" s="21" t="str">
        <f>IF($O304="","",IFERROR(CHOOSE(MATCH($F304,الإعدادات!$B$4:$B$7,0),INDEX('حضور سوريال'!$F$7:$F$36,$O304),INDEX('حضور غبريال'!$F$7:$F$36,$O304),INDEX('حضور رفائيل'!$F$7:$F$36,$O304),INDEX('حضور ميخائيل'!$F$7:$F$36,$O304)),""))</f>
        <v/>
      </c>
      <c r="S304" s="20" t="str">
        <f>IF($O304="","",IFERROR(CHOOSE(MATCH($F304,الإعدادات!$B$4:$B$7,0),INDEX('حضور سوريال'!$G$7:$G$36,$O304),INDEX('حضور غبريال'!$G$7:$G$36,$O304),INDEX('حضور رفائيل'!$G$7:$G$36,$O304),INDEX('حضور ميخائيل'!$G$7:$G$36,$O304)),""))</f>
        <v/>
      </c>
      <c r="T304" s="22" t="str">
        <f>IF($O304="","",IFERROR(CHOOSE(MATCH($F304,الإعدادات!$B$4:$B$7,0),INDEX('حضور سوريال'!$H$7:$H$36,$O304),INDEX('حضور غبريال'!$H$7:$H$36,$O304),INDEX('حضور رفائيل'!$H$7:$H$36,$O304),INDEX('حضور ميخائيل'!$H$7:$H$36,$O304)),""))</f>
        <v/>
      </c>
      <c r="U304" s="23" t="str">
        <f>IF($O304="","",IFERROR(CHOOSE(MATCH($F304,الإعدادات!$B$4:$B$7,0),INDEX('حضور سوريال'!$I$7:$I$36,$O304),INDEX('حضور غبريال'!$I$7:$I$36,$O304),INDEX('حضور رفائيل'!$I$7:$I$36,$O304),INDEX('حضور ميخائيل'!$I$7:$I$36,$O304)),""))</f>
        <v/>
      </c>
      <c r="V304" t="str">
        <f>IF($O304="","",IFERROR(CHOOSE(MATCH($F304,الإعدادات!$B$4:$B$7,0),INDEX('حضور سوريال'!$BM$7:$BM$36,$O304),INDEX('حضور غبريال'!$BM$7:$BM$36,$O304),INDEX('حضور رفائيل'!$BM$7:$BM$36,$O304),INDEX('حضور ميخائيل'!$BM$7:$BM$36,$O304)),""))</f>
        <v/>
      </c>
      <c r="W304" t="str">
        <f>IF(OR(V304=3,V304=4),COUNTIFS(V$6:V304,3)+COUNTIFS(V$6:V304,4),"")</f>
        <v/>
      </c>
    </row>
    <row r="305" spans="1:23" ht="25.5" customHeight="1">
      <c r="A305" s="13" t="str">
        <f t="shared" si="12"/>
        <v/>
      </c>
      <c r="B305" s="14" t="str">
        <f t="shared" si="13"/>
        <v/>
      </c>
      <c r="C305" s="15"/>
      <c r="D305" s="16"/>
      <c r="E305" s="16"/>
      <c r="F305" s="16"/>
      <c r="G305" s="16"/>
      <c r="H305" s="17"/>
      <c r="I305" s="17"/>
      <c r="J305" s="18"/>
      <c r="K305" s="16"/>
      <c r="L305" s="18"/>
      <c r="M305" s="16"/>
      <c r="N305" s="19" t="str">
        <f t="shared" si="14"/>
        <v/>
      </c>
      <c r="O305" s="19" t="str">
        <f>IF(OR(C305="",F305=""),"",COUNTIFS(F$6:F305,F305,C$6:C305,"&lt;&gt;"))</f>
        <v/>
      </c>
      <c r="P305" s="20" t="str">
        <f>IF($O305="","",IFERROR(CHOOSE(MATCH($F305,الإعدادات!$B$4:$B$7,0),INDEX('حضور سوريال'!$C$7:$C$36,$O305),INDEX('حضور غبريال'!$C$7:$C$36,$O305),INDEX('حضور رفائيل'!$C$7:$C$36,$O305),INDEX('حضور ميخائيل'!$C$7:$C$36,$O305)),""))</f>
        <v/>
      </c>
      <c r="Q305" s="20" t="str">
        <f>IF($O305="","",IFERROR(CHOOSE(MATCH($F305,الإعدادات!$B$4:$B$7,0),INDEX('حضور سوريال'!$D$7:$D$36,$O305),INDEX('حضور غبريال'!$D$7:$D$36,$O305),INDEX('حضور رفائيل'!$D$7:$D$36,$O305),INDEX('حضور ميخائيل'!$D$7:$D$36,$O305)),""))</f>
        <v/>
      </c>
      <c r="R305" s="21" t="str">
        <f>IF($O305="","",IFERROR(CHOOSE(MATCH($F305,الإعدادات!$B$4:$B$7,0),INDEX('حضور سوريال'!$F$7:$F$36,$O305),INDEX('حضور غبريال'!$F$7:$F$36,$O305),INDEX('حضور رفائيل'!$F$7:$F$36,$O305),INDEX('حضور ميخائيل'!$F$7:$F$36,$O305)),""))</f>
        <v/>
      </c>
      <c r="S305" s="20" t="str">
        <f>IF($O305="","",IFERROR(CHOOSE(MATCH($F305,الإعدادات!$B$4:$B$7,0),INDEX('حضور سوريال'!$G$7:$G$36,$O305),INDEX('حضور غبريال'!$G$7:$G$36,$O305),INDEX('حضور رفائيل'!$G$7:$G$36,$O305),INDEX('حضور ميخائيل'!$G$7:$G$36,$O305)),""))</f>
        <v/>
      </c>
      <c r="T305" s="22" t="str">
        <f>IF($O305="","",IFERROR(CHOOSE(MATCH($F305,الإعدادات!$B$4:$B$7,0),INDEX('حضور سوريال'!$H$7:$H$36,$O305),INDEX('حضور غبريال'!$H$7:$H$36,$O305),INDEX('حضور رفائيل'!$H$7:$H$36,$O305),INDEX('حضور ميخائيل'!$H$7:$H$36,$O305)),""))</f>
        <v/>
      </c>
      <c r="U305" s="23" t="str">
        <f>IF($O305="","",IFERROR(CHOOSE(MATCH($F305,الإعدادات!$B$4:$B$7,0),INDEX('حضور سوريال'!$I$7:$I$36,$O305),INDEX('حضور غبريال'!$I$7:$I$36,$O305),INDEX('حضور رفائيل'!$I$7:$I$36,$O305),INDEX('حضور ميخائيل'!$I$7:$I$36,$O305)),""))</f>
        <v/>
      </c>
      <c r="V305" t="str">
        <f>IF($O305="","",IFERROR(CHOOSE(MATCH($F305,الإعدادات!$B$4:$B$7,0),INDEX('حضور سوريال'!$BM$7:$BM$36,$O305),INDEX('حضور غبريال'!$BM$7:$BM$36,$O305),INDEX('حضور رفائيل'!$BM$7:$BM$36,$O305),INDEX('حضور ميخائيل'!$BM$7:$BM$36,$O305)),""))</f>
        <v/>
      </c>
      <c r="W305" t="str">
        <f>IF(OR(V305=3,V305=4),COUNTIFS(V$6:V305,3)+COUNTIFS(V$6:V305,4),"")</f>
        <v/>
      </c>
    </row>
  </sheetData>
  <sheetProtection sheet="1" formatCells="0" formatColumns="0" formatRows="0"/>
  <mergeCells count="7">
    <mergeCell ref="A3:U3"/>
    <mergeCell ref="A4:U4"/>
    <mergeCell ref="A1:U1"/>
    <mergeCell ref="A2:B2"/>
    <mergeCell ref="D2:F2"/>
    <mergeCell ref="K2:L2"/>
    <mergeCell ref="M2:U2"/>
  </mergeCells>
  <phoneticPr fontId="67" type="noConversion"/>
  <conditionalFormatting sqref="A6:U305">
    <cfRule type="expression" dxfId="150" priority="2">
      <formula>$M6="غير نشط"</formula>
    </cfRule>
  </conditionalFormatting>
  <conditionalFormatting sqref="C6:C305">
    <cfRule type="expression" dxfId="149" priority="3">
      <formula>AND($C6&lt;&gt;"",COUNTIF($C$6:$C$305,$C6)&gt;1)</formula>
    </cfRule>
  </conditionalFormatting>
  <conditionalFormatting sqref="D6:D305">
    <cfRule type="expression" dxfId="148" priority="9">
      <formula>$D6="ولد"</formula>
    </cfRule>
    <cfRule type="expression" dxfId="147" priority="10">
      <formula>$D6="بنت"</formula>
    </cfRule>
  </conditionalFormatting>
  <conditionalFormatting sqref="F6:F305">
    <cfRule type="expression" dxfId="146" priority="4">
      <formula>AND($C6&lt;&gt;"",$F6="")</formula>
    </cfRule>
    <cfRule type="expression" dxfId="145" priority="5">
      <formula>$F6="سوريال"</formula>
    </cfRule>
    <cfRule type="expression" dxfId="144" priority="6">
      <formula>$F6="غبريال"</formula>
    </cfRule>
    <cfRule type="expression" dxfId="143" priority="7">
      <formula>$F6="رفائيل"</formula>
    </cfRule>
    <cfRule type="expression" dxfId="142" priority="8">
      <formula>$F6="ميخائيل"</formula>
    </cfRule>
  </conditionalFormatting>
  <conditionalFormatting sqref="R6:U305">
    <cfRule type="expression" dxfId="141" priority="11">
      <formula>$V6=1</formula>
    </cfRule>
    <cfRule type="expression" dxfId="140" priority="12">
      <formula>$V6=2</formula>
    </cfRule>
    <cfRule type="expression" dxfId="139" priority="13">
      <formula>$V6=3</formula>
    </cfRule>
    <cfRule type="expression" dxfId="138" priority="14">
      <formula>$V6=4</formula>
    </cfRule>
  </conditionalFormatting>
  <dataValidations count="1">
    <dataValidation type="custom" errorStyle="warning" allowBlank="1" showErrorMessage="1" errorTitle="رقم تليفون" error="رقم الموبايل لازم يكون 11 رقم ويبدأ بـ 01." sqref="H6:I305" xr:uid="{00000000-0002-0000-0100-000005000000}">
      <formula1>AND(LEN(H6)=11,LEFT(H6,2)="01",ISNUMBER(--H6))</formula1>
      <formula2>0</formula2>
    </dataValidation>
  </dataValidations>
  <printOptions horizontalCentered="1"/>
  <pageMargins left="0.75" right="0.75" top="1" bottom="1" header="0.511811023622047" footer="0.511811023622047"/>
  <pageSetup scale="29" fitToHeight="0"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ErrorMessage="1" errorTitle="قيمة غير صحيحة" error="اختار من القايمة." xr:uid="{00000000-0002-0000-0100-000001000000}">
          <x14:formula1>
            <xm:f>الإعدادات!$D$4:$D$13</xm:f>
          </x14:formula1>
          <x14:formula2>
            <xm:f>0</xm:f>
          </x14:formula2>
          <xm:sqref>E6:E305</xm:sqref>
        </x14:dataValidation>
        <x14:dataValidation type="list" allowBlank="1" showErrorMessage="1" errorTitle="قيمة غير صحيحة" error="اختار من القايمة." xr:uid="{00000000-0002-0000-0100-000002000000}">
          <x14:formula1>
            <xm:f>الإعدادات!$B$4:$B$7</xm:f>
          </x14:formula1>
          <x14:formula2>
            <xm:f>0</xm:f>
          </x14:formula2>
          <xm:sqref>F6:F305</xm:sqref>
        </x14:dataValidation>
        <x14:dataValidation type="list" allowBlank="1" showErrorMessage="1" errorTitle="قيمة غير صحيحة" error="اختار من القايمة." xr:uid="{00000000-0002-0000-0100-000003000000}">
          <x14:formula1>
            <xm:f>الإعدادات!$F$4:$F$5</xm:f>
          </x14:formula1>
          <x14:formula2>
            <xm:f>0</xm:f>
          </x14:formula2>
          <xm:sqref>G6:G305</xm:sqref>
        </x14:dataValidation>
        <x14:dataValidation type="list" allowBlank="1" showErrorMessage="1" errorTitle="قيمة غير صحيحة" error="اختار من القايمة." xr:uid="{00000000-0002-0000-0100-000004000000}">
          <x14:formula1>
            <xm:f>الإعدادات!$G$4:$G$5</xm:f>
          </x14:formula1>
          <x14:formula2>
            <xm:f>0</xm:f>
          </x14:formula2>
          <xm:sqref>M6:M305</xm:sqref>
        </x14:dataValidation>
        <x14:dataValidation type="list" allowBlank="1" showErrorMessage="1" errorTitle="قيمة غير صحيحة" error="اختار من القايمة." xr:uid="{00000000-0002-0000-0100-000000000000}">
          <x14:formula1>
            <xm:f>الإعدادات!$E$4:$E$5</xm:f>
          </x14:formula1>
          <x14:formula2>
            <xm:f>0</xm:f>
          </x14:formula2>
          <xm:sqref>D6:D23 D25:D305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S118"/>
  <sheetViews>
    <sheetView showGridLines="0" rightToLeft="1" zoomScale="90" zoomScaleNormal="90" workbookViewId="0">
      <pane ySplit="2" topLeftCell="A3" activePane="bottomLeft" state="frozen"/>
      <selection pane="bottomLeft" activeCell="N9" sqref="N9"/>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82" t="str">
        <f>"🪪 كروت أطفال ملاك "&amp;الإعدادات!$B$4</f>
        <v>🪪 كروت أطفال ملاك سوريال</v>
      </c>
      <c r="C1" s="82"/>
      <c r="D1" s="82"/>
      <c r="E1" s="82"/>
      <c r="F1" s="82"/>
      <c r="G1" s="82"/>
      <c r="H1" s="82"/>
      <c r="I1" s="82"/>
      <c r="J1" s="82"/>
      <c r="K1" s="82"/>
      <c r="L1" s="82"/>
    </row>
    <row r="2" spans="2:19" ht="30" customHeight="1">
      <c r="B2" s="83" t="str">
        <f>HYPERLINK("#'الرئيسية'!A1","🏠 الرئيسية")</f>
        <v>🏠 الرئيسية</v>
      </c>
      <c r="C2" s="83"/>
      <c r="D2" s="84" t="str">
        <f>HYPERLINK("#'قاعدة البيانات'!C"&amp;MIN(305,6+COUNTA('قاعدة البيانات'!$C$6:$C$305)),"➕ إضافة طفل جديد")</f>
        <v>➕ إضافة طفل جديد</v>
      </c>
      <c r="E2" s="84"/>
      <c r="F2" s="84"/>
      <c r="G2" s="85" t="str">
        <f>HYPERLINK("#'حضور سوريال'!A1","📅 حضور الفصل")</f>
        <v>📅 حضور الفصل</v>
      </c>
      <c r="H2" s="85"/>
      <c r="J2" s="83" t="str">
        <f>HYPERLINK("#'الافتقاد'!A1","📞 الافتقاد")</f>
        <v>📞 الافتقاد</v>
      </c>
      <c r="K2" s="83"/>
      <c r="L2" s="5" t="str">
        <f>HYPERLINK("#'قاعدة البيانات'!A1","📋 القاعدة")</f>
        <v>📋 القاعدة</v>
      </c>
    </row>
    <row r="3" spans="2:19" ht="7.5" customHeight="1"/>
    <row r="4" spans="2:19" ht="19.5" customHeight="1">
      <c r="B4" s="86" t="s">
        <v>52</v>
      </c>
      <c r="C4" s="86"/>
      <c r="D4" s="86"/>
      <c r="F4" s="86" t="s">
        <v>53</v>
      </c>
      <c r="G4" s="86"/>
      <c r="H4" s="86"/>
      <c r="J4" s="86" t="s">
        <v>54</v>
      </c>
      <c r="K4" s="86"/>
      <c r="L4" s="86"/>
    </row>
    <row r="5" spans="2:19" ht="37.5" customHeight="1">
      <c r="B5" s="87">
        <f>COUNTIFS('قاعدة البيانات'!$F$6:$F$305,الإعدادات!$B$4,'قاعدة البيانات'!$C$6:$C$305,"&lt;&gt;",'قاعدة البيانات'!$M$6:$M$305,"&lt;&gt;غير نشط")</f>
        <v>24</v>
      </c>
      <c r="C5" s="87"/>
      <c r="D5" s="87"/>
      <c r="F5" s="88" t="str">
        <f>"👦 "&amp;COUNTIFS('قاعدة البيانات'!$F$6:$F$305,الإعدادات!$B$4,'قاعدة البيانات'!$D$6:$D$305,"ولد",'قاعدة البيانات'!$C$6:$C$305,"&lt;&gt;",'قاعدة البيانات'!$M$6:$M$305,"&lt;&gt;غير نشط")&amp;"    👧 "&amp;COUNTIFS('قاعدة البيانات'!$F$6:$F$305,الإعدادات!$B$4,'قاعدة البيانات'!$D$6:$D$305,"بنت",'قاعدة البيانات'!$C$6:$C$305,"&lt;&gt;",'قاعدة البيانات'!$M$6:$M$305,"&lt;&gt;غير نشط")</f>
        <v>👦 13    👧 11</v>
      </c>
      <c r="G5" s="88"/>
      <c r="H5" s="88"/>
      <c r="J5" s="89" t="str">
        <f>IFERROR(SUM('حضور سوريال'!C7:C36)/(SUM('حضور سوريال'!C7:C36)+SUM('حضور سوريال'!D7:D36)),"—")</f>
        <v>—</v>
      </c>
      <c r="K5" s="89"/>
      <c r="L5" s="89"/>
    </row>
    <row r="6" spans="2:19" ht="21.75" customHeight="1">
      <c r="B6" s="81" t="str">
        <f>"📅 جمع مسجلة: "&amp;COUNT('حضور سوريال'!J4:BJ4)&amp;"        ⚠️ محتاجين افتقاد: "&amp;(COUNTIFS('قاعدة البيانات'!$F$6:$F$305,الإعدادات!$B$4,'قاعدة البيانات'!$V$6:$V$305,3)+COUNTIFS('قاعدة البيانات'!$F$6:$F$305,الإعدادات!$B$4,'قاعدة البيانات'!$V$6:$V$305,4))&amp;"        🆓 أماكن فاضية: "&amp;(30-COUNTIFS('قاعدة البيانات'!$F$6:$F$305,الإعدادات!$B$4,'قاعدة البيانات'!$C$6:$C$305,"&lt;&gt;"))</f>
        <v>📅 جمع مسجلة: 0        ⚠️ محتاجين افتقاد: 0        🆓 أماكن فاضية: 6</v>
      </c>
      <c r="C6" s="81"/>
      <c r="D6" s="81"/>
      <c r="E6" s="81"/>
      <c r="F6" s="81"/>
      <c r="G6" s="81"/>
      <c r="H6" s="81"/>
      <c r="I6" s="81"/>
      <c r="J6" s="81"/>
      <c r="K6" s="81"/>
      <c r="L6" s="81"/>
    </row>
    <row r="7" spans="2:19" ht="7.5" customHeight="1"/>
    <row r="8" spans="2:19" ht="6" customHeight="1"/>
    <row r="9" spans="2:19" ht="30" customHeight="1">
      <c r="B9" s="78" t="str">
        <f>IF($Q$9=0,"",IF(INDEX('قاعدة البيانات'!$D$6:$D$305,$Q$9)="بنت","👧 ","👦 ")&amp;INDEX('قاعدة البيانات'!$C$6:$C$305,$Q$9))</f>
        <v>👧 بارثينيا اسحق جرجس نادى</v>
      </c>
      <c r="C9" s="78"/>
      <c r="D9" s="78"/>
      <c r="F9" s="78" t="str">
        <f>IF($Q$10=0,"",IF(INDEX('قاعدة البيانات'!$D$6:$D$305,$Q$10)="بنت","👧 ","👦 ")&amp;INDEX('قاعدة البيانات'!$C$6:$C$305,$Q$10))</f>
        <v>👦 ادم يوسف يعقوب فهمى عزيز</v>
      </c>
      <c r="G9" s="78"/>
      <c r="H9" s="78"/>
      <c r="J9" s="78" t="str">
        <f>IF($Q$11=0,"",IF(INDEX('قاعدة البيانات'!$D$6:$D$305,$Q$11)="بنت","👧 ","👦 ")&amp;INDEX('قاعدة البيانات'!$C$6:$C$305,$Q$11))</f>
        <v>👧 ميرا هاني ظريف فوزى</v>
      </c>
      <c r="K9" s="78"/>
      <c r="L9" s="78"/>
      <c r="P9">
        <v>1</v>
      </c>
      <c r="Q9">
        <f>'حضور سوريال'!BL7</f>
        <v>25</v>
      </c>
      <c r="R9" t="str">
        <f>IF(Q9=0,"",INDEX('قاعدة البيانات'!$D$6:$D$305,Q9))</f>
        <v>بنت</v>
      </c>
      <c r="S9">
        <f>'حضور سوريال'!BM7</f>
        <v>0</v>
      </c>
    </row>
    <row r="10" spans="2:19" ht="108" customHeight="1">
      <c r="B10" s="24" t="e" vm="28">
        <f>IF($Q$9=0,"",IF(ISBLANK(INDEX('قاعدة البيانات'!$K$6:$K$305,$Q$9)),LEFT(INDEX('قاعدة البيانات'!$C$6:$C$305,$Q$9),1),INDEX('قاعدة البيانات'!$K$6:$K$305,$Q$9)))</f>
        <v>#VALUE!</v>
      </c>
      <c r="C10" s="79"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B-025
🎓 سنة تانية
🚶 يروح لوحده: —
📝 مفيش ملاحظات</v>
      </c>
      <c r="D10" s="79"/>
      <c r="F10" s="24" t="str">
        <f>IF($Q$10=0,"",IF(ISBLANK(INDEX('قاعدة البيانات'!$K$6:$K$305,$Q$10)),LEFT(INDEX('قاعدة البيانات'!$C$6:$C$305,$Q$10),1),INDEX('قاعدة البيانات'!$K$6:$K$305,$Q$10)))</f>
        <v>ا</v>
      </c>
      <c r="G10" s="79"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B-026
🎓 سنة تانية
🚶 يروح لوحده: —
📝 مفيش ملاحظات</v>
      </c>
      <c r="H10" s="79"/>
      <c r="J10" s="24" t="e" vm="29">
        <f>IF($Q$11=0,"",IF(ISBLANK(INDEX('قاعدة البيانات'!$K$6:$K$305,$Q$11)),LEFT(INDEX('قاعدة البيانات'!$C$6:$C$305,$Q$11),1),INDEX('قاعدة البيانات'!$K$6:$K$305,$Q$11)))</f>
        <v>#VALUE!</v>
      </c>
      <c r="K10" s="79"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B-027
🎓 سنة تانية
🚶 يروح لوحده: —
📝 مفيش ملاحظات</v>
      </c>
      <c r="L10" s="79"/>
      <c r="P10">
        <v>2</v>
      </c>
      <c r="Q10">
        <f>'حضور سوريال'!BL8</f>
        <v>26</v>
      </c>
      <c r="R10" t="str">
        <f>IF(Q10=0,"",INDEX('قاعدة البيانات'!$D$6:$D$305,Q10))</f>
        <v>ولد</v>
      </c>
      <c r="S10">
        <f>'حضور سوريال'!BM8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01287576432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01277715819</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01280605823</v>
      </c>
      <c r="L11" s="27" t="str">
        <f>IF(OR($Q$11=0,INDEX('قاعدة البيانات'!$H$6:$H$305,$Q$11)=""),"",HYPERLINK("https://wa.me/20"&amp;RIGHT(INDEX('قاعدة البيانات'!$H$6:$H$305,$Q$11),10),"💬 واتساب"))</f>
        <v>💬 واتساب</v>
      </c>
      <c r="P11">
        <v>3</v>
      </c>
      <c r="Q11">
        <f>'حضور سوريال'!BL9</f>
        <v>27</v>
      </c>
      <c r="R11" t="str">
        <f>IF(Q11=0,"",INDEX('قاعدة البيانات'!$D$6:$D$305,Q11))</f>
        <v>بنت</v>
      </c>
      <c r="S11">
        <f>'حضور سوريال'!BM9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01287576432</v>
      </c>
      <c r="D12" s="27" t="str">
        <f>IF(OR($Q$9=0,INDEX('قاعدة البيانات'!$I$6:$I$305,$Q$9)=""),"",HYPERLINK("https://wa.me/20"&amp;RIGHT(INDEX('قاعدة البيانات'!$I$6:$I$305,$Q$9),10),"💬 واتساب"))</f>
        <v>💬 واتساب</v>
      </c>
      <c r="F12" s="25" t="str">
        <f>IF($Q$10=0,"","👨 بابا")</f>
        <v>👨 بابا</v>
      </c>
      <c r="G12" s="26" t="str">
        <f>IF($Q$10=0,"",IF(INDEX('قاعدة البيانات'!$I$6:$I$305,$Q$10)="","— مفيش رقم —",HYPERLINK("tel:"&amp;INDEX('قاعدة البيانات'!$I$6:$I$305,$Q$10),"📞 "&amp;INDEX('قاعدة البيانات'!$I$6:$I$305,$Q$10))))</f>
        <v>📞 01277715819</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01280605823</v>
      </c>
      <c r="L12" s="27" t="str">
        <f>IF(OR($Q$11=0,INDEX('قاعدة البيانات'!$I$6:$I$305,$Q$11)=""),"",HYPERLINK("https://wa.me/20"&amp;RIGHT(INDEX('قاعدة البيانات'!$I$6:$I$305,$Q$11),10),"💬 واتساب"))</f>
        <v>💬 واتساب</v>
      </c>
      <c r="P12">
        <v>4</v>
      </c>
      <c r="Q12">
        <f>'حضور سوريال'!BL10</f>
        <v>28</v>
      </c>
      <c r="R12" t="str">
        <f>IF(Q12=0,"",INDEX('قاعدة البيانات'!$D$6:$D$305,Q12))</f>
        <v>بنت</v>
      </c>
      <c r="S12">
        <f>'حضور سوريال'!BM10</f>
        <v>0</v>
      </c>
    </row>
    <row r="13" spans="2:19" ht="37.5" customHeight="1">
      <c r="B13" s="80" t="str">
        <f>IF($Q$9=0,"","📍 "&amp;IF(INDEX('قاعدة البيانات'!$J$6:$J$305,$Q$9)="","— مفيش عنوان —",INDEX('قاعدة البيانات'!$J$6:$J$305,$Q$9)))</f>
        <v>📍 5 شارع صليب نخلة، المليحة، حدائق القبة، القاهرة؛ شقة 9، الدور 2</v>
      </c>
      <c r="C13" s="80"/>
      <c r="D13" s="80"/>
      <c r="F13" s="80" t="str">
        <f>IF($Q$10=0,"","📍 "&amp;IF(INDEX('قاعدة البيانات'!$J$6:$J$305,$Q$10)="","— مفيش عنوان —",INDEX('قاعدة البيانات'!$J$6:$J$305,$Q$10)))</f>
        <v>📍 7 شارع حامد رضوان، المليحة، حدائق القبة، القاهرة؛ شقة 8، الدور 5</v>
      </c>
      <c r="G13" s="80"/>
      <c r="H13" s="80"/>
      <c r="J13" s="80" t="str">
        <f>IF($Q$11=0,"","📍 "&amp;IF(INDEX('قاعدة البيانات'!$J$6:$J$305,$Q$11)="","— مفيش عنوان —",INDEX('قاعدة البيانات'!$J$6:$J$305,$Q$11)))</f>
        <v>📍 20 شارع محمد علي خليل، المليحة، حدائق القبة، القاهرة؛ شقة 8، الدور 4</v>
      </c>
      <c r="K13" s="80"/>
      <c r="L13" s="80"/>
      <c r="P13">
        <v>5</v>
      </c>
      <c r="Q13">
        <f>'حضور سوريال'!BL11</f>
        <v>29</v>
      </c>
      <c r="R13" t="str">
        <f>IF(Q13=0,"",INDEX('قاعدة البيانات'!$D$6:$D$305,Q13))</f>
        <v>ولد</v>
      </c>
      <c r="S13">
        <f>'حضور سوريال'!BM11</f>
        <v>0</v>
      </c>
    </row>
    <row r="14" spans="2:19" ht="21.75" customHeight="1">
      <c r="B14" s="75" t="str">
        <f>IF($Q$9=0,"","📊 إحصائيات الحضور")</f>
        <v>📊 إحصائيات الحضور</v>
      </c>
      <c r="C14" s="75"/>
      <c r="D14" s="75"/>
      <c r="F14" s="75" t="str">
        <f>IF($Q$10=0,"","📊 إحصائيات الحضور")</f>
        <v>📊 إحصائيات الحضور</v>
      </c>
      <c r="G14" s="75"/>
      <c r="H14" s="75"/>
      <c r="J14" s="75" t="str">
        <f>IF($Q$11=0,"","📊 إحصائيات الحضور")</f>
        <v>📊 إحصائيات الحضور</v>
      </c>
      <c r="K14" s="75"/>
      <c r="L14" s="75"/>
      <c r="P14">
        <v>6</v>
      </c>
      <c r="Q14">
        <f>'حضور سوريال'!BL12</f>
        <v>30</v>
      </c>
      <c r="R14" t="str">
        <f>IF(Q14=0,"",INDEX('قاعدة البيانات'!$D$6:$D$305,Q14))</f>
        <v>ولد</v>
      </c>
      <c r="S14">
        <f>'حضور سوريال'!BM12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سوريال'!BL13</f>
        <v>31</v>
      </c>
      <c r="R15" t="str">
        <f>IF(Q15=0,"",INDEX('قاعدة البيانات'!$D$6:$D$305,Q15))</f>
        <v>بنت</v>
      </c>
      <c r="S15">
        <f>'حضور سوريال'!BM13</f>
        <v>0</v>
      </c>
    </row>
    <row r="16" spans="2:19" ht="33.75" customHeight="1">
      <c r="B16" s="29">
        <f>'حضور سوريال'!C7</f>
        <v>0</v>
      </c>
      <c r="C16" s="30">
        <f>'حضور سوريال'!D7</f>
        <v>0</v>
      </c>
      <c r="D16" s="31" t="str">
        <f>'حضور سوريال'!F7</f>
        <v/>
      </c>
      <c r="F16" s="29">
        <f>'حضور سوريال'!C8</f>
        <v>0</v>
      </c>
      <c r="G16" s="30">
        <f>'حضور سوريال'!D8</f>
        <v>0</v>
      </c>
      <c r="H16" s="31" t="str">
        <f>'حضور سوريال'!F8</f>
        <v/>
      </c>
      <c r="J16" s="29">
        <f>'حضور سوريال'!C9</f>
        <v>0</v>
      </c>
      <c r="K16" s="30">
        <f>'حضور سوريال'!D9</f>
        <v>0</v>
      </c>
      <c r="L16" s="31" t="str">
        <f>'حضور سوريال'!F9</f>
        <v/>
      </c>
      <c r="P16">
        <v>8</v>
      </c>
      <c r="Q16">
        <f>'حضور سوريال'!BL14</f>
        <v>32</v>
      </c>
      <c r="R16" t="str">
        <f>IF(Q16=0,"",INDEX('قاعدة البيانات'!$D$6:$D$305,Q16))</f>
        <v>ولد</v>
      </c>
      <c r="S16">
        <f>'حضور سوريال'!BM14</f>
        <v>0</v>
      </c>
    </row>
    <row r="17" spans="2:19" ht="24" customHeight="1">
      <c r="B17" s="76" t="str">
        <f>'حضور سوريال'!I7</f>
        <v>⏳ لسه مفيش حضور</v>
      </c>
      <c r="C17" s="76"/>
      <c r="D17" s="76"/>
      <c r="F17" s="76" t="str">
        <f>'حضور سوريال'!I8</f>
        <v>⏳ لسه مفيش حضور</v>
      </c>
      <c r="G17" s="76"/>
      <c r="H17" s="76"/>
      <c r="J17" s="76" t="str">
        <f>'حضور سوريال'!I9</f>
        <v>⏳ لسه مفيش حضور</v>
      </c>
      <c r="K17" s="76"/>
      <c r="L17" s="76"/>
      <c r="P17">
        <v>9</v>
      </c>
      <c r="Q17">
        <f>'حضور سوريال'!BL15</f>
        <v>33</v>
      </c>
      <c r="R17" t="str">
        <f>IF(Q17=0,"",INDEX('قاعدة البيانات'!$D$6:$D$305,Q17))</f>
        <v>بنت</v>
      </c>
      <c r="S17">
        <f>'حضور سوريال'!BM15</f>
        <v>0</v>
      </c>
    </row>
    <row r="18" spans="2:19" ht="19.5" customHeight="1">
      <c r="B18" s="77" t="str">
        <f>IF($Q$9=0,"","🗓️ آخر حضور: "&amp;IF(ISNUMBER('حضور سوريال'!H7),DAY('حضور سوريال'!H7)&amp;"/"&amp;MONTH('حضور سوريال'!H7)&amp;"/"&amp;YEAR('حضور سوريال'!H7),"—")&amp;"   •   غياب متتالي: "&amp;'حضور سوريال'!G7)</f>
        <v>🗓️ آخر حضور: —   •   غياب متتالي: 0</v>
      </c>
      <c r="C18" s="77"/>
      <c r="D18" s="77"/>
      <c r="F18" s="77" t="str">
        <f>IF($Q$10=0,"","🗓️ آخر حضور: "&amp;IF(ISNUMBER('حضور سوريال'!H8),DAY('حضور سوريال'!H8)&amp;"/"&amp;MONTH('حضور سوريال'!H8)&amp;"/"&amp;YEAR('حضور سوريال'!H8),"—")&amp;"   •   غياب متتالي: "&amp;'حضور سوريال'!G8)</f>
        <v>🗓️ آخر حضور: —   •   غياب متتالي: 0</v>
      </c>
      <c r="G18" s="77"/>
      <c r="H18" s="77"/>
      <c r="J18" s="77" t="str">
        <f>IF($Q$11=0,"","🗓️ آخر حضور: "&amp;IF(ISNUMBER('حضور سوريال'!H9),DAY('حضور سوريال'!H9)&amp;"/"&amp;MONTH('حضور سوريال'!H9)&amp;"/"&amp;YEAR('حضور سوريال'!H9),"—")&amp;"   •   غياب متتالي: "&amp;'حضور سوريال'!G9)</f>
        <v>🗓️ آخر حضور: —   •   غياب متتالي: 0</v>
      </c>
      <c r="K18" s="77"/>
      <c r="L18" s="77"/>
      <c r="P18">
        <v>10</v>
      </c>
      <c r="Q18">
        <f>'حضور سوريال'!BL16</f>
        <v>34</v>
      </c>
      <c r="R18" t="str">
        <f>IF(Q18=0,"",INDEX('قاعدة البيانات'!$D$6:$D$305,Q18))</f>
        <v>ولد</v>
      </c>
      <c r="S18">
        <f>'حضور سوريال'!BM16</f>
        <v>0</v>
      </c>
    </row>
    <row r="19" spans="2:19" ht="13.5" customHeight="1">
      <c r="P19">
        <v>11</v>
      </c>
      <c r="Q19">
        <f>'حضور سوريال'!BL17</f>
        <v>35</v>
      </c>
      <c r="R19" t="str">
        <f>IF(Q19=0,"",INDEX('قاعدة البيانات'!$D$6:$D$305,Q19))</f>
        <v>بنت</v>
      </c>
      <c r="S19">
        <f>'حضور سوريال'!BM17</f>
        <v>0</v>
      </c>
    </row>
    <row r="20" spans="2:19" ht="30" customHeight="1">
      <c r="B20" s="78" t="str">
        <f>IF($Q$12=0,"",IF(INDEX('قاعدة البيانات'!$D$6:$D$305,$Q$12)="بنت","👧 ","👦 ")&amp;INDEX('قاعدة البيانات'!$C$6:$C$305,$Q$12))</f>
        <v>👧 ماريا هانى مكرم نصيف</v>
      </c>
      <c r="C20" s="78"/>
      <c r="D20" s="78"/>
      <c r="F20" s="78" t="str">
        <f>IF($Q$13=0,"",IF(INDEX('قاعدة البيانات'!$D$6:$D$305,$Q$13)="بنت","👧 ","👦 ")&amp;INDEX('قاعدة البيانات'!$C$6:$C$305,$Q$13))</f>
        <v>👦 بافلى سلامه سليمان</v>
      </c>
      <c r="G20" s="78"/>
      <c r="H20" s="78"/>
      <c r="J20" s="78" t="str">
        <f>IF($Q$14=0,"",IF(INDEX('قاعدة البيانات'!$D$6:$D$305,$Q$14)="بنت","👧 ","👦 ")&amp;INDEX('قاعدة البيانات'!$C$6:$C$305,$Q$14))</f>
        <v>👦 سامي سامح سامي جاد الله</v>
      </c>
      <c r="K20" s="78"/>
      <c r="L20" s="78"/>
      <c r="P20">
        <v>12</v>
      </c>
      <c r="Q20">
        <f>'حضور سوريال'!BL18</f>
        <v>36</v>
      </c>
      <c r="R20" t="str">
        <f>IF(Q20=0,"",INDEX('قاعدة البيانات'!$D$6:$D$305,Q20))</f>
        <v>ولد</v>
      </c>
      <c r="S20">
        <f>'حضور سوريال'!BM18</f>
        <v>0</v>
      </c>
    </row>
    <row r="21" spans="2:19" ht="108" customHeight="1">
      <c r="B21" s="24" t="e" vm="30">
        <f>IF($Q$12=0,"",IF(ISBLANK(INDEX('قاعدة البيانات'!$K$6:$K$305,$Q$12)),LEFT(INDEX('قاعدة البيانات'!$C$6:$C$305,$Q$12),1),INDEX('قاعدة البيانات'!$K$6:$K$305,$Q$12)))</f>
        <v>#VALUE!</v>
      </c>
      <c r="C21" s="79"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B-028
🎓 سنة تانية
🚶 يروح لوحده: —
📝 مفيش ملاحظات</v>
      </c>
      <c r="D21" s="79"/>
      <c r="F21" s="24" t="str">
        <f>IF($Q$13=0,"",IF(ISBLANK(INDEX('قاعدة البيانات'!$K$6:$K$305,$Q$13)),LEFT(INDEX('قاعدة البيانات'!$C$6:$C$305,$Q$13),1),INDEX('قاعدة البيانات'!$K$6:$K$305,$Q$13)))</f>
        <v>ب</v>
      </c>
      <c r="G21" s="79"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B-029
🎓 سنة تانية
🚶 يروح لوحده: —
📝 مفيش ملاحظات</v>
      </c>
      <c r="H21" s="79"/>
      <c r="J21" s="24" t="e" vm="31">
        <f>IF($Q$14=0,"",IF(ISBLANK(INDEX('قاعدة البيانات'!$K$6:$K$305,$Q$14)),LEFT(INDEX('قاعدة البيانات'!$C$6:$C$305,$Q$14),1),INDEX('قاعدة البيانات'!$K$6:$K$305,$Q$14)))</f>
        <v>#VALUE!</v>
      </c>
      <c r="K21" s="79"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B-030
🎓 سنة تانية
🚶 يروح لوحده: —
📝 مفيش ملاحظات</v>
      </c>
      <c r="L21" s="79"/>
      <c r="P21">
        <v>13</v>
      </c>
      <c r="Q21">
        <f>'حضور سوريال'!BL19</f>
        <v>37</v>
      </c>
      <c r="R21" t="str">
        <f>IF(Q21=0,"",INDEX('قاعدة البيانات'!$D$6:$D$305,Q21))</f>
        <v>بنت</v>
      </c>
      <c r="S21">
        <f>'حضور سوريال'!BM19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01200977582</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01211025572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01224717891</v>
      </c>
      <c r="L22" s="27" t="str">
        <f>IF(OR($Q$14=0,INDEX('قاعدة البيانات'!$H$6:$H$305,$Q$14)=""),"",HYPERLINK("https://wa.me/20"&amp;RIGHT(INDEX('قاعدة البيانات'!$H$6:$H$305,$Q$14),10),"💬 واتساب"))</f>
        <v>💬 واتساب</v>
      </c>
      <c r="P22">
        <v>14</v>
      </c>
      <c r="Q22">
        <f>'حضور سوريال'!BL20</f>
        <v>38</v>
      </c>
      <c r="R22" t="str">
        <f>IF(Q22=0,"",INDEX('قاعدة البيانات'!$D$6:$D$305,Q22))</f>
        <v>بنت</v>
      </c>
      <c r="S22">
        <f>'حضور سوريال'!BM20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01283970133</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01223222833</v>
      </c>
      <c r="L23" s="27" t="str">
        <f>IF(OR($Q$14=0,INDEX('قاعدة البيانات'!$I$6:$I$305,$Q$14)=""),"",HYPERLINK("https://wa.me/20"&amp;RIGHT(INDEX('قاعدة البيانات'!$I$6:$I$305,$Q$14),10),"💬 واتساب"))</f>
        <v>💬 واتساب</v>
      </c>
      <c r="P23">
        <v>15</v>
      </c>
      <c r="Q23">
        <f>'حضور سوريال'!BL21</f>
        <v>39</v>
      </c>
      <c r="R23" t="str">
        <f>IF(Q23=0,"",INDEX('قاعدة البيانات'!$D$6:$D$305,Q23))</f>
        <v>ولد</v>
      </c>
      <c r="S23">
        <f>'حضور سوريال'!BM21</f>
        <v>0</v>
      </c>
    </row>
    <row r="24" spans="2:19" ht="37.5" customHeight="1">
      <c r="B24" s="80" t="str">
        <f>IF($Q$12=0,"","📍 "&amp;IF(INDEX('قاعدة البيانات'!$J$6:$J$305,$Q$12)="","— مفيش عنوان —",INDEX('قاعدة البيانات'!$J$6:$J$305,$Q$12)))</f>
        <v>📍 20 شارع عاصم، المليحة، حدائق القبة، القاهرة؛ شقة 7، الدور 7</v>
      </c>
      <c r="C24" s="80"/>
      <c r="D24" s="80"/>
      <c r="F24" s="80" t="str">
        <f>IF($Q$13=0,"","📍 "&amp;IF(INDEX('قاعدة البيانات'!$J$6:$J$305,$Q$13)="","— مفيش عنوان —",INDEX('قاعدة البيانات'!$J$6:$J$305,$Q$13)))</f>
        <v>📍 23 شارع عبد الرحمن السني، عمار بن ياسر، العمرانية، الجيزة؛ شقة 5، الدور 3</v>
      </c>
      <c r="G24" s="80"/>
      <c r="H24" s="80"/>
      <c r="J24" s="80" t="str">
        <f>IF($Q$14=0,"","📍 "&amp;IF(INDEX('قاعدة البيانات'!$J$6:$J$305,$Q$14)="","— مفيش عنوان —",INDEX('قاعدة البيانات'!$J$6:$J$305,$Q$14)))</f>
        <v>📍 3 شارع نصر الدين محمد، المليحة، حدائق القبة، القاهرة؛ شقة 11، الدور 4</v>
      </c>
      <c r="K24" s="80"/>
      <c r="L24" s="80"/>
      <c r="P24">
        <v>16</v>
      </c>
      <c r="Q24">
        <f>'حضور سوريال'!BL22</f>
        <v>40</v>
      </c>
      <c r="R24" t="str">
        <f>IF(Q24=0,"",INDEX('قاعدة البيانات'!$D$6:$D$305,Q24))</f>
        <v>ولد</v>
      </c>
      <c r="S24">
        <f>'حضور سوريال'!BM22</f>
        <v>0</v>
      </c>
    </row>
    <row r="25" spans="2:19" ht="21.75" customHeight="1">
      <c r="B25" s="75" t="str">
        <f>IF($Q$12=0,"","📊 إحصائيات الحضور")</f>
        <v>📊 إحصائيات الحضور</v>
      </c>
      <c r="C25" s="75"/>
      <c r="D25" s="75"/>
      <c r="F25" s="75" t="str">
        <f>IF($Q$13=0,"","📊 إحصائيات الحضور")</f>
        <v>📊 إحصائيات الحضور</v>
      </c>
      <c r="G25" s="75"/>
      <c r="H25" s="75"/>
      <c r="J25" s="75" t="str">
        <f>IF($Q$14=0,"","📊 إحصائيات الحضور")</f>
        <v>📊 إحصائيات الحضور</v>
      </c>
      <c r="K25" s="75"/>
      <c r="L25" s="75"/>
      <c r="P25">
        <v>17</v>
      </c>
      <c r="Q25">
        <f>'حضور سوريال'!BL23</f>
        <v>41</v>
      </c>
      <c r="R25" t="str">
        <f>IF(Q25=0,"",INDEX('قاعدة البيانات'!$D$6:$D$305,Q25))</f>
        <v>بنت</v>
      </c>
      <c r="S25">
        <f>'حضور سوريال'!BM23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سوريال'!BL24</f>
        <v>42</v>
      </c>
      <c r="R26" t="str">
        <f>IF(Q26=0,"",INDEX('قاعدة البيانات'!$D$6:$D$305,Q26))</f>
        <v>بنت</v>
      </c>
      <c r="S26">
        <f>'حضور سوريال'!BM24</f>
        <v>0</v>
      </c>
    </row>
    <row r="27" spans="2:19" ht="33.75" customHeight="1">
      <c r="B27" s="29">
        <f>'حضور سوريال'!C10</f>
        <v>0</v>
      </c>
      <c r="C27" s="30">
        <f>'حضور سوريال'!D10</f>
        <v>0</v>
      </c>
      <c r="D27" s="31" t="str">
        <f>'حضور سوريال'!F10</f>
        <v/>
      </c>
      <c r="F27" s="29">
        <f>'حضور سوريال'!C11</f>
        <v>0</v>
      </c>
      <c r="G27" s="30">
        <f>'حضور سوريال'!D11</f>
        <v>0</v>
      </c>
      <c r="H27" s="31" t="str">
        <f>'حضور سوريال'!F11</f>
        <v/>
      </c>
      <c r="J27" s="29">
        <f>'حضور سوريال'!C12</f>
        <v>0</v>
      </c>
      <c r="K27" s="30">
        <f>'حضور سوريال'!D12</f>
        <v>0</v>
      </c>
      <c r="L27" s="31" t="str">
        <f>'حضور سوريال'!F12</f>
        <v/>
      </c>
      <c r="P27">
        <v>19</v>
      </c>
      <c r="Q27">
        <f>'حضور سوريال'!BL25</f>
        <v>43</v>
      </c>
      <c r="R27" t="str">
        <f>IF(Q27=0,"",INDEX('قاعدة البيانات'!$D$6:$D$305,Q27))</f>
        <v>ولد</v>
      </c>
      <c r="S27">
        <f>'حضور سوريال'!BM25</f>
        <v>0</v>
      </c>
    </row>
    <row r="28" spans="2:19" ht="24" customHeight="1">
      <c r="B28" s="76" t="str">
        <f>'حضور سوريال'!I10</f>
        <v>⏳ لسه مفيش حضور</v>
      </c>
      <c r="C28" s="76"/>
      <c r="D28" s="76"/>
      <c r="F28" s="76" t="str">
        <f>'حضور سوريال'!I11</f>
        <v>⏳ لسه مفيش حضور</v>
      </c>
      <c r="G28" s="76"/>
      <c r="H28" s="76"/>
      <c r="J28" s="76" t="str">
        <f>'حضور سوريال'!I12</f>
        <v>⏳ لسه مفيش حضور</v>
      </c>
      <c r="K28" s="76"/>
      <c r="L28" s="76"/>
      <c r="P28">
        <v>20</v>
      </c>
      <c r="Q28">
        <f>'حضور سوريال'!BL26</f>
        <v>44</v>
      </c>
      <c r="R28" t="str">
        <f>IF(Q28=0,"",INDEX('قاعدة البيانات'!$D$6:$D$305,Q28))</f>
        <v>بنت</v>
      </c>
      <c r="S28">
        <f>'حضور سوريال'!BM26</f>
        <v>0</v>
      </c>
    </row>
    <row r="29" spans="2:19" ht="19.5" customHeight="1">
      <c r="B29" s="77" t="str">
        <f>IF($Q$12=0,"","🗓️ آخر حضور: "&amp;IF(ISNUMBER('حضور سوريال'!H10),DAY('حضور سوريال'!H10)&amp;"/"&amp;MONTH('حضور سوريال'!H10)&amp;"/"&amp;YEAR('حضور سوريال'!H10),"—")&amp;"   •   غياب متتالي: "&amp;'حضور سوريال'!G10)</f>
        <v>🗓️ آخر حضور: —   •   غياب متتالي: 0</v>
      </c>
      <c r="C29" s="77"/>
      <c r="D29" s="77"/>
      <c r="F29" s="77" t="str">
        <f>IF($Q$13=0,"","🗓️ آخر حضور: "&amp;IF(ISNUMBER('حضور سوريال'!H11),DAY('حضور سوريال'!H11)&amp;"/"&amp;MONTH('حضور سوريال'!H11)&amp;"/"&amp;YEAR('حضور سوريال'!H11),"—")&amp;"   •   غياب متتالي: "&amp;'حضور سوريال'!G11)</f>
        <v>🗓️ آخر حضور: —   •   غياب متتالي: 0</v>
      </c>
      <c r="G29" s="77"/>
      <c r="H29" s="77"/>
      <c r="J29" s="77" t="str">
        <f>IF($Q$14=0,"","🗓️ آخر حضور: "&amp;IF(ISNUMBER('حضور سوريال'!H12),DAY('حضور سوريال'!H12)&amp;"/"&amp;MONTH('حضور سوريال'!H12)&amp;"/"&amp;YEAR('حضور سوريال'!H12),"—")&amp;"   •   غياب متتالي: "&amp;'حضور سوريال'!G12)</f>
        <v>🗓️ آخر حضور: —   •   غياب متتالي: 0</v>
      </c>
      <c r="K29" s="77"/>
      <c r="L29" s="77"/>
      <c r="P29">
        <v>21</v>
      </c>
      <c r="Q29">
        <f>'حضور سوريال'!BL27</f>
        <v>45</v>
      </c>
      <c r="R29" t="str">
        <f>IF(Q29=0,"",INDEX('قاعدة البيانات'!$D$6:$D$305,Q29))</f>
        <v>ولد</v>
      </c>
      <c r="S29">
        <f>'حضور سوريال'!BM27</f>
        <v>0</v>
      </c>
    </row>
    <row r="30" spans="2:19" ht="13.5" customHeight="1">
      <c r="P30">
        <v>22</v>
      </c>
      <c r="Q30">
        <f>'حضور سوريال'!BL28</f>
        <v>46</v>
      </c>
      <c r="R30" t="str">
        <f>IF(Q30=0,"",INDEX('قاعدة البيانات'!$D$6:$D$305,Q30))</f>
        <v>ولد</v>
      </c>
      <c r="S30">
        <f>'حضور سوريال'!BM28</f>
        <v>0</v>
      </c>
    </row>
    <row r="31" spans="2:19" ht="30" customHeight="1">
      <c r="B31" s="78" t="str">
        <f>IF($Q$15=0,"",IF(INDEX('قاعدة البيانات'!$D$6:$D$305,$Q$15)="بنت","👧 ","👦 ")&amp;INDEX('قاعدة البيانات'!$C$6:$C$305,$Q$15))</f>
        <v>👧 فيرينا مينا عجايبي يوسف سعد</v>
      </c>
      <c r="C31" s="78"/>
      <c r="D31" s="78"/>
      <c r="F31" s="78" t="str">
        <f>IF($Q$16=0,"",IF(INDEX('قاعدة البيانات'!$D$6:$D$305,$Q$16)="بنت","👧 ","👦 ")&amp;INDEX('قاعدة البيانات'!$C$6:$C$305,$Q$16))</f>
        <v>👦 بافلى بيشوى جرجس جندى</v>
      </c>
      <c r="G31" s="78"/>
      <c r="H31" s="78"/>
      <c r="J31" s="78" t="str">
        <f>IF($Q$17=0,"",IF(INDEX('قاعدة البيانات'!$D$6:$D$305,$Q$17)="بنت","👧 ","👦 ")&amp;INDEX('قاعدة البيانات'!$C$6:$C$305,$Q$17))</f>
        <v>👧 يؤانا دميان جمال</v>
      </c>
      <c r="K31" s="78"/>
      <c r="L31" s="78"/>
      <c r="P31">
        <v>23</v>
      </c>
      <c r="Q31">
        <f>'حضور سوريال'!BL29</f>
        <v>47</v>
      </c>
      <c r="R31" t="str">
        <f>IF(Q31=0,"",INDEX('قاعدة البيانات'!$D$6:$D$305,Q31))</f>
        <v>ولد</v>
      </c>
      <c r="S31">
        <f>'حضور سوريال'!BM29</f>
        <v>0</v>
      </c>
    </row>
    <row r="32" spans="2:19" ht="108" customHeight="1">
      <c r="B32" s="24" t="str">
        <f>IF($Q$15=0,"",IF(ISBLANK(INDEX('قاعدة البيانات'!$K$6:$K$305,$Q$15)),LEFT(INDEX('قاعدة البيانات'!$C$6:$C$305,$Q$15),1),INDEX('قاعدة البيانات'!$K$6:$K$305,$Q$15)))</f>
        <v>ف</v>
      </c>
      <c r="C32" s="79"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B-031
🎓 سنة تانية
🚶 يروح لوحده: —
📝 مفيش ملاحظات</v>
      </c>
      <c r="D32" s="79"/>
      <c r="F32" s="24" t="e" vm="32">
        <f>IF($Q$16=0,"",IF(ISBLANK(INDEX('قاعدة البيانات'!$K$6:$K$305,$Q$16)),LEFT(INDEX('قاعدة البيانات'!$C$6:$C$305,$Q$16),1),INDEX('قاعدة البيانات'!$K$6:$K$305,$Q$16)))</f>
        <v>#VALUE!</v>
      </c>
      <c r="G32" s="79"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B-032
🎓 سنة تانية
🚶 يروح لوحده: —
📝 مفيش ملاحظات</v>
      </c>
      <c r="H32" s="79"/>
      <c r="J32" s="24" t="e" vm="33">
        <f>IF($Q$17=0,"",IF(ISBLANK(INDEX('قاعدة البيانات'!$K$6:$K$305,$Q$17)),LEFT(INDEX('قاعدة البيانات'!$C$6:$C$305,$Q$17),1),INDEX('قاعدة البيانات'!$K$6:$K$305,$Q$17)))</f>
        <v>#VALUE!</v>
      </c>
      <c r="K32" s="79"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B-033
🎓 سنة تانية
🚶 يروح لوحده: —
📝 مفيش ملاحظات</v>
      </c>
      <c r="L32" s="79"/>
      <c r="P32">
        <v>24</v>
      </c>
      <c r="Q32">
        <f>'حضور سوريال'!BL30</f>
        <v>48</v>
      </c>
      <c r="R32" t="str">
        <f>IF(Q32=0,"",INDEX('قاعدة البيانات'!$D$6:$D$305,Q32))</f>
        <v>ولد</v>
      </c>
      <c r="S32">
        <f>'حضور سوريال'!BM30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01283850844</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01279057492</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01280039813</v>
      </c>
      <c r="L33" s="27" t="str">
        <f>IF(OR($Q$17=0,INDEX('قاعدة البيانات'!$H$6:$H$305,$Q$17)=""),"",HYPERLINK("https://wa.me/20"&amp;RIGHT(INDEX('قاعدة البيانات'!$H$6:$H$305,$Q$17),10),"💬 واتساب"))</f>
        <v>💬 واتساب</v>
      </c>
      <c r="P33">
        <v>25</v>
      </c>
      <c r="Q33">
        <f>'حضور سوريال'!BL31</f>
        <v>0</v>
      </c>
      <c r="R33" t="str">
        <f>IF(Q33=0,"",INDEX('قاعدة البيانات'!$D$6:$D$305,Q33))</f>
        <v/>
      </c>
      <c r="S33">
        <f>'حضور سوريال'!BM31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01285721261</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01272167444</v>
      </c>
      <c r="H34" s="27" t="str">
        <f>IF(OR($Q$16=0,INDEX('قاعدة البيانات'!$I$6:$I$305,$Q$16)=""),"",HYPERLINK("https://wa.me/20"&amp;RIGHT(INDEX('قاعدة البيانات'!$I$6:$I$305,$Q$16),10),"💬 واتساب"))</f>
        <v>💬 واتساب</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سوريال'!BL32</f>
        <v>0</v>
      </c>
      <c r="R34" t="str">
        <f>IF(Q34=0,"",INDEX('قاعدة البيانات'!$D$6:$D$305,Q34))</f>
        <v/>
      </c>
      <c r="S34">
        <f>'حضور سوريال'!BM32</f>
        <v>0</v>
      </c>
    </row>
    <row r="35" spans="2:19" ht="37.5" customHeight="1">
      <c r="B35" s="80" t="str">
        <f>IF($Q$15=0,"","📍 "&amp;IF(INDEX('قاعدة البيانات'!$J$6:$J$305,$Q$15)="","— مفيش عنوان —",INDEX('قاعدة البيانات'!$J$6:$J$305,$Q$15)))</f>
        <v>📍 23 شارع عاصم، المليحة، حدائق القبة، القاهرة؛ الدور 3</v>
      </c>
      <c r="C35" s="80"/>
      <c r="D35" s="80"/>
      <c r="F35" s="80" t="str">
        <f>IF($Q$16=0,"","📍 "&amp;IF(INDEX('قاعدة البيانات'!$J$6:$J$305,$Q$16)="","— مفيش عنوان —",INDEX('قاعدة البيانات'!$J$6:$J$305,$Q$16)))</f>
        <v>📍 16 شارع فضل دير الملاك، حدائق القبة، القاهرة؛ شقة 15، الدور 9</v>
      </c>
      <c r="G35" s="80"/>
      <c r="H35" s="80"/>
      <c r="J35" s="80" t="str">
        <f>IF($Q$17=0,"","📍 "&amp;IF(INDEX('قاعدة البيانات'!$J$6:$J$305,$Q$17)="","— مفيش عنوان —",INDEX('قاعدة البيانات'!$J$6:$J$305,$Q$17)))</f>
        <v>📍 23 شارع عبد الرحمن السني، عمار بن ياسر، العمرانية، الجيزة؛ شقة 5، الدور 3</v>
      </c>
      <c r="K35" s="80"/>
      <c r="L35" s="80"/>
      <c r="P35">
        <v>27</v>
      </c>
      <c r="Q35">
        <f>'حضور سوريال'!BL33</f>
        <v>0</v>
      </c>
      <c r="R35" t="str">
        <f>IF(Q35=0,"",INDEX('قاعدة البيانات'!$D$6:$D$305,Q35))</f>
        <v/>
      </c>
      <c r="S35">
        <f>'حضور سوريال'!BM33</f>
        <v>0</v>
      </c>
    </row>
    <row r="36" spans="2:19" ht="21.75" customHeight="1">
      <c r="B36" s="75" t="str">
        <f>IF($Q$15=0,"","📊 إحصائيات الحضور")</f>
        <v>📊 إحصائيات الحضور</v>
      </c>
      <c r="C36" s="75"/>
      <c r="D36" s="75"/>
      <c r="F36" s="75" t="str">
        <f>IF($Q$16=0,"","📊 إحصائيات الحضور")</f>
        <v>📊 إحصائيات الحضور</v>
      </c>
      <c r="G36" s="75"/>
      <c r="H36" s="75"/>
      <c r="J36" s="75" t="str">
        <f>IF($Q$17=0,"","📊 إحصائيات الحضور")</f>
        <v>📊 إحصائيات الحضور</v>
      </c>
      <c r="K36" s="75"/>
      <c r="L36" s="75"/>
      <c r="P36">
        <v>28</v>
      </c>
      <c r="Q36">
        <f>'حضور سوريال'!BL34</f>
        <v>0</v>
      </c>
      <c r="R36" t="str">
        <f>IF(Q36=0,"",INDEX('قاعدة البيانات'!$D$6:$D$305,Q36))</f>
        <v/>
      </c>
      <c r="S36">
        <f>'حضور سوريال'!BM34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سوريال'!BL35</f>
        <v>0</v>
      </c>
      <c r="R37" t="str">
        <f>IF(Q37=0,"",INDEX('قاعدة البيانات'!$D$6:$D$305,Q37))</f>
        <v/>
      </c>
      <c r="S37">
        <f>'حضور سوريال'!BM35</f>
        <v>0</v>
      </c>
    </row>
    <row r="38" spans="2:19" ht="33.75" customHeight="1">
      <c r="B38" s="29">
        <f>'حضور سوريال'!C13</f>
        <v>0</v>
      </c>
      <c r="C38" s="30">
        <f>'حضور سوريال'!D13</f>
        <v>0</v>
      </c>
      <c r="D38" s="31" t="str">
        <f>'حضور سوريال'!F13</f>
        <v/>
      </c>
      <c r="F38" s="29">
        <f>'حضور سوريال'!C14</f>
        <v>0</v>
      </c>
      <c r="G38" s="30">
        <f>'حضور سوريال'!D14</f>
        <v>0</v>
      </c>
      <c r="H38" s="31" t="str">
        <f>'حضور سوريال'!F14</f>
        <v/>
      </c>
      <c r="J38" s="29">
        <f>'حضور سوريال'!C15</f>
        <v>0</v>
      </c>
      <c r="K38" s="30">
        <f>'حضور سوريال'!D15</f>
        <v>0</v>
      </c>
      <c r="L38" s="31" t="str">
        <f>'حضور سوريال'!F15</f>
        <v/>
      </c>
      <c r="P38">
        <v>30</v>
      </c>
      <c r="Q38">
        <f>'حضور سوريال'!BL36</f>
        <v>0</v>
      </c>
      <c r="R38" t="str">
        <f>IF(Q38=0,"",INDEX('قاعدة البيانات'!$D$6:$D$305,Q38))</f>
        <v/>
      </c>
      <c r="S38">
        <f>'حضور سوريال'!BM36</f>
        <v>0</v>
      </c>
    </row>
    <row r="39" spans="2:19" ht="24" customHeight="1">
      <c r="B39" s="76" t="str">
        <f>'حضور سوريال'!I13</f>
        <v>⏳ لسه مفيش حضور</v>
      </c>
      <c r="C39" s="76"/>
      <c r="D39" s="76"/>
      <c r="F39" s="76" t="str">
        <f>'حضور سوريال'!I14</f>
        <v>⏳ لسه مفيش حضور</v>
      </c>
      <c r="G39" s="76"/>
      <c r="H39" s="76"/>
      <c r="J39" s="76" t="str">
        <f>'حضور سوريال'!I15</f>
        <v>⏳ لسه مفيش حضور</v>
      </c>
      <c r="K39" s="76"/>
      <c r="L39" s="76"/>
    </row>
    <row r="40" spans="2:19" ht="19.5" customHeight="1">
      <c r="B40" s="77" t="str">
        <f>IF($Q$15=0,"","🗓️ آخر حضور: "&amp;IF(ISNUMBER('حضور سوريال'!H13),DAY('حضور سوريال'!H13)&amp;"/"&amp;MONTH('حضور سوريال'!H13)&amp;"/"&amp;YEAR('حضور سوريال'!H13),"—")&amp;"   •   غياب متتالي: "&amp;'حضور سوريال'!G13)</f>
        <v>🗓️ آخر حضور: —   •   غياب متتالي: 0</v>
      </c>
      <c r="C40" s="77"/>
      <c r="D40" s="77"/>
      <c r="F40" s="77" t="str">
        <f>IF($Q$16=0,"","🗓️ آخر حضور: "&amp;IF(ISNUMBER('حضور سوريال'!H14),DAY('حضور سوريال'!H14)&amp;"/"&amp;MONTH('حضور سوريال'!H14)&amp;"/"&amp;YEAR('حضور سوريال'!H14),"—")&amp;"   •   غياب متتالي: "&amp;'حضور سوريال'!G14)</f>
        <v>🗓️ آخر حضور: —   •   غياب متتالي: 0</v>
      </c>
      <c r="G40" s="77"/>
      <c r="H40" s="77"/>
      <c r="J40" s="77" t="str">
        <f>IF($Q$17=0,"","🗓️ آخر حضور: "&amp;IF(ISNUMBER('حضور سوريال'!H15),DAY('حضور سوريال'!H15)&amp;"/"&amp;MONTH('حضور سوريال'!H15)&amp;"/"&amp;YEAR('حضور سوريال'!H15),"—")&amp;"   •   غياب متتالي: "&amp;'حضور سوريال'!G15)</f>
        <v>🗓️ آخر حضور: —   •   غياب متتالي: 0</v>
      </c>
      <c r="K40" s="77"/>
      <c r="L40" s="77"/>
    </row>
    <row r="41" spans="2:19" ht="13.5" customHeight="1"/>
    <row r="42" spans="2:19" ht="30" customHeight="1">
      <c r="B42" s="78" t="str">
        <f>IF($Q$18=0,"",IF(INDEX('قاعدة البيانات'!$D$6:$D$305,$Q$18)="بنت","👧 ","👦 ")&amp;INDEX('قاعدة البيانات'!$C$6:$C$305,$Q$18))</f>
        <v>👦 مارسيلينو جرجس روماني حبيب</v>
      </c>
      <c r="C42" s="78"/>
      <c r="D42" s="78"/>
      <c r="F42" s="78" t="str">
        <f>IF($Q$19=0,"",IF(INDEX('قاعدة البيانات'!$D$6:$D$305,$Q$19)="بنت","👧 ","👦 ")&amp;INDEX('قاعدة البيانات'!$C$6:$C$305,$Q$19))</f>
        <v>👧 جاسيكا صموئيل شكر الله</v>
      </c>
      <c r="G42" s="78"/>
      <c r="H42" s="78"/>
      <c r="J42" s="78" t="str">
        <f>IF($Q$20=0,"",IF(INDEX('قاعدة البيانات'!$D$6:$D$305,$Q$20)="بنت","👧 ","👦 ")&amp;INDEX('قاعدة البيانات'!$C$6:$C$305,$Q$20))</f>
        <v>👦 باتريك بولا عطا الله</v>
      </c>
      <c r="K42" s="78"/>
      <c r="L42" s="78"/>
    </row>
    <row r="43" spans="2:19" ht="108" customHeight="1">
      <c r="B43" s="24" t="e" vm="34">
        <f>IF($Q$18=0,"",IF(ISBLANK(INDEX('قاعدة البيانات'!$K$6:$K$305,$Q$18)),LEFT(INDEX('قاعدة البيانات'!$C$6:$C$305,$Q$18),1),INDEX('قاعدة البيانات'!$K$6:$K$305,$Q$18)))</f>
        <v>#VALUE!</v>
      </c>
      <c r="C43" s="79"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B-034
🎓 سنة تانية
🚶 يروح لوحده: —
📝 مفيش ملاحظات</v>
      </c>
      <c r="D43" s="79"/>
      <c r="F43" s="24" t="str">
        <f>IF($Q$19=0,"",IF(ISBLANK(INDEX('قاعدة البيانات'!$K$6:$K$305,$Q$19)),LEFT(INDEX('قاعدة البيانات'!$C$6:$C$305,$Q$19),1),INDEX('قاعدة البيانات'!$K$6:$K$305,$Q$19)))</f>
        <v>ج</v>
      </c>
      <c r="G43" s="79"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B-035
🎓 سنة تانية
🚶 يروح لوحده: —
📝 مفيش ملاحظات</v>
      </c>
      <c r="H43" s="79"/>
      <c r="J43" s="24" t="str">
        <f>IF($Q$20=0,"",IF(ISBLANK(INDEX('قاعدة البيانات'!$K$6:$K$305,$Q$20)),LEFT(INDEX('قاعدة البيانات'!$C$6:$C$305,$Q$20),1),INDEX('قاعدة البيانات'!$K$6:$K$305,$Q$20)))</f>
        <v>ب</v>
      </c>
      <c r="K43" s="79"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B-036
🎓 سنة تانية
🚶 يروح لوحده: —
📝 مفيش ملاحظات</v>
      </c>
      <c r="L43" s="79"/>
    </row>
    <row r="44" spans="2:19" ht="24" customHeight="1">
      <c r="B44" s="25" t="str">
        <f>IF($Q$18=0,"","👩 ماما")</f>
        <v>👩 ماما</v>
      </c>
      <c r="C44" s="26" t="str">
        <f>IF($Q$18=0,"",IF(INDEX('قاعدة البيانات'!$H$6:$H$305,$Q$18)="","— مفيش رقم —",HYPERLINK("tel:"&amp;INDEX('قاعدة البيانات'!$H$6:$H$305,$Q$18),"📞 "&amp;INDEX('قاعدة البيانات'!$H$6:$H$305,$Q$18))))</f>
        <v>📞 01020032613</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01202234121</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01284074874</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01283206525</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01277714878</v>
      </c>
      <c r="L45" s="27" t="str">
        <f>IF(OR($Q$20=0,INDEX('قاعدة البيانات'!$I$6:$I$305,$Q$20)=""),"",HYPERLINK("https://wa.me/20"&amp;RIGHT(INDEX('قاعدة البيانات'!$I$6:$I$305,$Q$20),10),"💬 واتساب"))</f>
        <v>💬 واتساب</v>
      </c>
    </row>
    <row r="46" spans="2:19" ht="37.5" customHeight="1">
      <c r="B46" s="80" t="str">
        <f>IF($Q$18=0,"","📍 "&amp;IF(INDEX('قاعدة البيانات'!$J$6:$J$305,$Q$18)="","— مفيش عنوان —",INDEX('قاعدة البيانات'!$J$6:$J$305,$Q$18)))</f>
        <v>📍 18 شارع أحمد محمد فرج، منطقة 5، المليحة، حدائق القبة، القاهرة؛ شقة 1، الدور 4</v>
      </c>
      <c r="C46" s="80"/>
      <c r="D46" s="80"/>
      <c r="F46" s="80" t="str">
        <f>IF($Q$19=0,"","📍 "&amp;IF(INDEX('قاعدة البيانات'!$J$6:$J$305,$Q$19)="","— مفيش عنوان —",INDEX('قاعدة البيانات'!$J$6:$J$305,$Q$19)))</f>
        <v>📍 7 شارع أبو طه، متفرع من الفريد، عزبة النخل، القاهرة؛ شقة 2، الدور 3</v>
      </c>
      <c r="G46" s="80"/>
      <c r="H46" s="80"/>
      <c r="J46" s="80" t="str">
        <f>IF($Q$20=0,"","📍 "&amp;IF(INDEX('قاعدة البيانات'!$J$6:$J$305,$Q$20)="","— مفيش عنوان —",INDEX('قاعدة البيانات'!$J$6:$J$305,$Q$20)))</f>
        <v>📍 22 شارع دياب فهمي، المليحة، حدائق القبة، القاهرة؛ الدور 4</v>
      </c>
      <c r="K46" s="80"/>
      <c r="L46" s="80"/>
    </row>
    <row r="47" spans="2:19" ht="21.75" customHeight="1">
      <c r="B47" s="75" t="str">
        <f>IF($Q$18=0,"","📊 إحصائيات الحضور")</f>
        <v>📊 إحصائيات الحضور</v>
      </c>
      <c r="C47" s="75"/>
      <c r="D47" s="75"/>
      <c r="F47" s="75" t="str">
        <f>IF($Q$19=0,"","📊 إحصائيات الحضور")</f>
        <v>📊 إحصائيات الحضور</v>
      </c>
      <c r="G47" s="75"/>
      <c r="H47" s="75"/>
      <c r="J47" s="75" t="str">
        <f>IF($Q$20=0,"","📊 إحصائيات الحضور")</f>
        <v>📊 إحصائيات الحضور</v>
      </c>
      <c r="K47" s="75"/>
      <c r="L47" s="75"/>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سوريال'!C16</f>
        <v>0</v>
      </c>
      <c r="C49" s="30">
        <f>'حضور سوريال'!D16</f>
        <v>0</v>
      </c>
      <c r="D49" s="31" t="str">
        <f>'حضور سوريال'!F16</f>
        <v/>
      </c>
      <c r="F49" s="29">
        <f>'حضور سوريال'!C17</f>
        <v>0</v>
      </c>
      <c r="G49" s="30">
        <f>'حضور سوريال'!D17</f>
        <v>0</v>
      </c>
      <c r="H49" s="31" t="str">
        <f>'حضور سوريال'!F17</f>
        <v/>
      </c>
      <c r="J49" s="29">
        <f>'حضور سوريال'!C18</f>
        <v>0</v>
      </c>
      <c r="K49" s="30">
        <f>'حضور سوريال'!D18</f>
        <v>0</v>
      </c>
      <c r="L49" s="31" t="str">
        <f>'حضور سوريال'!F18</f>
        <v/>
      </c>
    </row>
    <row r="50" spans="2:12" ht="24" customHeight="1">
      <c r="B50" s="76" t="str">
        <f>'حضور سوريال'!I16</f>
        <v>⏳ لسه مفيش حضور</v>
      </c>
      <c r="C50" s="76"/>
      <c r="D50" s="76"/>
      <c r="F50" s="76" t="str">
        <f>'حضور سوريال'!I17</f>
        <v>⏳ لسه مفيش حضور</v>
      </c>
      <c r="G50" s="76"/>
      <c r="H50" s="76"/>
      <c r="J50" s="76" t="str">
        <f>'حضور سوريال'!I18</f>
        <v>⏳ لسه مفيش حضور</v>
      </c>
      <c r="K50" s="76"/>
      <c r="L50" s="76"/>
    </row>
    <row r="51" spans="2:12" ht="19.5" customHeight="1">
      <c r="B51" s="77" t="str">
        <f>IF($Q$18=0,"","🗓️ آخر حضور: "&amp;IF(ISNUMBER('حضور سوريال'!H16),DAY('حضور سوريال'!H16)&amp;"/"&amp;MONTH('حضور سوريال'!H16)&amp;"/"&amp;YEAR('حضور سوريال'!H16),"—")&amp;"   •   غياب متتالي: "&amp;'حضور سوريال'!G16)</f>
        <v>🗓️ آخر حضور: —   •   غياب متتالي: 0</v>
      </c>
      <c r="C51" s="77"/>
      <c r="D51" s="77"/>
      <c r="F51" s="77" t="str">
        <f>IF($Q$19=0,"","🗓️ آخر حضور: "&amp;IF(ISNUMBER('حضور سوريال'!H17),DAY('حضور سوريال'!H17)&amp;"/"&amp;MONTH('حضور سوريال'!H17)&amp;"/"&amp;YEAR('حضور سوريال'!H17),"—")&amp;"   •   غياب متتالي: "&amp;'حضور سوريال'!G17)</f>
        <v>🗓️ آخر حضور: —   •   غياب متتالي: 0</v>
      </c>
      <c r="G51" s="77"/>
      <c r="H51" s="77"/>
      <c r="J51" s="77" t="str">
        <f>IF($Q$20=0,"","🗓️ آخر حضور: "&amp;IF(ISNUMBER('حضور سوريال'!H18),DAY('حضور سوريال'!H18)&amp;"/"&amp;MONTH('حضور سوريال'!H18)&amp;"/"&amp;YEAR('حضور سوريال'!H18),"—")&amp;"   •   غياب متتالي: "&amp;'حضور سوريال'!G18)</f>
        <v>🗓️ آخر حضور: —   •   غياب متتالي: 0</v>
      </c>
      <c r="K51" s="77"/>
      <c r="L51" s="77"/>
    </row>
    <row r="52" spans="2:12" ht="13.5" customHeight="1"/>
    <row r="53" spans="2:12" ht="30" customHeight="1">
      <c r="B53" s="78" t="str">
        <f>IF($Q$21=0,"",IF(INDEX('قاعدة البيانات'!$D$6:$D$305,$Q$21)="بنت","👧 ","👦 ")&amp;INDEX('قاعدة البيانات'!$C$6:$C$305,$Q$21))</f>
        <v>👧 كنده بيشوي سامي</v>
      </c>
      <c r="C53" s="78"/>
      <c r="D53" s="78"/>
      <c r="F53" s="78" t="str">
        <f>IF($Q$22=0,"",IF(INDEX('قاعدة البيانات'!$D$6:$D$305,$Q$22)="بنت","👧 ","👦 ")&amp;INDEX('قاعدة البيانات'!$C$6:$C$305,$Q$22))</f>
        <v>👧 إيلاريا أمير رسمي مراد</v>
      </c>
      <c r="G53" s="78"/>
      <c r="H53" s="78"/>
      <c r="J53" s="78" t="str">
        <f>IF($Q$23=0,"",IF(INDEX('قاعدة البيانات'!$D$6:$D$305,$Q$23)="بنت","👧 ","👦 ")&amp;INDEX('قاعدة البيانات'!$C$6:$C$305,$Q$23))</f>
        <v>👦 بولا ميشيل رزق يوسف</v>
      </c>
      <c r="K53" s="78"/>
      <c r="L53" s="78"/>
    </row>
    <row r="54" spans="2:12" ht="108" customHeight="1">
      <c r="B54" s="24" t="e" vm="35">
        <f>IF($Q$21=0,"",IF(ISBLANK(INDEX('قاعدة البيانات'!$K$6:$K$305,$Q$21)),LEFT(INDEX('قاعدة البيانات'!$C$6:$C$305,$Q$21),1),INDEX('قاعدة البيانات'!$K$6:$K$305,$Q$21)))</f>
        <v>#VALUE!</v>
      </c>
      <c r="C54" s="79"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B-037
🎓 سنة تانية
🚶 يروح لوحده: —
📝 مفيش ملاحظات</v>
      </c>
      <c r="D54" s="79"/>
      <c r="F54" s="24" t="str">
        <f>IF($Q$22=0,"",IF(ISBLANK(INDEX('قاعدة البيانات'!$K$6:$K$305,$Q$22)),LEFT(INDEX('قاعدة البيانات'!$C$6:$C$305,$Q$22),1),INDEX('قاعدة البيانات'!$K$6:$K$305,$Q$22)))</f>
        <v>إ</v>
      </c>
      <c r="G54" s="79"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B-038
🎓 سنة تانية
🚶 يروح لوحده: —
📝 مفيش ملاحظات</v>
      </c>
      <c r="H54" s="79"/>
      <c r="J54" s="24" t="str">
        <f>IF($Q$23=0,"",IF(ISBLANK(INDEX('قاعدة البيانات'!$K$6:$K$305,$Q$23)),LEFT(INDEX('قاعدة البيانات'!$C$6:$C$305,$Q$23),1),INDEX('قاعدة البيانات'!$K$6:$K$305,$Q$23)))</f>
        <v>ب</v>
      </c>
      <c r="K54" s="79"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B-039
🎓 سنة تانية
🚶 يروح لوحده: —
📝 مفيش ملاحظات</v>
      </c>
      <c r="L54" s="79"/>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01204337555</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01201002104</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01287025522</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01204337555</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01201682184</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01060867397</v>
      </c>
      <c r="L56" s="27" t="str">
        <f>IF(OR($Q$23=0,INDEX('قاعدة البيانات'!$I$6:$I$305,$Q$23)=""),"",HYPERLINK("https://wa.me/20"&amp;RIGHT(INDEX('قاعدة البيانات'!$I$6:$I$305,$Q$23),10),"💬 واتساب"))</f>
        <v>💬 واتساب</v>
      </c>
    </row>
    <row r="57" spans="2:12" ht="37.5" customHeight="1">
      <c r="B57" s="80" t="str">
        <f>IF($Q$21=0,"","📍 "&amp;IF(INDEX('قاعدة البيانات'!$J$6:$J$305,$Q$21)="","— مفيش عنوان —",INDEX('قاعدة البيانات'!$J$6:$J$305,$Q$21)))</f>
        <v xml:space="preserve">📍 13 شارع الشيخ المنفلوطي، المليحة، حدائق القبة، القاهرة؛ الدور 8، شقة </v>
      </c>
      <c r="C57" s="80"/>
      <c r="D57" s="80"/>
      <c r="F57" s="80" t="str">
        <f>IF($Q$22=0,"","📍 "&amp;IF(INDEX('قاعدة البيانات'!$J$6:$J$305,$Q$22)="","— مفيش عنوان —",INDEX('قاعدة البيانات'!$J$6:$J$305,$Q$22)))</f>
        <v>📍 17 شارع صليب نخلة، المليحة، حدائق القبة، القاهرة؛ شقة 2، الدور 2</v>
      </c>
      <c r="G57" s="80"/>
      <c r="H57" s="80"/>
      <c r="J57" s="80" t="str">
        <f>IF($Q$23=0,"","📍 "&amp;IF(INDEX('قاعدة البيانات'!$J$6:$J$305,$Q$23)="","— مفيش عنوان —",INDEX('قاعدة البيانات'!$J$6:$J$305,$Q$23)))</f>
        <v>📍 11 شارع محمود سامي عامر، المليحة، حدائق القبة، القاهرة؛ الدور 6</v>
      </c>
      <c r="K57" s="80"/>
      <c r="L57" s="80"/>
    </row>
    <row r="58" spans="2:12" ht="21.75" customHeight="1">
      <c r="B58" s="75" t="str">
        <f>IF($Q$21=0,"","📊 إحصائيات الحضور")</f>
        <v>📊 إحصائيات الحضور</v>
      </c>
      <c r="C58" s="75"/>
      <c r="D58" s="75"/>
      <c r="F58" s="75" t="str">
        <f>IF($Q$22=0,"","📊 إحصائيات الحضور")</f>
        <v>📊 إحصائيات الحضور</v>
      </c>
      <c r="G58" s="75"/>
      <c r="H58" s="75"/>
      <c r="J58" s="75" t="str">
        <f>IF($Q$23=0,"","📊 إحصائيات الحضور")</f>
        <v>📊 إحصائيات الحضور</v>
      </c>
      <c r="K58" s="75"/>
      <c r="L58" s="75"/>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سوريال'!C19</f>
        <v>0</v>
      </c>
      <c r="C60" s="30">
        <f>'حضور سوريال'!D19</f>
        <v>0</v>
      </c>
      <c r="D60" s="31" t="str">
        <f>'حضور سوريال'!F19</f>
        <v/>
      </c>
      <c r="F60" s="29">
        <f>'حضور سوريال'!C20</f>
        <v>0</v>
      </c>
      <c r="G60" s="30">
        <f>'حضور سوريال'!D20</f>
        <v>0</v>
      </c>
      <c r="H60" s="31" t="str">
        <f>'حضور سوريال'!F20</f>
        <v/>
      </c>
      <c r="J60" s="29">
        <f>'حضور سوريال'!C21</f>
        <v>0</v>
      </c>
      <c r="K60" s="30">
        <f>'حضور سوريال'!D21</f>
        <v>0</v>
      </c>
      <c r="L60" s="31" t="str">
        <f>'حضور سوريال'!F21</f>
        <v/>
      </c>
    </row>
    <row r="61" spans="2:12" ht="24" customHeight="1">
      <c r="B61" s="76" t="str">
        <f>'حضور سوريال'!I19</f>
        <v>⏳ لسه مفيش حضور</v>
      </c>
      <c r="C61" s="76"/>
      <c r="D61" s="76"/>
      <c r="F61" s="76" t="str">
        <f>'حضور سوريال'!I20</f>
        <v>⏳ لسه مفيش حضور</v>
      </c>
      <c r="G61" s="76"/>
      <c r="H61" s="76"/>
      <c r="J61" s="76" t="str">
        <f>'حضور سوريال'!I21</f>
        <v>⏳ لسه مفيش حضور</v>
      </c>
      <c r="K61" s="76"/>
      <c r="L61" s="76"/>
    </row>
    <row r="62" spans="2:12" ht="19.5" customHeight="1">
      <c r="B62" s="77" t="str">
        <f>IF($Q$21=0,"","🗓️ آخر حضور: "&amp;IF(ISNUMBER('حضور سوريال'!H19),DAY('حضور سوريال'!H19)&amp;"/"&amp;MONTH('حضور سوريال'!H19)&amp;"/"&amp;YEAR('حضور سوريال'!H19),"—")&amp;"   •   غياب متتالي: "&amp;'حضور سوريال'!G19)</f>
        <v>🗓️ آخر حضور: —   •   غياب متتالي: 0</v>
      </c>
      <c r="C62" s="77"/>
      <c r="D62" s="77"/>
      <c r="F62" s="77" t="str">
        <f>IF($Q$22=0,"","🗓️ آخر حضور: "&amp;IF(ISNUMBER('حضور سوريال'!H20),DAY('حضور سوريال'!H20)&amp;"/"&amp;MONTH('حضور سوريال'!H20)&amp;"/"&amp;YEAR('حضور سوريال'!H20),"—")&amp;"   •   غياب متتالي: "&amp;'حضور سوريال'!G20)</f>
        <v>🗓️ آخر حضور: —   •   غياب متتالي: 0</v>
      </c>
      <c r="G62" s="77"/>
      <c r="H62" s="77"/>
      <c r="J62" s="77" t="str">
        <f>IF($Q$23=0,"","🗓️ آخر حضور: "&amp;IF(ISNUMBER('حضور سوريال'!H21),DAY('حضور سوريال'!H21)&amp;"/"&amp;MONTH('حضور سوريال'!H21)&amp;"/"&amp;YEAR('حضور سوريال'!H21),"—")&amp;"   •   غياب متتالي: "&amp;'حضور سوريال'!G21)</f>
        <v>🗓️ آخر حضور: —   •   غياب متتالي: 0</v>
      </c>
      <c r="K62" s="77"/>
      <c r="L62" s="77"/>
    </row>
    <row r="63" spans="2:12" ht="13.5" customHeight="1"/>
    <row r="64" spans="2:12" ht="30" customHeight="1">
      <c r="B64" s="78" t="str">
        <f>IF($Q$24=0,"",IF(INDEX('قاعدة البيانات'!$D$6:$D$305,$Q$24)="بنت","👧 ","👦 ")&amp;INDEX('قاعدة البيانات'!$C$6:$C$305,$Q$24))</f>
        <v>👦 كريس فيكتور الشحات</v>
      </c>
      <c r="C64" s="78"/>
      <c r="D64" s="78"/>
      <c r="F64" s="78" t="str">
        <f>IF($Q$25=0,"",IF(INDEX('قاعدة البيانات'!$D$6:$D$305,$Q$25)="بنت","👧 ","👦 ")&amp;INDEX('قاعدة البيانات'!$C$6:$C$305,$Q$25))</f>
        <v>👧 مريم نادر امين يعقوب حنا</v>
      </c>
      <c r="G64" s="78"/>
      <c r="H64" s="78"/>
      <c r="J64" s="78" t="str">
        <f>IF($Q$26=0,"",IF(INDEX('قاعدة البيانات'!$D$6:$D$305,$Q$26)="بنت","👧 ","👦 ")&amp;INDEX('قاعدة البيانات'!$C$6:$C$305,$Q$26))</f>
        <v>👧 كيريا مدحت كمال قاعود</v>
      </c>
      <c r="K64" s="78"/>
      <c r="L64" s="78"/>
    </row>
    <row r="65" spans="2:12" ht="108" customHeight="1">
      <c r="B65" s="24" t="e" vm="36">
        <f>IF($Q$24=0,"",IF(ISBLANK(INDEX('قاعدة البيانات'!$K$6:$K$305,$Q$24)),LEFT(INDEX('قاعدة البيانات'!$C$6:$C$305,$Q$24),1),INDEX('قاعدة البيانات'!$K$6:$K$305,$Q$24)))</f>
        <v>#VALUE!</v>
      </c>
      <c r="C65" s="79"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B-040
🎓 سنة تانية
🚶 يروح لوحده: —
📝 مفيش ملاحظات</v>
      </c>
      <c r="D65" s="79"/>
      <c r="F65" s="24" t="e" vm="37">
        <f>IF($Q$25=0,"",IF(ISBLANK(INDEX('قاعدة البيانات'!$K$6:$K$305,$Q$25)),LEFT(INDEX('قاعدة البيانات'!$C$6:$C$305,$Q$25),1),INDEX('قاعدة البيانات'!$K$6:$K$305,$Q$25)))</f>
        <v>#VALUE!</v>
      </c>
      <c r="G65" s="79"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B-041
🎓 سنة تانية
🚶 يروح لوحده: —
📝 مفيش ملاحظات</v>
      </c>
      <c r="H65" s="79"/>
      <c r="J65" s="24" t="e" vm="38">
        <f>IF($Q$26=0,"",IF(ISBLANK(INDEX('قاعدة البيانات'!$K$6:$K$305,$Q$26)),LEFT(INDEX('قاعدة البيانات'!$C$6:$C$305,$Q$26),1),INDEX('قاعدة البيانات'!$K$6:$K$305,$Q$26)))</f>
        <v>#VALUE!</v>
      </c>
      <c r="K65" s="79"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B-042
🎓 سنة تانية
🚶 يروح لوحده: —
📝 مفيش ملاحظات</v>
      </c>
      <c r="L65" s="79"/>
    </row>
    <row r="66" spans="2:12" ht="24" customHeight="1">
      <c r="B66" s="25" t="str">
        <f>IF($Q$24=0,"","👩 ماما")</f>
        <v>👩 ماما</v>
      </c>
      <c r="C66" s="26" t="str">
        <f>IF($Q$24=0,"",IF(INDEX('قاعدة البيانات'!$H$6:$H$305,$Q$24)="","— مفيش رقم —",HYPERLINK("tel:"&amp;INDEX('قاعدة البيانات'!$H$6:$H$305,$Q$24),"📞 "&amp;INDEX('قاعدة البيانات'!$H$6:$H$305,$Q$24))))</f>
        <v>📞 01094784210</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01287124772</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01284238840</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01206016411</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01227021759</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01206387683</v>
      </c>
      <c r="L67" s="27" t="str">
        <f>IF(OR($Q$26=0,INDEX('قاعدة البيانات'!$I$6:$I$305,$Q$26)=""),"",HYPERLINK("https://wa.me/20"&amp;RIGHT(INDEX('قاعدة البيانات'!$I$6:$I$305,$Q$26),10),"💬 واتساب"))</f>
        <v>💬 واتساب</v>
      </c>
    </row>
    <row r="68" spans="2:12" ht="37.5" customHeight="1">
      <c r="B68" s="80" t="str">
        <f>IF($Q$24=0,"","📍 "&amp;IF(INDEX('قاعدة البيانات'!$J$6:$J$305,$Q$24)="","— مفيش عنوان —",INDEX('قاعدة البيانات'!$J$6:$J$305,$Q$24)))</f>
        <v>📍 17 شارع أحمد رشاد، النزهة، الإسكندرية؛ شقة 21، الدور 6</v>
      </c>
      <c r="C68" s="80"/>
      <c r="D68" s="80"/>
      <c r="F68" s="80" t="str">
        <f>IF($Q$25=0,"","📍 "&amp;IF(INDEX('قاعدة البيانات'!$J$6:$J$305,$Q$25)="","— مفيش عنوان —",INDEX('قاعدة البيانات'!$J$6:$J$305,$Q$25)))</f>
        <v>📍 24 شارع سعيد علي أحمد، المليحة، حدائق القبة، القاهرة</v>
      </c>
      <c r="G68" s="80"/>
      <c r="H68" s="80"/>
      <c r="J68" s="80" t="str">
        <f>IF($Q$26=0,"","📍 "&amp;IF(INDEX('قاعدة البيانات'!$J$6:$J$305,$Q$26)="","— مفيش عنوان —",INDEX('قاعدة البيانات'!$J$6:$J$305,$Q$26)))</f>
        <v>📍 3 شارع حسين العقبى، المليحة، حدائق القبة، القاهرة؛ الدور 4</v>
      </c>
      <c r="K68" s="80"/>
      <c r="L68" s="80"/>
    </row>
    <row r="69" spans="2:12" ht="21.75" customHeight="1">
      <c r="B69" s="75" t="str">
        <f>IF($Q$24=0,"","📊 إحصائيات الحضور")</f>
        <v>📊 إحصائيات الحضور</v>
      </c>
      <c r="C69" s="75"/>
      <c r="D69" s="75"/>
      <c r="F69" s="75" t="str">
        <f>IF($Q$25=0,"","📊 إحصائيات الحضور")</f>
        <v>📊 إحصائيات الحضور</v>
      </c>
      <c r="G69" s="75"/>
      <c r="H69" s="75"/>
      <c r="J69" s="75" t="str">
        <f>IF($Q$26=0,"","📊 إحصائيات الحضور")</f>
        <v>📊 إحصائيات الحضور</v>
      </c>
      <c r="K69" s="75"/>
      <c r="L69" s="75"/>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سوريال'!C22</f>
        <v>0</v>
      </c>
      <c r="C71" s="30">
        <f>'حضور سوريال'!D22</f>
        <v>0</v>
      </c>
      <c r="D71" s="31" t="str">
        <f>'حضور سوريال'!F22</f>
        <v/>
      </c>
      <c r="F71" s="29">
        <f>'حضور سوريال'!C23</f>
        <v>0</v>
      </c>
      <c r="G71" s="30">
        <f>'حضور سوريال'!D23</f>
        <v>0</v>
      </c>
      <c r="H71" s="31" t="str">
        <f>'حضور سوريال'!F23</f>
        <v/>
      </c>
      <c r="J71" s="29">
        <f>'حضور سوريال'!C24</f>
        <v>0</v>
      </c>
      <c r="K71" s="30">
        <f>'حضور سوريال'!D24</f>
        <v>0</v>
      </c>
      <c r="L71" s="31" t="str">
        <f>'حضور سوريال'!F24</f>
        <v/>
      </c>
    </row>
    <row r="72" spans="2:12" ht="24" customHeight="1">
      <c r="B72" s="76" t="str">
        <f>'حضور سوريال'!I22</f>
        <v>⏳ لسه مفيش حضور</v>
      </c>
      <c r="C72" s="76"/>
      <c r="D72" s="76"/>
      <c r="F72" s="76" t="str">
        <f>'حضور سوريال'!I23</f>
        <v>⏳ لسه مفيش حضور</v>
      </c>
      <c r="G72" s="76"/>
      <c r="H72" s="76"/>
      <c r="J72" s="76" t="str">
        <f>'حضور سوريال'!I24</f>
        <v>⏳ لسه مفيش حضور</v>
      </c>
      <c r="K72" s="76"/>
      <c r="L72" s="76"/>
    </row>
    <row r="73" spans="2:12" ht="19.5" customHeight="1">
      <c r="B73" s="77" t="str">
        <f>IF($Q$24=0,"","🗓️ آخر حضور: "&amp;IF(ISNUMBER('حضور سوريال'!H22),DAY('حضور سوريال'!H22)&amp;"/"&amp;MONTH('حضور سوريال'!H22)&amp;"/"&amp;YEAR('حضور سوريال'!H22),"—")&amp;"   •   غياب متتالي: "&amp;'حضور سوريال'!G22)</f>
        <v>🗓️ آخر حضور: —   •   غياب متتالي: 0</v>
      </c>
      <c r="C73" s="77"/>
      <c r="D73" s="77"/>
      <c r="F73" s="77" t="str">
        <f>IF($Q$25=0,"","🗓️ آخر حضور: "&amp;IF(ISNUMBER('حضور سوريال'!H23),DAY('حضور سوريال'!H23)&amp;"/"&amp;MONTH('حضور سوريال'!H23)&amp;"/"&amp;YEAR('حضور سوريال'!H23),"—")&amp;"   •   غياب متتالي: "&amp;'حضور سوريال'!G23)</f>
        <v>🗓️ آخر حضور: —   •   غياب متتالي: 0</v>
      </c>
      <c r="G73" s="77"/>
      <c r="H73" s="77"/>
      <c r="J73" s="77" t="str">
        <f>IF($Q$26=0,"","🗓️ آخر حضور: "&amp;IF(ISNUMBER('حضور سوريال'!H24),DAY('حضور سوريال'!H24)&amp;"/"&amp;MONTH('حضور سوريال'!H24)&amp;"/"&amp;YEAR('حضور سوريال'!H24),"—")&amp;"   •   غياب متتالي: "&amp;'حضور سوريال'!G24)</f>
        <v>🗓️ آخر حضور: —   •   غياب متتالي: 0</v>
      </c>
      <c r="K73" s="77"/>
      <c r="L73" s="77"/>
    </row>
    <row r="74" spans="2:12" ht="13.5" customHeight="1"/>
    <row r="75" spans="2:12" ht="30" customHeight="1">
      <c r="B75" s="78" t="str">
        <f>IF($Q$27=0,"",IF(INDEX('قاعدة البيانات'!$D$6:$D$305,$Q$27)="بنت","👧 ","👦 ")&amp;INDEX('قاعدة البيانات'!$C$6:$C$305,$Q$27))</f>
        <v>👦 تونی رومانی فخرى فرهود</v>
      </c>
      <c r="C75" s="78"/>
      <c r="D75" s="78"/>
      <c r="F75" s="78" t="str">
        <f>IF($Q$28=0,"",IF(INDEX('قاعدة البيانات'!$D$6:$D$305,$Q$28)="بنت","👧 ","👦 ")&amp;INDEX('قاعدة البيانات'!$C$6:$C$305,$Q$28))</f>
        <v>👧 مارتسيا سامح ميلاد</v>
      </c>
      <c r="G75" s="78"/>
      <c r="H75" s="78"/>
      <c r="J75" s="78" t="str">
        <f>IF($Q$29=0,"",IF(INDEX('قاعدة البيانات'!$D$6:$D$305,$Q$29)="بنت","👧 ","👦 ")&amp;INDEX('قاعدة البيانات'!$C$6:$C$305,$Q$29))</f>
        <v>👦 ماثيو مينا مجدى</v>
      </c>
      <c r="K75" s="78"/>
      <c r="L75" s="78"/>
    </row>
    <row r="76" spans="2:12" ht="108" customHeight="1">
      <c r="B76" s="24" t="e" vm="39">
        <f>IF($Q$27=0,"",IF(ISBLANK(INDEX('قاعدة البيانات'!$K$6:$K$305,$Q$27)),LEFT(INDEX('قاعدة البيانات'!$C$6:$C$305,$Q$27),1),INDEX('قاعدة البيانات'!$K$6:$K$305,$Q$27)))</f>
        <v>#VALUE!</v>
      </c>
      <c r="C76" s="79"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B-043
🎓 سنة تانية
🚶 يروح لوحده: —
📝 مفيش ملاحظات</v>
      </c>
      <c r="D76" s="79"/>
      <c r="F76" s="24" t="str">
        <f>IF($Q$28=0,"",IF(ISBLANK(INDEX('قاعدة البيانات'!$K$6:$K$305,$Q$28)),LEFT(INDEX('قاعدة البيانات'!$C$6:$C$305,$Q$28),1),INDEX('قاعدة البيانات'!$K$6:$K$305,$Q$28)))</f>
        <v>م</v>
      </c>
      <c r="G76" s="79"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B-044
🎓 سنة تانية
🚶 يروح لوحده: —
📝 مفيش ملاحظات</v>
      </c>
      <c r="H76" s="79"/>
      <c r="J76" s="24" t="str">
        <f>IF($Q$29=0,"",IF(ISBLANK(INDEX('قاعدة البيانات'!$K$6:$K$305,$Q$29)),LEFT(INDEX('قاعدة البيانات'!$C$6:$C$305,$Q$29),1),INDEX('قاعدة البيانات'!$K$6:$K$305,$Q$29)))</f>
        <v>م</v>
      </c>
      <c r="K76" s="79"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B-045
🎓 سنة تانية
🚶 يروح لوحده: —
📝 مفيش ملاحظات</v>
      </c>
      <c r="L76" s="79"/>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01227395565</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01201432926</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01208403031</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01276392214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01201432926</v>
      </c>
      <c r="H78" s="27" t="str">
        <f>IF(OR($Q$28=0,INDEX('قاعدة البيانات'!$I$6:$I$305,$Q$28)=""),"",HYPERLINK("https://wa.me/20"&amp;RIGHT(INDEX('قاعدة البيانات'!$I$6:$I$305,$Q$28),10),"💬 واتساب"))</f>
        <v>💬 واتساب</v>
      </c>
      <c r="J78" s="25" t="str">
        <f>IF($Q$29=0,"","👨 بابا")</f>
        <v>👨 بابا</v>
      </c>
      <c r="K78" s="26" t="str">
        <f>IF($Q$29=0,"",IF(INDEX('قاعدة البيانات'!$I$6:$I$305,$Q$29)="","— مفيش رقم —",HYPERLINK("tel:"&amp;INDEX('قاعدة البيانات'!$I$6:$I$305,$Q$29),"📞 "&amp;INDEX('قاعدة البيانات'!$I$6:$I$305,$Q$29))))</f>
        <v>📞 01208403031</v>
      </c>
      <c r="L78" s="27" t="str">
        <f>IF(OR($Q$29=0,INDEX('قاعدة البيانات'!$I$6:$I$305,$Q$29)=""),"",HYPERLINK("https://wa.me/20"&amp;RIGHT(INDEX('قاعدة البيانات'!$I$6:$I$305,$Q$29),10),"💬 واتساب"))</f>
        <v>💬 واتساب</v>
      </c>
    </row>
    <row r="79" spans="2:12" ht="37.5" customHeight="1">
      <c r="B79" s="80" t="str">
        <f>IF($Q$27=0,"","📍 "&amp;IF(INDEX('قاعدة البيانات'!$J$6:$J$305,$Q$27)="","— مفيش عنوان —",INDEX('قاعدة البيانات'!$J$6:$J$305,$Q$27)))</f>
        <v>📍 22 شارع علي شعراوي، المليحة، حدائق القبة، القاهرة؛ الدور 2، شقة 8</v>
      </c>
      <c r="C79" s="80"/>
      <c r="D79" s="80"/>
      <c r="F79" s="80" t="str">
        <f>IF($Q$28=0,"","📍 "&amp;IF(INDEX('قاعدة البيانات'!$J$6:$J$305,$Q$28)="","— مفيش عنوان —",INDEX('قاعدة البيانات'!$J$6:$J$305,$Q$28)))</f>
        <v>📍 15 شارع فوزي كيرلس، منطقة 5، المليحة، حدائق القبة، القاهرة؛ الدور 4</v>
      </c>
      <c r="G79" s="80"/>
      <c r="H79" s="80"/>
      <c r="J79" s="80" t="str">
        <f>IF($Q$29=0,"","📍 "&amp;IF(INDEX('قاعدة البيانات'!$J$6:$J$305,$Q$29)="","— مفيش عنوان —",INDEX('قاعدة البيانات'!$J$6:$J$305,$Q$29)))</f>
        <v>📍 12 شارع روفائيل سليمان، المليحة، حدائق القبة، القاهرة؛ شقة 12، الدور 12</v>
      </c>
      <c r="K79" s="80"/>
      <c r="L79" s="80"/>
    </row>
    <row r="80" spans="2:12" ht="21.75" customHeight="1">
      <c r="B80" s="75" t="str">
        <f>IF($Q$27=0,"","📊 إحصائيات الحضور")</f>
        <v>📊 إحصائيات الحضور</v>
      </c>
      <c r="C80" s="75"/>
      <c r="D80" s="75"/>
      <c r="F80" s="75" t="str">
        <f>IF($Q$28=0,"","📊 إحصائيات الحضور")</f>
        <v>📊 إحصائيات الحضور</v>
      </c>
      <c r="G80" s="75"/>
      <c r="H80" s="75"/>
      <c r="J80" s="75" t="str">
        <f>IF($Q$29=0,"","📊 إحصائيات الحضور")</f>
        <v>📊 إحصائيات الحضور</v>
      </c>
      <c r="K80" s="75"/>
      <c r="L80" s="75"/>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سوريال'!C25</f>
        <v>0</v>
      </c>
      <c r="C82" s="30">
        <f>'حضور سوريال'!D25</f>
        <v>0</v>
      </c>
      <c r="D82" s="31" t="str">
        <f>'حضور سوريال'!F25</f>
        <v/>
      </c>
      <c r="F82" s="29">
        <f>'حضور سوريال'!C26</f>
        <v>0</v>
      </c>
      <c r="G82" s="30">
        <f>'حضور سوريال'!D26</f>
        <v>0</v>
      </c>
      <c r="H82" s="31" t="str">
        <f>'حضور سوريال'!F26</f>
        <v/>
      </c>
      <c r="J82" s="29">
        <f>'حضور سوريال'!C27</f>
        <v>0</v>
      </c>
      <c r="K82" s="30">
        <f>'حضور سوريال'!D27</f>
        <v>0</v>
      </c>
      <c r="L82" s="31" t="str">
        <f>'حضور سوريال'!F27</f>
        <v/>
      </c>
    </row>
    <row r="83" spans="2:12" ht="24" customHeight="1">
      <c r="B83" s="76" t="str">
        <f>'حضور سوريال'!I25</f>
        <v>⏳ لسه مفيش حضور</v>
      </c>
      <c r="C83" s="76"/>
      <c r="D83" s="76"/>
      <c r="F83" s="76" t="str">
        <f>'حضور سوريال'!I26</f>
        <v>⏳ لسه مفيش حضور</v>
      </c>
      <c r="G83" s="76"/>
      <c r="H83" s="76"/>
      <c r="J83" s="76" t="str">
        <f>'حضور سوريال'!I27</f>
        <v>⏳ لسه مفيش حضور</v>
      </c>
      <c r="K83" s="76"/>
      <c r="L83" s="76"/>
    </row>
    <row r="84" spans="2:12" ht="19.5" customHeight="1">
      <c r="B84" s="77" t="str">
        <f>IF($Q$27=0,"","🗓️ آخر حضور: "&amp;IF(ISNUMBER('حضور سوريال'!H25),DAY('حضور سوريال'!H25)&amp;"/"&amp;MONTH('حضور سوريال'!H25)&amp;"/"&amp;YEAR('حضور سوريال'!H25),"—")&amp;"   •   غياب متتالي: "&amp;'حضور سوريال'!G25)</f>
        <v>🗓️ آخر حضور: —   •   غياب متتالي: 0</v>
      </c>
      <c r="C84" s="77"/>
      <c r="D84" s="77"/>
      <c r="F84" s="77" t="str">
        <f>IF($Q$28=0,"","🗓️ آخر حضور: "&amp;IF(ISNUMBER('حضور سوريال'!H26),DAY('حضور سوريال'!H26)&amp;"/"&amp;MONTH('حضور سوريال'!H26)&amp;"/"&amp;YEAR('حضور سوريال'!H26),"—")&amp;"   •   غياب متتالي: "&amp;'حضور سوريال'!G26)</f>
        <v>🗓️ آخر حضور: —   •   غياب متتالي: 0</v>
      </c>
      <c r="G84" s="77"/>
      <c r="H84" s="77"/>
      <c r="J84" s="77" t="str">
        <f>IF($Q$29=0,"","🗓️ آخر حضور: "&amp;IF(ISNUMBER('حضور سوريال'!H27),DAY('حضور سوريال'!H27)&amp;"/"&amp;MONTH('حضور سوريال'!H27)&amp;"/"&amp;YEAR('حضور سوريال'!H27),"—")&amp;"   •   غياب متتالي: "&amp;'حضور سوريال'!G27)</f>
        <v>🗓️ آخر حضور: —   •   غياب متتالي: 0</v>
      </c>
      <c r="K84" s="77"/>
      <c r="L84" s="77"/>
    </row>
    <row r="85" spans="2:12" ht="13.5" customHeight="1"/>
    <row r="86" spans="2:12" ht="30" customHeight="1">
      <c r="B86" s="78" t="str">
        <f>IF($Q$30=0,"",IF(INDEX('قاعدة البيانات'!$D$6:$D$305,$Q$30)="بنت","👧 ","👦 ")&amp;INDEX('قاعدة البيانات'!$C$6:$C$305,$Q$30))</f>
        <v>👦 كاراس سمير توفيق شفيق</v>
      </c>
      <c r="C86" s="78"/>
      <c r="D86" s="78"/>
      <c r="F86" s="78" t="str">
        <f>IF($Q$31=0,"",IF(INDEX('قاعدة البيانات'!$D$6:$D$305,$Q$31)="بنت","👧 ","👦 ")&amp;INDEX('قاعدة البيانات'!$C$6:$C$305,$Q$31))</f>
        <v>👦 روفانيو مينا ناجى</v>
      </c>
      <c r="G86" s="78"/>
      <c r="H86" s="78"/>
      <c r="J86" s="78" t="str">
        <f>IF($Q$32=0,"",IF(INDEX('قاعدة البيانات'!$D$6:$D$305,$Q$32)="بنت","👧 ","👦 ")&amp;INDEX('قاعدة البيانات'!$C$6:$C$305,$Q$32))</f>
        <v>👦 مارك مايكل نبيل نجيب</v>
      </c>
      <c r="K86" s="78"/>
      <c r="L86" s="78"/>
    </row>
    <row r="87" spans="2:12" ht="108" customHeight="1">
      <c r="B87" s="24" t="e" vm="40">
        <f>IF($Q$30=0,"",IF(ISBLANK(INDEX('قاعدة البيانات'!$K$6:$K$305,$Q$30)),LEFT(INDEX('قاعدة البيانات'!$C$6:$C$305,$Q$30),1),INDEX('قاعدة البيانات'!$K$6:$K$305,$Q$30)))</f>
        <v>#VALUE!</v>
      </c>
      <c r="C87" s="79"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B-046
🎓 سنة تانية
🚶 يروح لوحده: —
📝 مفيش ملاحظات</v>
      </c>
      <c r="D87" s="79"/>
      <c r="F87" s="24" t="str">
        <f>IF($Q$31=0,"",IF(ISBLANK(INDEX('قاعدة البيانات'!$K$6:$K$305,$Q$31)),LEFT(INDEX('قاعدة البيانات'!$C$6:$C$305,$Q$31),1),INDEX('قاعدة البيانات'!$K$6:$K$305,$Q$31)))</f>
        <v>ر</v>
      </c>
      <c r="G87" s="79"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B-047
🎓 سنة تانية
🚶 يروح لوحده: —
📝 مفيش ملاحظات</v>
      </c>
      <c r="H87" s="79"/>
      <c r="J87" s="24" t="str">
        <f>IF($Q$32=0,"",IF(ISBLANK(INDEX('قاعدة البيانات'!$K$6:$K$305,$Q$32)),LEFT(INDEX('قاعدة البيانات'!$C$6:$C$305,$Q$32),1),INDEX('قاعدة البيانات'!$K$6:$K$305,$Q$32)))</f>
        <v>م</v>
      </c>
      <c r="K87" s="79"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B-048
🎓 سنة تانية
🚶 يروح لوحده: —
📝 مفيش ملاحظات</v>
      </c>
      <c r="L87" s="79"/>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01211025537</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01220413105</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01286886002</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01201449110</v>
      </c>
      <c r="D89" s="27" t="str">
        <f>IF(OR($Q$30=0,INDEX('قاعدة البيانات'!$I$6:$I$305,$Q$30)=""),"",HYPERLINK("https://wa.me/20"&amp;RIGHT(INDEX('قاعدة البيانات'!$I$6:$I$305,$Q$30),10),"💬 واتساب"))</f>
        <v>💬 واتساب</v>
      </c>
      <c r="F89" s="25" t="str">
        <f>IF($Q$31=0,"","👨 بابا")</f>
        <v>👨 بابا</v>
      </c>
      <c r="G89" s="26" t="str">
        <f>IF($Q$31=0,"",IF(INDEX('قاعدة البيانات'!$I$6:$I$305,$Q$31)="","— مفيش رقم —",HYPERLINK("tel:"&amp;INDEX('قاعدة البيانات'!$I$6:$I$305,$Q$31),"📞 "&amp;INDEX('قاعدة البيانات'!$I$6:$I$305,$Q$31))))</f>
        <v>📞 01202730132</v>
      </c>
      <c r="H89" s="27" t="str">
        <f>IF(OR($Q$31=0,INDEX('قاعدة البيانات'!$I$6:$I$305,$Q$31)=""),"",HYPERLINK("https://wa.me/20"&amp;RIGHT(INDEX('قاعدة البيانات'!$I$6:$I$305,$Q$31),10),"💬 واتساب"))</f>
        <v>💬 واتساب</v>
      </c>
      <c r="J89" s="25" t="str">
        <f>IF($Q$32=0,"","👨 بابا")</f>
        <v>👨 بابا</v>
      </c>
      <c r="K89" s="26" t="str">
        <f>IF($Q$32=0,"",IF(INDEX('قاعدة البيانات'!$I$6:$I$305,$Q$32)="","— مفيش رقم —",HYPERLINK("tel:"&amp;INDEX('قاعدة البيانات'!$I$6:$I$305,$Q$32),"📞 "&amp;INDEX('قاعدة البيانات'!$I$6:$I$305,$Q$32))))</f>
        <v>📞 01286886002</v>
      </c>
      <c r="L89" s="27" t="str">
        <f>IF(OR($Q$32=0,INDEX('قاعدة البيانات'!$I$6:$I$305,$Q$32)=""),"",HYPERLINK("https://wa.me/20"&amp;RIGHT(INDEX('قاعدة البيانات'!$I$6:$I$305,$Q$32),10),"💬 واتساب"))</f>
        <v>💬 واتساب</v>
      </c>
    </row>
    <row r="90" spans="2:12" ht="37.5" customHeight="1">
      <c r="B90" s="80" t="str">
        <f>IF($Q$30=0,"","📍 "&amp;IF(INDEX('قاعدة البيانات'!$J$6:$J$305,$Q$30)="","— مفيش عنوان —",INDEX('قاعدة البيانات'!$J$6:$J$305,$Q$30)))</f>
        <v>📍 30 شارع دياب فهمي، المليحة، حدائق القبة، القاهرة؛ شقة 7، الدور 4</v>
      </c>
      <c r="C90" s="80"/>
      <c r="D90" s="80"/>
      <c r="F90" s="80" t="str">
        <f>IF($Q$31=0,"","📍 "&amp;IF(INDEX('قاعدة البيانات'!$J$6:$J$305,$Q$31)="","— مفيش عنوان —",INDEX('قاعدة البيانات'!$J$6:$J$305,$Q$31)))</f>
        <v>📍 39 شارع الحضانة رقم أول مكرر، عزبة منصور، شبرا الخيمة، القليوبية</v>
      </c>
      <c r="G90" s="80"/>
      <c r="H90" s="80"/>
      <c r="J90" s="80" t="str">
        <f>IF($Q$32=0,"","📍 "&amp;IF(INDEX('قاعدة البيانات'!$J$6:$J$305,$Q$32)="","— مفيش عنوان —",INDEX('قاعدة البيانات'!$J$6:$J$305,$Q$32)))</f>
        <v>📍 863 شارع بورسعيد، المليحة، حدائق القبة، القاهرة؛ الدور الأرضي شمال السلم</v>
      </c>
      <c r="K90" s="80"/>
      <c r="L90" s="80"/>
    </row>
    <row r="91" spans="2:12" ht="21.75" customHeight="1">
      <c r="B91" s="75" t="str">
        <f>IF($Q$30=0,"","📊 إحصائيات الحضور")</f>
        <v>📊 إحصائيات الحضور</v>
      </c>
      <c r="C91" s="75"/>
      <c r="D91" s="75"/>
      <c r="F91" s="75" t="str">
        <f>IF($Q$31=0,"","📊 إحصائيات الحضور")</f>
        <v>📊 إحصائيات الحضور</v>
      </c>
      <c r="G91" s="75"/>
      <c r="H91" s="75"/>
      <c r="J91" s="75" t="str">
        <f>IF($Q$32=0,"","📊 إحصائيات الحضور")</f>
        <v>📊 إحصائيات الحضور</v>
      </c>
      <c r="K91" s="75"/>
      <c r="L91" s="75"/>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سوريال'!C28</f>
        <v>0</v>
      </c>
      <c r="C93" s="30">
        <f>'حضور سوريال'!D28</f>
        <v>0</v>
      </c>
      <c r="D93" s="31" t="str">
        <f>'حضور سوريال'!F28</f>
        <v/>
      </c>
      <c r="F93" s="29">
        <f>'حضور سوريال'!C29</f>
        <v>0</v>
      </c>
      <c r="G93" s="30">
        <f>'حضور سوريال'!D29</f>
        <v>0</v>
      </c>
      <c r="H93" s="31" t="str">
        <f>'حضور سوريال'!F29</f>
        <v/>
      </c>
      <c r="J93" s="29">
        <f>'حضور سوريال'!C30</f>
        <v>0</v>
      </c>
      <c r="K93" s="30">
        <f>'حضور سوريال'!D30</f>
        <v>0</v>
      </c>
      <c r="L93" s="31" t="str">
        <f>'حضور سوريال'!F30</f>
        <v/>
      </c>
    </row>
    <row r="94" spans="2:12" ht="24" customHeight="1">
      <c r="B94" s="76" t="str">
        <f>'حضور سوريال'!I28</f>
        <v>⏳ لسه مفيش حضور</v>
      </c>
      <c r="C94" s="76"/>
      <c r="D94" s="76"/>
      <c r="F94" s="76" t="str">
        <f>'حضور سوريال'!I29</f>
        <v>⏳ لسه مفيش حضور</v>
      </c>
      <c r="G94" s="76"/>
      <c r="H94" s="76"/>
      <c r="J94" s="76" t="str">
        <f>'حضور سوريال'!I30</f>
        <v>⏳ لسه مفيش حضور</v>
      </c>
      <c r="K94" s="76"/>
      <c r="L94" s="76"/>
    </row>
    <row r="95" spans="2:12" ht="19.5" customHeight="1">
      <c r="B95" s="77" t="str">
        <f>IF($Q$30=0,"","🗓️ آخر حضور: "&amp;IF(ISNUMBER('حضور سوريال'!H28),DAY('حضور سوريال'!H28)&amp;"/"&amp;MONTH('حضور سوريال'!H28)&amp;"/"&amp;YEAR('حضور سوريال'!H28),"—")&amp;"   •   غياب متتالي: "&amp;'حضور سوريال'!G28)</f>
        <v>🗓️ آخر حضور: —   •   غياب متتالي: 0</v>
      </c>
      <c r="C95" s="77"/>
      <c r="D95" s="77"/>
      <c r="F95" s="77" t="str">
        <f>IF($Q$31=0,"","🗓️ آخر حضور: "&amp;IF(ISNUMBER('حضور سوريال'!H29),DAY('حضور سوريال'!H29)&amp;"/"&amp;MONTH('حضور سوريال'!H29)&amp;"/"&amp;YEAR('حضور سوريال'!H29),"—")&amp;"   •   غياب متتالي: "&amp;'حضور سوريال'!G29)</f>
        <v>🗓️ آخر حضور: —   •   غياب متتالي: 0</v>
      </c>
      <c r="G95" s="77"/>
      <c r="H95" s="77"/>
      <c r="J95" s="77" t="str">
        <f>IF($Q$32=0,"","🗓️ آخر حضور: "&amp;IF(ISNUMBER('حضور سوريال'!H30),DAY('حضور سوريال'!H30)&amp;"/"&amp;MONTH('حضور سوريال'!H30)&amp;"/"&amp;YEAR('حضور سوريال'!H30),"—")&amp;"   •   غياب متتالي: "&amp;'حضور سوريال'!G30)</f>
        <v>🗓️ آخر حضور: —   •   غياب متتالي: 0</v>
      </c>
      <c r="K95" s="77"/>
      <c r="L95" s="77"/>
    </row>
    <row r="96" spans="2:12" ht="13.5" customHeight="1"/>
    <row r="97" spans="2:12" ht="30" customHeight="1">
      <c r="B97" s="78" t="str">
        <f>IF($Q$33=0,"",IF(INDEX('قاعدة البيانات'!$D$6:$D$305,$Q$33)="بنت","👧 ","👦 ")&amp;INDEX('قاعدة البيانات'!$C$6:$C$305,$Q$33))</f>
        <v/>
      </c>
      <c r="C97" s="78"/>
      <c r="D97" s="78"/>
      <c r="F97" s="78" t="str">
        <f>IF($Q$34=0,"",IF(INDEX('قاعدة البيانات'!$D$6:$D$305,$Q$34)="بنت","👧 ","👦 ")&amp;INDEX('قاعدة البيانات'!$C$6:$C$305,$Q$34))</f>
        <v/>
      </c>
      <c r="G97" s="78"/>
      <c r="H97" s="78"/>
      <c r="J97" s="78" t="str">
        <f>IF($Q$35=0,"",IF(INDEX('قاعدة البيانات'!$D$6:$D$305,$Q$35)="بنت","👧 ","👦 ")&amp;INDEX('قاعدة البيانات'!$C$6:$C$305,$Q$35))</f>
        <v/>
      </c>
      <c r="K97" s="78"/>
      <c r="L97" s="78"/>
    </row>
    <row r="98" spans="2:12" ht="108" customHeight="1">
      <c r="B98" s="24" t="str">
        <f>IF($Q$33=0,"",IF(ISBLANK(INDEX('قاعدة البيانات'!$K$6:$K$305,$Q$33)),LEFT(INDEX('قاعدة البيانات'!$C$6:$C$305,$Q$33),1),INDEX('قاعدة البيانات'!$K$6:$K$305,$Q$33)))</f>
        <v/>
      </c>
      <c r="C98" s="79"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79"/>
      <c r="F98" s="24" t="str">
        <f>IF($Q$34=0,"",IF(ISBLANK(INDEX('قاعدة البيانات'!$K$6:$K$305,$Q$34)),LEFT(INDEX('قاعدة البيانات'!$C$6:$C$305,$Q$34),1),INDEX('قاعدة البيانات'!$K$6:$K$305,$Q$34)))</f>
        <v/>
      </c>
      <c r="G98" s="79"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79"/>
      <c r="J98" s="24" t="str">
        <f>IF($Q$35=0,"",IF(ISBLANK(INDEX('قاعدة البيانات'!$K$6:$K$305,$Q$35)),LEFT(INDEX('قاعدة البيانات'!$C$6:$C$305,$Q$35),1),INDEX('قاعدة البيانات'!$K$6:$K$305,$Q$35)))</f>
        <v/>
      </c>
      <c r="K98" s="79"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79"/>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80" t="str">
        <f>IF($Q$33=0,"","📍 "&amp;IF(INDEX('قاعدة البيانات'!$J$6:$J$305,$Q$33)="","— مفيش عنوان —",INDEX('قاعدة البيانات'!$J$6:$J$305,$Q$33)))</f>
        <v/>
      </c>
      <c r="C101" s="80"/>
      <c r="D101" s="80"/>
      <c r="F101" s="80" t="str">
        <f>IF($Q$34=0,"","📍 "&amp;IF(INDEX('قاعدة البيانات'!$J$6:$J$305,$Q$34)="","— مفيش عنوان —",INDEX('قاعدة البيانات'!$J$6:$J$305,$Q$34)))</f>
        <v/>
      </c>
      <c r="G101" s="80"/>
      <c r="H101" s="80"/>
      <c r="J101" s="80" t="str">
        <f>IF($Q$35=0,"","📍 "&amp;IF(INDEX('قاعدة البيانات'!$J$6:$J$305,$Q$35)="","— مفيش عنوان —",INDEX('قاعدة البيانات'!$J$6:$J$305,$Q$35)))</f>
        <v/>
      </c>
      <c r="K101" s="80"/>
      <c r="L101" s="80"/>
    </row>
    <row r="102" spans="2:12" ht="21.75" customHeight="1">
      <c r="B102" s="75" t="str">
        <f>IF($Q$33=0,"","📊 إحصائيات الحضور")</f>
        <v/>
      </c>
      <c r="C102" s="75"/>
      <c r="D102" s="75"/>
      <c r="F102" s="75" t="str">
        <f>IF($Q$34=0,"","📊 إحصائيات الحضور")</f>
        <v/>
      </c>
      <c r="G102" s="75"/>
      <c r="H102" s="75"/>
      <c r="J102" s="75" t="str">
        <f>IF($Q$35=0,"","📊 إحصائيات الحضور")</f>
        <v/>
      </c>
      <c r="K102" s="75"/>
      <c r="L102" s="75"/>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سوريال'!C31</f>
        <v/>
      </c>
      <c r="C104" s="30" t="str">
        <f>'حضور سوريال'!D31</f>
        <v/>
      </c>
      <c r="D104" s="31" t="str">
        <f>'حضور سوريال'!F31</f>
        <v/>
      </c>
      <c r="F104" s="29" t="str">
        <f>'حضور سوريال'!C32</f>
        <v/>
      </c>
      <c r="G104" s="30" t="str">
        <f>'حضور سوريال'!D32</f>
        <v/>
      </c>
      <c r="H104" s="31" t="str">
        <f>'حضور سوريال'!F32</f>
        <v/>
      </c>
      <c r="J104" s="29" t="str">
        <f>'حضور سوريال'!C33</f>
        <v/>
      </c>
      <c r="K104" s="30" t="str">
        <f>'حضور سوريال'!D33</f>
        <v/>
      </c>
      <c r="L104" s="31" t="str">
        <f>'حضور سوريال'!F33</f>
        <v/>
      </c>
    </row>
    <row r="105" spans="2:12" ht="24" customHeight="1">
      <c r="B105" s="76" t="str">
        <f>'حضور سوريال'!I31</f>
        <v/>
      </c>
      <c r="C105" s="76"/>
      <c r="D105" s="76"/>
      <c r="F105" s="76" t="str">
        <f>'حضور سوريال'!I32</f>
        <v/>
      </c>
      <c r="G105" s="76"/>
      <c r="H105" s="76"/>
      <c r="J105" s="76" t="str">
        <f>'حضور سوريال'!I33</f>
        <v/>
      </c>
      <c r="K105" s="76"/>
      <c r="L105" s="76"/>
    </row>
    <row r="106" spans="2:12" ht="19.5" customHeight="1">
      <c r="B106" s="77" t="str">
        <f>IF($Q$33=0,"","🗓️ آخر حضور: "&amp;IF(ISNUMBER('حضور سوريال'!H31),DAY('حضور سوريال'!H31)&amp;"/"&amp;MONTH('حضور سوريال'!H31)&amp;"/"&amp;YEAR('حضور سوريال'!H31),"—")&amp;"   •   غياب متتالي: "&amp;'حضور سوريال'!G31)</f>
        <v/>
      </c>
      <c r="C106" s="77"/>
      <c r="D106" s="77"/>
      <c r="F106" s="77" t="str">
        <f>IF($Q$34=0,"","🗓️ آخر حضور: "&amp;IF(ISNUMBER('حضور سوريال'!H32),DAY('حضور سوريال'!H32)&amp;"/"&amp;MONTH('حضور سوريال'!H32)&amp;"/"&amp;YEAR('حضور سوريال'!H32),"—")&amp;"   •   غياب متتالي: "&amp;'حضور سوريال'!G32)</f>
        <v/>
      </c>
      <c r="G106" s="77"/>
      <c r="H106" s="77"/>
      <c r="J106" s="77" t="str">
        <f>IF($Q$35=0,"","🗓️ آخر حضور: "&amp;IF(ISNUMBER('حضور سوريال'!H33),DAY('حضور سوريال'!H33)&amp;"/"&amp;MONTH('حضور سوريال'!H33)&amp;"/"&amp;YEAR('حضور سوريال'!H33),"—")&amp;"   •   غياب متتالي: "&amp;'حضور سوريال'!G33)</f>
        <v/>
      </c>
      <c r="K106" s="77"/>
      <c r="L106" s="77"/>
    </row>
    <row r="107" spans="2:12" ht="13.5" customHeight="1"/>
    <row r="108" spans="2:12" ht="30" customHeight="1">
      <c r="B108" s="78" t="str">
        <f>IF($Q$36=0,"",IF(INDEX('قاعدة البيانات'!$D$6:$D$305,$Q$36)="بنت","👧 ","👦 ")&amp;INDEX('قاعدة البيانات'!$C$6:$C$305,$Q$36))</f>
        <v/>
      </c>
      <c r="C108" s="78"/>
      <c r="D108" s="78"/>
      <c r="F108" s="78" t="str">
        <f>IF($Q$37=0,"",IF(INDEX('قاعدة البيانات'!$D$6:$D$305,$Q$37)="بنت","👧 ","👦 ")&amp;INDEX('قاعدة البيانات'!$C$6:$C$305,$Q$37))</f>
        <v/>
      </c>
      <c r="G108" s="78"/>
      <c r="H108" s="78"/>
      <c r="J108" s="78" t="str">
        <f>IF($Q$38=0,"",IF(INDEX('قاعدة البيانات'!$D$6:$D$305,$Q$38)="بنت","👧 ","👦 ")&amp;INDEX('قاعدة البيانات'!$C$6:$C$305,$Q$38))</f>
        <v/>
      </c>
      <c r="K108" s="78"/>
      <c r="L108" s="78"/>
    </row>
    <row r="109" spans="2:12" ht="108" customHeight="1">
      <c r="B109" s="24" t="str">
        <f>IF($Q$36=0,"",IF(ISBLANK(INDEX('قاعدة البيانات'!$K$6:$K$305,$Q$36)),LEFT(INDEX('قاعدة البيانات'!$C$6:$C$305,$Q$36),1),INDEX('قاعدة البيانات'!$K$6:$K$305,$Q$36)))</f>
        <v/>
      </c>
      <c r="C109" s="79"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79"/>
      <c r="F109" s="24" t="str">
        <f>IF($Q$37=0,"",IF(ISBLANK(INDEX('قاعدة البيانات'!$K$6:$K$305,$Q$37)),LEFT(INDEX('قاعدة البيانات'!$C$6:$C$305,$Q$37),1),INDEX('قاعدة البيانات'!$K$6:$K$305,$Q$37)))</f>
        <v/>
      </c>
      <c r="G109" s="79"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79"/>
      <c r="J109" s="24" t="str">
        <f>IF($Q$38=0,"",IF(ISBLANK(INDEX('قاعدة البيانات'!$K$6:$K$305,$Q$38)),LEFT(INDEX('قاعدة البيانات'!$C$6:$C$305,$Q$38),1),INDEX('قاعدة البيانات'!$K$6:$K$305,$Q$38)))</f>
        <v/>
      </c>
      <c r="K109" s="79"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79"/>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80" t="str">
        <f>IF($Q$36=0,"","📍 "&amp;IF(INDEX('قاعدة البيانات'!$J$6:$J$305,$Q$36)="","— مفيش عنوان —",INDEX('قاعدة البيانات'!$J$6:$J$305,$Q$36)))</f>
        <v/>
      </c>
      <c r="C112" s="80"/>
      <c r="D112" s="80"/>
      <c r="F112" s="80" t="str">
        <f>IF($Q$37=0,"","📍 "&amp;IF(INDEX('قاعدة البيانات'!$J$6:$J$305,$Q$37)="","— مفيش عنوان —",INDEX('قاعدة البيانات'!$J$6:$J$305,$Q$37)))</f>
        <v/>
      </c>
      <c r="G112" s="80"/>
      <c r="H112" s="80"/>
      <c r="J112" s="80" t="str">
        <f>IF($Q$38=0,"","📍 "&amp;IF(INDEX('قاعدة البيانات'!$J$6:$J$305,$Q$38)="","— مفيش عنوان —",INDEX('قاعدة البيانات'!$J$6:$J$305,$Q$38)))</f>
        <v/>
      </c>
      <c r="K112" s="80"/>
      <c r="L112" s="80"/>
    </row>
    <row r="113" spans="2:12" ht="21.75" customHeight="1">
      <c r="B113" s="75" t="str">
        <f>IF($Q$36=0,"","📊 إحصائيات الحضور")</f>
        <v/>
      </c>
      <c r="C113" s="75"/>
      <c r="D113" s="75"/>
      <c r="F113" s="75" t="str">
        <f>IF($Q$37=0,"","📊 إحصائيات الحضور")</f>
        <v/>
      </c>
      <c r="G113" s="75"/>
      <c r="H113" s="75"/>
      <c r="J113" s="75" t="str">
        <f>IF($Q$38=0,"","📊 إحصائيات الحضور")</f>
        <v/>
      </c>
      <c r="K113" s="75"/>
      <c r="L113" s="75"/>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سوريال'!C34</f>
        <v/>
      </c>
      <c r="C115" s="30" t="str">
        <f>'حضور سوريال'!D34</f>
        <v/>
      </c>
      <c r="D115" s="31" t="str">
        <f>'حضور سوريال'!F34</f>
        <v/>
      </c>
      <c r="F115" s="29" t="str">
        <f>'حضور سوريال'!C35</f>
        <v/>
      </c>
      <c r="G115" s="30" t="str">
        <f>'حضور سوريال'!D35</f>
        <v/>
      </c>
      <c r="H115" s="31" t="str">
        <f>'حضور سوريال'!F35</f>
        <v/>
      </c>
      <c r="J115" s="29" t="str">
        <f>'حضور سوريال'!C36</f>
        <v/>
      </c>
      <c r="K115" s="30" t="str">
        <f>'حضور سوريال'!D36</f>
        <v/>
      </c>
      <c r="L115" s="31" t="str">
        <f>'حضور سوريال'!F36</f>
        <v/>
      </c>
    </row>
    <row r="116" spans="2:12" ht="24" customHeight="1">
      <c r="B116" s="76" t="str">
        <f>'حضور سوريال'!I34</f>
        <v/>
      </c>
      <c r="C116" s="76"/>
      <c r="D116" s="76"/>
      <c r="F116" s="76" t="str">
        <f>'حضور سوريال'!I35</f>
        <v/>
      </c>
      <c r="G116" s="76"/>
      <c r="H116" s="76"/>
      <c r="J116" s="76" t="str">
        <f>'حضور سوريال'!I36</f>
        <v/>
      </c>
      <c r="K116" s="76"/>
      <c r="L116" s="76"/>
    </row>
    <row r="117" spans="2:12" ht="19.5" customHeight="1">
      <c r="B117" s="77" t="str">
        <f>IF($Q$36=0,"","🗓️ آخر حضور: "&amp;IF(ISNUMBER('حضور سوريال'!H34),DAY('حضور سوريال'!H34)&amp;"/"&amp;MONTH('حضور سوريال'!H34)&amp;"/"&amp;YEAR('حضور سوريال'!H34),"—")&amp;"   •   غياب متتالي: "&amp;'حضور سوريال'!G34)</f>
        <v/>
      </c>
      <c r="C117" s="77"/>
      <c r="D117" s="77"/>
      <c r="F117" s="77" t="str">
        <f>IF($Q$37=0,"","🗓️ آخر حضور: "&amp;IF(ISNUMBER('حضور سوريال'!H35),DAY('حضور سوريال'!H35)&amp;"/"&amp;MONTH('حضور سوريال'!H35)&amp;"/"&amp;YEAR('حضور سوريال'!H35),"—")&amp;"   •   غياب متتالي: "&amp;'حضور سوريال'!G35)</f>
        <v/>
      </c>
      <c r="G117" s="77"/>
      <c r="H117" s="77"/>
      <c r="J117" s="77" t="str">
        <f>IF($Q$38=0,"","🗓️ آخر حضور: "&amp;IF(ISNUMBER('حضور سوريال'!H36),DAY('حضور سوريال'!H36)&amp;"/"&amp;MONTH('حضور سوريال'!H36)&amp;"/"&amp;YEAR('حضور سوريال'!H36),"—")&amp;"   •   غياب متتالي: "&amp;'حضور سوريال'!G36)</f>
        <v/>
      </c>
      <c r="K117" s="77"/>
      <c r="L117" s="77"/>
    </row>
    <row r="118" spans="2:12" ht="13.5" customHeight="1"/>
  </sheetData>
  <sheetProtection sheet="1"/>
  <mergeCells count="192">
    <mergeCell ref="B1:L1"/>
    <mergeCell ref="B2:C2"/>
    <mergeCell ref="D2:F2"/>
    <mergeCell ref="G2:H2"/>
    <mergeCell ref="J2:K2"/>
    <mergeCell ref="B4:D4"/>
    <mergeCell ref="F4:H4"/>
    <mergeCell ref="J4:L4"/>
    <mergeCell ref="B5:D5"/>
    <mergeCell ref="F5:H5"/>
    <mergeCell ref="J5:L5"/>
    <mergeCell ref="B6:L6"/>
    <mergeCell ref="B9:D9"/>
    <mergeCell ref="F9:H9"/>
    <mergeCell ref="J9:L9"/>
    <mergeCell ref="C10:D10"/>
    <mergeCell ref="G10:H10"/>
    <mergeCell ref="K10:L10"/>
    <mergeCell ref="B13:D13"/>
    <mergeCell ref="F13:H13"/>
    <mergeCell ref="J13:L13"/>
    <mergeCell ref="B14:D14"/>
    <mergeCell ref="F14:H14"/>
    <mergeCell ref="J14:L14"/>
    <mergeCell ref="B17:D17"/>
    <mergeCell ref="F17:H17"/>
    <mergeCell ref="J17:L17"/>
    <mergeCell ref="B18:D18"/>
    <mergeCell ref="F18:H18"/>
    <mergeCell ref="J18:L18"/>
    <mergeCell ref="B20:D20"/>
    <mergeCell ref="F20:H20"/>
    <mergeCell ref="J20:L20"/>
    <mergeCell ref="C21:D21"/>
    <mergeCell ref="G21:H21"/>
    <mergeCell ref="K21:L21"/>
    <mergeCell ref="B24:D24"/>
    <mergeCell ref="F24:H24"/>
    <mergeCell ref="J24:L24"/>
    <mergeCell ref="B25:D25"/>
    <mergeCell ref="F25:H25"/>
    <mergeCell ref="J25:L25"/>
    <mergeCell ref="B28:D28"/>
    <mergeCell ref="F28:H28"/>
    <mergeCell ref="J28:L28"/>
    <mergeCell ref="B29:D29"/>
    <mergeCell ref="F29:H29"/>
    <mergeCell ref="J29:L29"/>
    <mergeCell ref="B31:D31"/>
    <mergeCell ref="F31:H31"/>
    <mergeCell ref="J31:L31"/>
    <mergeCell ref="C32:D32"/>
    <mergeCell ref="G32:H32"/>
    <mergeCell ref="K32:L32"/>
    <mergeCell ref="B35:D35"/>
    <mergeCell ref="F35:H35"/>
    <mergeCell ref="J35:L35"/>
    <mergeCell ref="B36:D36"/>
    <mergeCell ref="F36:H36"/>
    <mergeCell ref="J36:L36"/>
    <mergeCell ref="B39:D39"/>
    <mergeCell ref="F39:H39"/>
    <mergeCell ref="J39:L39"/>
    <mergeCell ref="B40:D40"/>
    <mergeCell ref="F40:H40"/>
    <mergeCell ref="J40:L40"/>
    <mergeCell ref="B42:D42"/>
    <mergeCell ref="F42:H42"/>
    <mergeCell ref="J42:L42"/>
    <mergeCell ref="C43:D43"/>
    <mergeCell ref="G43:H43"/>
    <mergeCell ref="K43:L43"/>
    <mergeCell ref="B46:D46"/>
    <mergeCell ref="F46:H46"/>
    <mergeCell ref="J46:L46"/>
    <mergeCell ref="B47:D47"/>
    <mergeCell ref="F47:H47"/>
    <mergeCell ref="J47:L47"/>
    <mergeCell ref="B50:D50"/>
    <mergeCell ref="F50:H50"/>
    <mergeCell ref="J50:L50"/>
    <mergeCell ref="B51:D51"/>
    <mergeCell ref="F51:H51"/>
    <mergeCell ref="J51:L51"/>
    <mergeCell ref="B53:D53"/>
    <mergeCell ref="F53:H53"/>
    <mergeCell ref="J53:L53"/>
    <mergeCell ref="C54:D54"/>
    <mergeCell ref="G54:H54"/>
    <mergeCell ref="K54:L54"/>
    <mergeCell ref="B57:D57"/>
    <mergeCell ref="F57:H57"/>
    <mergeCell ref="J57:L57"/>
    <mergeCell ref="B58:D58"/>
    <mergeCell ref="F58:H58"/>
    <mergeCell ref="J58:L58"/>
    <mergeCell ref="B61:D61"/>
    <mergeCell ref="F61:H61"/>
    <mergeCell ref="J61:L61"/>
    <mergeCell ref="B62:D62"/>
    <mergeCell ref="F62:H62"/>
    <mergeCell ref="J62:L62"/>
    <mergeCell ref="B64:D64"/>
    <mergeCell ref="F64:H64"/>
    <mergeCell ref="J64:L64"/>
    <mergeCell ref="C65:D65"/>
    <mergeCell ref="G65:H65"/>
    <mergeCell ref="K65:L65"/>
    <mergeCell ref="B68:D68"/>
    <mergeCell ref="F68:H68"/>
    <mergeCell ref="J68:L68"/>
    <mergeCell ref="B69:D69"/>
    <mergeCell ref="F69:H69"/>
    <mergeCell ref="J69:L69"/>
    <mergeCell ref="B72:D72"/>
    <mergeCell ref="F72:H72"/>
    <mergeCell ref="J72:L72"/>
    <mergeCell ref="B73:D73"/>
    <mergeCell ref="F73:H73"/>
    <mergeCell ref="J73:L73"/>
    <mergeCell ref="B75:D75"/>
    <mergeCell ref="F75:H75"/>
    <mergeCell ref="J75:L75"/>
    <mergeCell ref="C76:D76"/>
    <mergeCell ref="G76:H76"/>
    <mergeCell ref="K76:L76"/>
    <mergeCell ref="B79:D79"/>
    <mergeCell ref="F79:H79"/>
    <mergeCell ref="J79:L79"/>
    <mergeCell ref="B80:D80"/>
    <mergeCell ref="F80:H80"/>
    <mergeCell ref="J80:L80"/>
    <mergeCell ref="B83:D83"/>
    <mergeCell ref="F83:H83"/>
    <mergeCell ref="J83:L83"/>
    <mergeCell ref="B84:D84"/>
    <mergeCell ref="F84:H84"/>
    <mergeCell ref="J84:L84"/>
    <mergeCell ref="B86:D86"/>
    <mergeCell ref="F86:H86"/>
    <mergeCell ref="J86:L86"/>
    <mergeCell ref="C87:D87"/>
    <mergeCell ref="G87:H87"/>
    <mergeCell ref="K87:L87"/>
    <mergeCell ref="B90:D90"/>
    <mergeCell ref="F90:H90"/>
    <mergeCell ref="J90:L90"/>
    <mergeCell ref="B91:D91"/>
    <mergeCell ref="F91:H91"/>
    <mergeCell ref="J91:L91"/>
    <mergeCell ref="B94:D94"/>
    <mergeCell ref="F94:H94"/>
    <mergeCell ref="J94:L94"/>
    <mergeCell ref="B95:D95"/>
    <mergeCell ref="F95:H95"/>
    <mergeCell ref="J95:L95"/>
    <mergeCell ref="B97:D97"/>
    <mergeCell ref="F97:H97"/>
    <mergeCell ref="J97:L97"/>
    <mergeCell ref="C98:D98"/>
    <mergeCell ref="G98:H98"/>
    <mergeCell ref="K98:L98"/>
    <mergeCell ref="B101:D101"/>
    <mergeCell ref="F101:H101"/>
    <mergeCell ref="J101:L101"/>
    <mergeCell ref="B102:D102"/>
    <mergeCell ref="F102:H102"/>
    <mergeCell ref="J102:L102"/>
    <mergeCell ref="B105:D105"/>
    <mergeCell ref="F105:H105"/>
    <mergeCell ref="J105:L105"/>
    <mergeCell ref="B106:D106"/>
    <mergeCell ref="F106:H106"/>
    <mergeCell ref="J106:L106"/>
    <mergeCell ref="B108:D108"/>
    <mergeCell ref="F108:H108"/>
    <mergeCell ref="J108:L108"/>
    <mergeCell ref="C109:D109"/>
    <mergeCell ref="G109:H109"/>
    <mergeCell ref="K109:L109"/>
    <mergeCell ref="B112:D112"/>
    <mergeCell ref="F112:H112"/>
    <mergeCell ref="J112:L112"/>
    <mergeCell ref="B113:D113"/>
    <mergeCell ref="F113:H113"/>
    <mergeCell ref="J113:L113"/>
    <mergeCell ref="B116:D116"/>
    <mergeCell ref="F116:H116"/>
    <mergeCell ref="J116:L116"/>
    <mergeCell ref="B117:D117"/>
    <mergeCell ref="F117:H117"/>
    <mergeCell ref="J117:L117"/>
  </mergeCells>
  <conditionalFormatting sqref="B10 F10 J10 B21 F21 J21 B32 F32 J32 B43 F43 J43 B54 F54 J54 B65 F65 J65 B76 F76 J76 B87 F87 J87 B98 F98 J98 B109 F109 J109">
    <cfRule type="expression" dxfId="137" priority="4">
      <formula>INDEX($R$9:$R$38,(INT((ROW()-9)/11)*3+INT((COLUMN()-2)/4)+1))="ولد"</formula>
    </cfRule>
    <cfRule type="expression" dxfId="136"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35"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34" priority="2">
      <formula>INDEX($S$9:$S$38,(INT((ROW()-9)/11)*3+INT((COLUMN()-2)/4)+1))=5</formula>
    </cfRule>
    <cfRule type="expression" dxfId="133"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32"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31"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30"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29" priority="17">
      <formula>INDEX($S$9:$S$38,(INT((ROW()-9)/11)*3+INT((COLUMN()-2)/4)+1))=1</formula>
    </cfRule>
    <cfRule type="expression" dxfId="128" priority="18">
      <formula>INDEX($S$9:$S$38,(INT((ROW()-9)/11)*3+INT((COLUMN()-2)/4)+1))=2</formula>
    </cfRule>
    <cfRule type="expression" dxfId="127" priority="19">
      <formula>INDEX($S$9:$S$38,(INT((ROW()-9)/11)*3+INT((COLUMN()-2)/4)+1))=3</formula>
    </cfRule>
    <cfRule type="expression" dxfId="126" priority="20">
      <formula>INDEX($S$9:$S$38,(INT((ROW()-9)/11)*3+INT((COLUMN()-2)/4)+1))=4</formula>
    </cfRule>
    <cfRule type="expression" dxfId="125"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24"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23" priority="6">
      <formula>INDEX($Q$9:$Q$38,(INT((ROW()-9)/11)*3+INT((COLUMN()-2)/4)+1))&gt;0</formula>
    </cfRule>
  </conditionalFormatting>
  <conditionalFormatting sqref="D16 H16 L16 D27 H27 L27 D38 H38 L38 D49 H49 L49 D60 H60 L60 D71 H71 L71 D82 H82 L82 D93 H93 L93 D104 H104 L104 D115 H115 L115">
    <cfRule type="expression" dxfId="122" priority="13">
      <formula>INDEX($S$9:$S$38,(INT((ROW()-9)/11)*3+INT((COLUMN()-2)/4)+1))=1</formula>
    </cfRule>
    <cfRule type="expression" dxfId="121" priority="14">
      <formula>INDEX($S$9:$S$38,(INT((ROW()-9)/11)*3+INT((COLUMN()-2)/4)+1))=2</formula>
    </cfRule>
    <cfRule type="expression" dxfId="120" priority="15">
      <formula>OR(INDEX($S$9:$S$38,(INT((ROW()-9)/11)*3+INT((COLUMN()-2)/4)+1))=3,INDEX($S$9:$S$38,(INT((ROW()-9)/11)*3+INT((COLUMN()-2)/4)+1))=4)</formula>
    </cfRule>
    <cfRule type="expression" dxfId="119"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S118"/>
  <sheetViews>
    <sheetView showGridLines="0" rightToLeft="1" zoomScale="130" zoomScaleNormal="130" workbookViewId="0">
      <pane ySplit="2" topLeftCell="A50" activePane="bottomLeft" state="frozen"/>
      <selection pane="bottomLeft" activeCell="L2" sqref="L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2" t="str">
        <f>"🪪 كروت أطفال ملاك "&amp;الإعدادات!$B$5</f>
        <v>🪪 كروت أطفال ملاك غبريال</v>
      </c>
      <c r="C1" s="132"/>
      <c r="D1" s="132"/>
      <c r="E1" s="132"/>
      <c r="F1" s="132"/>
      <c r="G1" s="132"/>
      <c r="H1" s="132"/>
      <c r="I1" s="132"/>
      <c r="J1" s="132"/>
      <c r="K1" s="132"/>
      <c r="L1" s="132"/>
    </row>
    <row r="2" spans="2:19" ht="30" customHeight="1">
      <c r="B2" s="83" t="str">
        <f>HYPERLINK("#'الرئيسية'!A1","🏠 الرئيسية")</f>
        <v>🏠 الرئيسية</v>
      </c>
      <c r="C2" s="83"/>
      <c r="D2" s="84" t="str">
        <f>HYPERLINK("#'قاعدة البيانات'!C"&amp;MIN(305,6+COUNTA('قاعدة البيانات'!$C$6:$C$305)),"➕ إضافة طفل جديد")</f>
        <v>➕ إضافة طفل جديد</v>
      </c>
      <c r="E2" s="84"/>
      <c r="F2" s="84"/>
      <c r="G2" s="133" t="str">
        <f>HYPERLINK("#'حضور غبريال'!A1","📅 حضور الفصل")</f>
        <v>📅 حضور الفصل</v>
      </c>
      <c r="H2" s="133"/>
      <c r="J2" s="83" t="str">
        <f>HYPERLINK("#'الافتقاد'!A1","📞 الافتقاد")</f>
        <v>📞 الافتقاد</v>
      </c>
      <c r="K2" s="83"/>
      <c r="L2" s="5" t="str">
        <f>HYPERLINK("#'قاعدة البيانات'!A1","📋 القاعدة")</f>
        <v>📋 القاعدة</v>
      </c>
    </row>
    <row r="3" spans="2:19" ht="7.5" customHeight="1"/>
    <row r="4" spans="2:19" ht="19.5" customHeight="1">
      <c r="B4" s="134" t="s">
        <v>52</v>
      </c>
      <c r="C4" s="134"/>
      <c r="D4" s="134"/>
      <c r="F4" s="134" t="s">
        <v>53</v>
      </c>
      <c r="G4" s="134"/>
      <c r="H4" s="134"/>
      <c r="J4" s="134" t="s">
        <v>54</v>
      </c>
      <c r="K4" s="134"/>
      <c r="L4" s="134"/>
    </row>
    <row r="5" spans="2:19" ht="37.5" customHeight="1">
      <c r="B5" s="135">
        <f>COUNTIFS('قاعدة البيانات'!$F$6:$F$305,الإعدادات!$B$5,'قاعدة البيانات'!$C$6:$C$305,"&lt;&gt;",'قاعدة البيانات'!$M$6:$M$305,"&lt;&gt;غير نشط")</f>
        <v>24</v>
      </c>
      <c r="C5" s="135"/>
      <c r="D5" s="135"/>
      <c r="F5" s="136" t="str">
        <f>"👦 "&amp;COUNTIFS('قاعدة البيانات'!$F$6:$F$305,الإعدادات!$B$5,'قاعدة البيانات'!$D$6:$D$305,"ولد",'قاعدة البيانات'!$C$6:$C$305,"&lt;&gt;",'قاعدة البيانات'!$M$6:$M$305,"&lt;&gt;غير نشط")&amp;"    👧 "&amp;COUNTIFS('قاعدة البيانات'!$F$6:$F$305,الإعدادات!$B$5,'قاعدة البيانات'!$D$6:$D$305,"بنت",'قاعدة البيانات'!$C$6:$C$305,"&lt;&gt;",'قاعدة البيانات'!$M$6:$M$305,"&lt;&gt;غير نشط")</f>
        <v>👦 10    👧 14</v>
      </c>
      <c r="G5" s="136"/>
      <c r="H5" s="136"/>
      <c r="J5" s="137" t="str">
        <f>IFERROR(SUM('حضور غبريال'!C7:C36)/(SUM('حضور غبريال'!C7:C36)+SUM('حضور غبريال'!D7:D36)),"—")</f>
        <v>—</v>
      </c>
      <c r="K5" s="137"/>
      <c r="L5" s="137"/>
    </row>
    <row r="6" spans="2:19" ht="21.75" customHeight="1">
      <c r="B6" s="81" t="str">
        <f>"📅 جمع مسجلة: "&amp;COUNT('حضور غبريال'!J4:BJ4)&amp;"        ⚠️ محتاجين افتقاد: "&amp;(COUNTIFS('قاعدة البيانات'!$F$6:$F$305,الإعدادات!$B$5,'قاعدة البيانات'!$V$6:$V$305,3)+COUNTIFS('قاعدة البيانات'!$F$6:$F$305,الإعدادات!$B$5,'قاعدة البيانات'!$V$6:$V$305,4))&amp;"        🆓 أماكن فاضية: "&amp;(30-COUNTIFS('قاعدة البيانات'!$F$6:$F$305,الإعدادات!$B$5,'قاعدة البيانات'!$C$6:$C$305,"&lt;&gt;"))</f>
        <v>📅 جمع مسجلة: 0        ⚠️ محتاجين افتقاد: 0        🆓 أماكن فاضية: 6</v>
      </c>
      <c r="C6" s="81"/>
      <c r="D6" s="81"/>
      <c r="E6" s="81"/>
      <c r="F6" s="81"/>
      <c r="G6" s="81"/>
      <c r="H6" s="81"/>
      <c r="I6" s="81"/>
      <c r="J6" s="81"/>
      <c r="K6" s="81"/>
      <c r="L6" s="81"/>
    </row>
    <row r="7" spans="2:19" ht="7.5" customHeight="1"/>
    <row r="8" spans="2:19" ht="6" customHeight="1"/>
    <row r="9" spans="2:19" ht="30" customHeight="1">
      <c r="B9" s="78" t="str">
        <f>IF($Q$9=0,"",IF(INDEX('قاعدة البيانات'!$D$6:$D$305,$Q$9)="بنت","👧 ","👦 ")&amp;INDEX('قاعدة البيانات'!$C$6:$C$305,$Q$9))</f>
        <v>👦 توماس صابر صبحى</v>
      </c>
      <c r="C9" s="78"/>
      <c r="D9" s="78"/>
      <c r="F9" s="78" t="str">
        <f>IF($Q$10=0,"",IF(INDEX('قاعدة البيانات'!$D$6:$D$305,$Q$10)="بنت","👧 ","👦 ")&amp;INDEX('قاعدة البيانات'!$C$6:$C$305,$Q$10))</f>
        <v>👧 سيلينا رامي رومانى</v>
      </c>
      <c r="G9" s="78"/>
      <c r="H9" s="78"/>
      <c r="J9" s="78" t="str">
        <f>IF($Q$11=0,"",IF(INDEX('قاعدة البيانات'!$D$6:$D$305,$Q$11)="بنت","👧 ","👦 ")&amp;INDEX('قاعدة البيانات'!$C$6:$C$305,$Q$11))</f>
        <v>👦 روبن عبد المسيح رافت</v>
      </c>
      <c r="K9" s="78"/>
      <c r="L9" s="78"/>
      <c r="P9">
        <v>1</v>
      </c>
      <c r="Q9">
        <f>'حضور غبريال'!BL7</f>
        <v>1</v>
      </c>
      <c r="R9" t="str">
        <f>IF(Q9=0,"",INDEX('قاعدة البيانات'!$D$6:$D$305,Q9))</f>
        <v>ولد</v>
      </c>
      <c r="S9">
        <f>'حضور غبريال'!BM7</f>
        <v>0</v>
      </c>
    </row>
    <row r="10" spans="2:19" ht="108" customHeight="1">
      <c r="B10" s="24" t="e" vm="41">
        <f>IF($Q$9=0,"",IF(ISBLANK(INDEX('قاعدة البيانات'!$K$6:$K$305,$Q$9)),LEFT(INDEX('قاعدة البيانات'!$C$6:$C$305,$Q$9),1),INDEX('قاعدة البيانات'!$K$6:$K$305,$Q$9)))</f>
        <v>#VALUE!</v>
      </c>
      <c r="C10" s="79"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B-001
🎓 سنة تانية
🚶 يروح لوحده: —
📝 مفيش ملاحظات</v>
      </c>
      <c r="D10" s="79"/>
      <c r="F10" s="24" t="e" vm="42">
        <f>IF($Q$10=0,"",IF(ISBLANK(INDEX('قاعدة البيانات'!$K$6:$K$305,$Q$10)),LEFT(INDEX('قاعدة البيانات'!$C$6:$C$305,$Q$10),1),INDEX('قاعدة البيانات'!$K$6:$K$305,$Q$10)))</f>
        <v>#VALUE!</v>
      </c>
      <c r="G10" s="79"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B-002
🎓 سنة تانية
🚶 يروح لوحده: —
📝 مفيش ملاحظات</v>
      </c>
      <c r="H10" s="79"/>
      <c r="J10" s="24" t="e" vm="43">
        <f>IF($Q$11=0,"",IF(ISBLANK(INDEX('قاعدة البيانات'!$K$6:$K$305,$Q$11)),LEFT(INDEX('قاعدة البيانات'!$C$6:$C$305,$Q$11),1),INDEX('قاعدة البيانات'!$K$6:$K$305,$Q$11)))</f>
        <v>#VALUE!</v>
      </c>
      <c r="K10" s="79"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B-003
🎓 سنة تانية
🚶 يروح لوحده: —
📝 مفيش ملاحظات</v>
      </c>
      <c r="L10" s="79"/>
      <c r="P10">
        <v>2</v>
      </c>
      <c r="Q10">
        <f>'حضور غبريال'!BL8</f>
        <v>2</v>
      </c>
      <c r="R10" t="str">
        <f>IF(Q10=0,"",INDEX('قاعدة البيانات'!$D$6:$D$305,Q10))</f>
        <v>بنت</v>
      </c>
      <c r="S10">
        <f>'حضور غبريال'!BM8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01271325124</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01286806532</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01227832577</v>
      </c>
      <c r="L11" s="27" t="str">
        <f>IF(OR($Q$11=0,INDEX('قاعدة البيانات'!$H$6:$H$305,$Q$11)=""),"",HYPERLINK("https://wa.me/20"&amp;RIGHT(INDEX('قاعدة البيانات'!$H$6:$H$305,$Q$11),10),"💬 واتساب"))</f>
        <v>💬 واتساب</v>
      </c>
      <c r="P11">
        <v>3</v>
      </c>
      <c r="Q11">
        <f>'حضور غبريال'!BL9</f>
        <v>3</v>
      </c>
      <c r="R11" t="str">
        <f>IF(Q11=0,"",INDEX('قاعدة البيانات'!$D$6:$D$305,Q11))</f>
        <v>ولد</v>
      </c>
      <c r="S11">
        <f>'حضور غبريال'!BM9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01221561038</v>
      </c>
      <c r="L12" s="27" t="str">
        <f>IF(OR($Q$11=0,INDEX('قاعدة البيانات'!$I$6:$I$305,$Q$11)=""),"",HYPERLINK("https://wa.me/20"&amp;RIGHT(INDEX('قاعدة البيانات'!$I$6:$I$305,$Q$11),10),"💬 واتساب"))</f>
        <v>💬 واتساب</v>
      </c>
      <c r="P12">
        <v>4</v>
      </c>
      <c r="Q12">
        <f>'حضور غبريال'!BL10</f>
        <v>4</v>
      </c>
      <c r="R12" t="str">
        <f>IF(Q12=0,"",INDEX('قاعدة البيانات'!$D$6:$D$305,Q12))</f>
        <v>بنت</v>
      </c>
      <c r="S12">
        <f>'حضور غبريال'!BM10</f>
        <v>0</v>
      </c>
    </row>
    <row r="13" spans="2:19" ht="37.5" customHeight="1">
      <c r="B13" s="80" t="str">
        <f>IF($Q$9=0,"","📍 "&amp;IF(INDEX('قاعدة البيانات'!$J$6:$J$305,$Q$9)="","— مفيش عنوان —",INDEX('قاعدة البيانات'!$J$6:$J$305,$Q$9)))</f>
        <v>📍 58 شارع ترعة حمزة - شقة 6 الدور 3 - يمين السلم</v>
      </c>
      <c r="C13" s="80"/>
      <c r="D13" s="80"/>
      <c r="F13" s="80" t="str">
        <f>IF($Q$10=0,"","📍 "&amp;IF(INDEX('قاعدة البيانات'!$J$6:$J$305,$Q$10)="","— مفيش عنوان —",INDEX('قاعدة البيانات'!$J$6:$J$305,$Q$10)))</f>
        <v>📍 115 أ ابراج الاصاله امام الصحة - الدور ال 12 الشقة اللي علي اليمين - براج الاصاله امام الصحة الدور ال 12 الشقه على اليمين 
اول عمارة على الشمال</v>
      </c>
      <c r="G13" s="80"/>
      <c r="H13" s="80"/>
      <c r="J13" s="80" t="str">
        <f>IF($Q$11=0,"","📍 "&amp;IF(INDEX('قاعدة البيانات'!$J$6:$J$305,$Q$11)="","— مفيش عنوان —",INDEX('قاعدة البيانات'!$J$6:$J$305,$Q$11)))</f>
        <v>📍 8 شارع محمد مغاورى - شقة 5 الدور 5 - من شارع البشري / الشارع اللى قدام محل بيبو</v>
      </c>
      <c r="K13" s="80"/>
      <c r="L13" s="80"/>
      <c r="P13">
        <v>5</v>
      </c>
      <c r="Q13">
        <f>'حضور غبريال'!BL11</f>
        <v>5</v>
      </c>
      <c r="R13" t="str">
        <f>IF(Q13=0,"",INDEX('قاعدة البيانات'!$D$6:$D$305,Q13))</f>
        <v>بنت</v>
      </c>
      <c r="S13">
        <f>'حضور غبريال'!BM11</f>
        <v>0</v>
      </c>
    </row>
    <row r="14" spans="2:19" ht="21.75" customHeight="1">
      <c r="B14" s="75" t="str">
        <f>IF($Q$9=0,"","📊 إحصائيات الحضور")</f>
        <v>📊 إحصائيات الحضور</v>
      </c>
      <c r="C14" s="75"/>
      <c r="D14" s="75"/>
      <c r="F14" s="75" t="str">
        <f>IF($Q$10=0,"","📊 إحصائيات الحضور")</f>
        <v>📊 إحصائيات الحضور</v>
      </c>
      <c r="G14" s="75"/>
      <c r="H14" s="75"/>
      <c r="J14" s="75" t="str">
        <f>IF($Q$11=0,"","📊 إحصائيات الحضور")</f>
        <v>📊 إحصائيات الحضور</v>
      </c>
      <c r="K14" s="75"/>
      <c r="L14" s="75"/>
      <c r="P14">
        <v>6</v>
      </c>
      <c r="Q14">
        <f>'حضور غبريال'!BL12</f>
        <v>6</v>
      </c>
      <c r="R14" t="str">
        <f>IF(Q14=0,"",INDEX('قاعدة البيانات'!$D$6:$D$305,Q14))</f>
        <v>ولد</v>
      </c>
      <c r="S14">
        <f>'حضور غبريال'!BM12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غبريال'!BL13</f>
        <v>7</v>
      </c>
      <c r="R15" t="str">
        <f>IF(Q15=0,"",INDEX('قاعدة البيانات'!$D$6:$D$305,Q15))</f>
        <v>ولد</v>
      </c>
      <c r="S15">
        <f>'حضور غبريال'!BM13</f>
        <v>0</v>
      </c>
    </row>
    <row r="16" spans="2:19" ht="33.75" customHeight="1">
      <c r="B16" s="29">
        <f>'حضور غبريال'!C7</f>
        <v>0</v>
      </c>
      <c r="C16" s="30">
        <f>'حضور غبريال'!D7</f>
        <v>0</v>
      </c>
      <c r="D16" s="31" t="str">
        <f>'حضور غبريال'!F7</f>
        <v/>
      </c>
      <c r="F16" s="29">
        <f>'حضور غبريال'!C8</f>
        <v>0</v>
      </c>
      <c r="G16" s="30">
        <f>'حضور غبريال'!D8</f>
        <v>0</v>
      </c>
      <c r="H16" s="31" t="str">
        <f>'حضور غبريال'!F8</f>
        <v/>
      </c>
      <c r="J16" s="29">
        <f>'حضور غبريال'!C9</f>
        <v>0</v>
      </c>
      <c r="K16" s="30">
        <f>'حضور غبريال'!D9</f>
        <v>0</v>
      </c>
      <c r="L16" s="31" t="str">
        <f>'حضور غبريال'!F9</f>
        <v/>
      </c>
      <c r="P16">
        <v>8</v>
      </c>
      <c r="Q16">
        <f>'حضور غبريال'!BL14</f>
        <v>8</v>
      </c>
      <c r="R16" t="str">
        <f>IF(Q16=0,"",INDEX('قاعدة البيانات'!$D$6:$D$305,Q16))</f>
        <v>بنت</v>
      </c>
      <c r="S16">
        <f>'حضور غبريال'!BM14</f>
        <v>0</v>
      </c>
    </row>
    <row r="17" spans="2:19" ht="24" customHeight="1">
      <c r="B17" s="76" t="str">
        <f>'حضور غبريال'!I7</f>
        <v>⏳ لسه مفيش حضور</v>
      </c>
      <c r="C17" s="76"/>
      <c r="D17" s="76"/>
      <c r="F17" s="76" t="str">
        <f>'حضور غبريال'!I8</f>
        <v>⏳ لسه مفيش حضور</v>
      </c>
      <c r="G17" s="76"/>
      <c r="H17" s="76"/>
      <c r="J17" s="76" t="str">
        <f>'حضور غبريال'!I9</f>
        <v>⏳ لسه مفيش حضور</v>
      </c>
      <c r="K17" s="76"/>
      <c r="L17" s="76"/>
      <c r="P17">
        <v>9</v>
      </c>
      <c r="Q17">
        <f>'حضور غبريال'!BL15</f>
        <v>9</v>
      </c>
      <c r="R17" t="str">
        <f>IF(Q17=0,"",INDEX('قاعدة البيانات'!$D$6:$D$305,Q17))</f>
        <v>ولد</v>
      </c>
      <c r="S17">
        <f>'حضور غبريال'!BM15</f>
        <v>0</v>
      </c>
    </row>
    <row r="18" spans="2:19" ht="19.5" customHeight="1">
      <c r="B18" s="77" t="str">
        <f>IF($Q$9=0,"","🗓️ آخر حضور: "&amp;IF(ISNUMBER('حضور غبريال'!H7),DAY('حضور غبريال'!H7)&amp;"/"&amp;MONTH('حضور غبريال'!H7)&amp;"/"&amp;YEAR('حضور غبريال'!H7),"—")&amp;"   •   غياب متتالي: "&amp;'حضور غبريال'!G7)</f>
        <v>🗓️ آخر حضور: —   •   غياب متتالي: 0</v>
      </c>
      <c r="C18" s="77"/>
      <c r="D18" s="77"/>
      <c r="F18" s="77" t="str">
        <f>IF($Q$10=0,"","🗓️ آخر حضور: "&amp;IF(ISNUMBER('حضور غبريال'!H8),DAY('حضور غبريال'!H8)&amp;"/"&amp;MONTH('حضور غبريال'!H8)&amp;"/"&amp;YEAR('حضور غبريال'!H8),"—")&amp;"   •   غياب متتالي: "&amp;'حضور غبريال'!G8)</f>
        <v>🗓️ آخر حضور: —   •   غياب متتالي: 0</v>
      </c>
      <c r="G18" s="77"/>
      <c r="H18" s="77"/>
      <c r="J18" s="77" t="str">
        <f>IF($Q$11=0,"","🗓️ آخر حضور: "&amp;IF(ISNUMBER('حضور غبريال'!H9),DAY('حضور غبريال'!H9)&amp;"/"&amp;MONTH('حضور غبريال'!H9)&amp;"/"&amp;YEAR('حضور غبريال'!H9),"—")&amp;"   •   غياب متتالي: "&amp;'حضور غبريال'!G9)</f>
        <v>🗓️ آخر حضور: —   •   غياب متتالي: 0</v>
      </c>
      <c r="K18" s="77"/>
      <c r="L18" s="77"/>
      <c r="P18">
        <v>10</v>
      </c>
      <c r="Q18">
        <f>'حضور غبريال'!BL16</f>
        <v>10</v>
      </c>
      <c r="R18" t="str">
        <f>IF(Q18=0,"",INDEX('قاعدة البيانات'!$D$6:$D$305,Q18))</f>
        <v>ولد</v>
      </c>
      <c r="S18">
        <f>'حضور غبريال'!BM16</f>
        <v>0</v>
      </c>
    </row>
    <row r="19" spans="2:19" ht="13.5" customHeight="1">
      <c r="P19">
        <v>11</v>
      </c>
      <c r="Q19">
        <f>'حضور غبريال'!BL17</f>
        <v>11</v>
      </c>
      <c r="R19" t="str">
        <f>IF(Q19=0,"",INDEX('قاعدة البيانات'!$D$6:$D$305,Q19))</f>
        <v>ولد</v>
      </c>
      <c r="S19">
        <f>'حضور غبريال'!BM17</f>
        <v>0</v>
      </c>
    </row>
    <row r="20" spans="2:19" ht="30" customHeight="1">
      <c r="B20" s="78" t="str">
        <f>IF($Q$12=0,"",IF(INDEX('قاعدة البيانات'!$D$6:$D$305,$Q$12)="بنت","👧 ","👦 ")&amp;INDEX('قاعدة البيانات'!$C$6:$C$305,$Q$12))</f>
        <v>👧 جوى جورج ثابت</v>
      </c>
      <c r="C20" s="78"/>
      <c r="D20" s="78"/>
      <c r="F20" s="78" t="str">
        <f>IF($Q$13=0,"",IF(INDEX('قاعدة البيانات'!$D$6:$D$305,$Q$13)="بنت","👧 ","👦 ")&amp;INDEX('قاعدة البيانات'!$C$6:$C$305,$Q$13))</f>
        <v>👧 بارثينيا رامز منير شفيق</v>
      </c>
      <c r="G20" s="78"/>
      <c r="H20" s="78"/>
      <c r="J20" s="78" t="str">
        <f>IF($Q$14=0,"",IF(INDEX('قاعدة البيانات'!$D$6:$D$305,$Q$14)="بنت","👧 ","👦 ")&amp;INDEX('قاعدة البيانات'!$C$6:$C$305,$Q$14))</f>
        <v>👦 مينا رفيق زكريا عبد الشهيد</v>
      </c>
      <c r="K20" s="78"/>
      <c r="L20" s="78"/>
      <c r="P20">
        <v>12</v>
      </c>
      <c r="Q20">
        <f>'حضور غبريال'!BL18</f>
        <v>12</v>
      </c>
      <c r="R20" t="str">
        <f>IF(Q20=0,"",INDEX('قاعدة البيانات'!$D$6:$D$305,Q20))</f>
        <v>بنت</v>
      </c>
      <c r="S20">
        <f>'حضور غبريال'!BM18</f>
        <v>0</v>
      </c>
    </row>
    <row r="21" spans="2:19" ht="108" customHeight="1">
      <c r="B21" s="24" t="str">
        <f>IF($Q$12=0,"",IF(ISBLANK(INDEX('قاعدة البيانات'!$K$6:$K$305,$Q$12)),LEFT(INDEX('قاعدة البيانات'!$C$6:$C$305,$Q$12),1),INDEX('قاعدة البيانات'!$K$6:$K$305,$Q$12)))</f>
        <v>ج</v>
      </c>
      <c r="C21" s="79"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B-004
🎓 سنة تانية
🚶 يروح لوحده: —
📝 مفيش ملاحظات</v>
      </c>
      <c r="D21" s="79"/>
      <c r="F21" s="24" t="e" vm="44">
        <f>IF($Q$13=0,"",IF(ISBLANK(INDEX('قاعدة البيانات'!$K$6:$K$305,$Q$13)),LEFT(INDEX('قاعدة البيانات'!$C$6:$C$305,$Q$13),1),INDEX('قاعدة البيانات'!$K$6:$K$305,$Q$13)))</f>
        <v>#VALUE!</v>
      </c>
      <c r="G21" s="79"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B-005
🎓 سنة تانية
🚶 يروح لوحده: —
📝 مفيش ملاحظات</v>
      </c>
      <c r="H21" s="79"/>
      <c r="J21" s="24" t="str">
        <f>IF($Q$14=0,"",IF(ISBLANK(INDEX('قاعدة البيانات'!$K$6:$K$305,$Q$14)),LEFT(INDEX('قاعدة البيانات'!$C$6:$C$305,$Q$14),1),INDEX('قاعدة البيانات'!$K$6:$K$305,$Q$14)))</f>
        <v>م</v>
      </c>
      <c r="K21" s="79"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B-006
🎓 سنة تانية
🚶 يروح لوحده: —
📝 مفيش ملاحظات</v>
      </c>
      <c r="L21" s="79"/>
      <c r="P21">
        <v>13</v>
      </c>
      <c r="Q21">
        <f>'حضور غبريال'!BL19</f>
        <v>13</v>
      </c>
      <c r="R21" t="str">
        <f>IF(Q21=0,"",INDEX('قاعدة البيانات'!$D$6:$D$305,Q21))</f>
        <v>ولد</v>
      </c>
      <c r="S21">
        <f>'حضور غبريال'!BM19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01228872241</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01270484412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01287449133</v>
      </c>
      <c r="L22" s="27" t="str">
        <f>IF(OR($Q$14=0,INDEX('قاعدة البيانات'!$H$6:$H$305,$Q$14)=""),"",HYPERLINK("https://wa.me/20"&amp;RIGHT(INDEX('قاعدة البيانات'!$H$6:$H$305,$Q$14),10),"💬 واتساب"))</f>
        <v>💬 واتساب</v>
      </c>
      <c r="P22">
        <v>14</v>
      </c>
      <c r="Q22">
        <f>'حضور غبريال'!BL20</f>
        <v>14</v>
      </c>
      <c r="R22" t="str">
        <f>IF(Q22=0,"",INDEX('قاعدة البيانات'!$D$6:$D$305,Q22))</f>
        <v>بنت</v>
      </c>
      <c r="S22">
        <f>'حضور غبريال'!BM20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مفيش رقم —</v>
      </c>
      <c r="L23" s="27" t="str">
        <f>IF(OR($Q$14=0,INDEX('قاعدة البيانات'!$I$6:$I$305,$Q$14)=""),"",HYPERLINK("https://wa.me/20"&amp;RIGHT(INDEX('قاعدة البيانات'!$I$6:$I$305,$Q$14),10),"💬 واتساب"))</f>
        <v/>
      </c>
      <c r="P23">
        <v>15</v>
      </c>
      <c r="Q23">
        <f>'حضور غبريال'!BL21</f>
        <v>15</v>
      </c>
      <c r="R23" t="str">
        <f>IF(Q23=0,"",INDEX('قاعدة البيانات'!$D$6:$D$305,Q23))</f>
        <v>ولد</v>
      </c>
      <c r="S23">
        <f>'حضور غبريال'!BM21</f>
        <v>0</v>
      </c>
    </row>
    <row r="24" spans="2:19" ht="37.5" customHeight="1">
      <c r="B24" s="80" t="str">
        <f>IF($Q$12=0,"","📍 "&amp;IF(INDEX('قاعدة البيانات'!$J$6:$J$305,$Q$12)="","— مفيش عنوان —",INDEX('قاعدة البيانات'!$J$6:$J$305,$Q$12)))</f>
        <v>📍 5 شارع البشرى المليحة - صيدلية ميشيل</v>
      </c>
      <c r="C24" s="80"/>
      <c r="D24" s="80"/>
      <c r="F24" s="80" t="str">
        <f>IF($Q$13=0,"","📍 "&amp;IF(INDEX('قاعدة البيانات'!$J$6:$J$305,$Q$13)="","— مفيش عنوان —",INDEX('قاعدة البيانات'!$J$6:$J$305,$Q$13)))</f>
        <v>📍 19 شارع عزبة الرشيدى - الدور 7 - عزبه النخل / 19 رشدى نساك</v>
      </c>
      <c r="G24" s="80"/>
      <c r="H24" s="80"/>
      <c r="J24" s="80" t="str">
        <f>IF($Q$14=0,"","📍 "&amp;IF(INDEX('قاعدة البيانات'!$J$6:$J$305,$Q$14)="","— مفيش عنوان —",INDEX('قاعدة البيانات'!$J$6:$J$305,$Q$14)))</f>
        <v>📍 2 شارع فايز مترى -  شقة 1 - الأرضي / مجدى البقال</v>
      </c>
      <c r="K24" s="80"/>
      <c r="L24" s="80"/>
      <c r="P24">
        <v>16</v>
      </c>
      <c r="Q24">
        <f>'حضور غبريال'!BL22</f>
        <v>16</v>
      </c>
      <c r="R24" t="str">
        <f>IF(Q24=0,"",INDEX('قاعدة البيانات'!$D$6:$D$305,Q24))</f>
        <v>بنت</v>
      </c>
      <c r="S24">
        <f>'حضور غبريال'!BM22</f>
        <v>0</v>
      </c>
    </row>
    <row r="25" spans="2:19" ht="21.75" customHeight="1">
      <c r="B25" s="75" t="str">
        <f>IF($Q$12=0,"","📊 إحصائيات الحضور")</f>
        <v>📊 إحصائيات الحضور</v>
      </c>
      <c r="C25" s="75"/>
      <c r="D25" s="75"/>
      <c r="F25" s="75" t="str">
        <f>IF($Q$13=0,"","📊 إحصائيات الحضور")</f>
        <v>📊 إحصائيات الحضور</v>
      </c>
      <c r="G25" s="75"/>
      <c r="H25" s="75"/>
      <c r="J25" s="75" t="str">
        <f>IF($Q$14=0,"","📊 إحصائيات الحضور")</f>
        <v>📊 إحصائيات الحضور</v>
      </c>
      <c r="K25" s="75"/>
      <c r="L25" s="75"/>
      <c r="P25">
        <v>17</v>
      </c>
      <c r="Q25">
        <f>'حضور غبريال'!BL23</f>
        <v>17</v>
      </c>
      <c r="R25" t="str">
        <f>IF(Q25=0,"",INDEX('قاعدة البيانات'!$D$6:$D$305,Q25))</f>
        <v>بنت</v>
      </c>
      <c r="S25">
        <f>'حضور غبريال'!BM23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غبريال'!BL24</f>
        <v>18</v>
      </c>
      <c r="R26" t="str">
        <f>IF(Q26=0,"",INDEX('قاعدة البيانات'!$D$6:$D$305,Q26))</f>
        <v>ولد</v>
      </c>
      <c r="S26">
        <f>'حضور غبريال'!BM24</f>
        <v>0</v>
      </c>
    </row>
    <row r="27" spans="2:19" ht="33.75" customHeight="1">
      <c r="B27" s="29">
        <f>'حضور غبريال'!C10</f>
        <v>0</v>
      </c>
      <c r="C27" s="30">
        <f>'حضور غبريال'!D10</f>
        <v>0</v>
      </c>
      <c r="D27" s="31" t="str">
        <f>'حضور غبريال'!F10</f>
        <v/>
      </c>
      <c r="F27" s="29">
        <f>'حضور غبريال'!C11</f>
        <v>0</v>
      </c>
      <c r="G27" s="30">
        <f>'حضور غبريال'!D11</f>
        <v>0</v>
      </c>
      <c r="H27" s="31" t="str">
        <f>'حضور غبريال'!F11</f>
        <v/>
      </c>
      <c r="J27" s="29">
        <f>'حضور غبريال'!C12</f>
        <v>0</v>
      </c>
      <c r="K27" s="30">
        <f>'حضور غبريال'!D12</f>
        <v>0</v>
      </c>
      <c r="L27" s="31" t="str">
        <f>'حضور غبريال'!F12</f>
        <v/>
      </c>
      <c r="P27">
        <v>19</v>
      </c>
      <c r="Q27">
        <f>'حضور غبريال'!BL25</f>
        <v>19</v>
      </c>
      <c r="R27" t="str">
        <f>IF(Q27=0,"",INDEX('قاعدة البيانات'!$D$6:$D$305,Q27))</f>
        <v>بنت</v>
      </c>
      <c r="S27">
        <f>'حضور غبريال'!BM25</f>
        <v>0</v>
      </c>
    </row>
    <row r="28" spans="2:19" ht="24" customHeight="1">
      <c r="B28" s="76" t="str">
        <f>'حضور غبريال'!I10</f>
        <v>⏳ لسه مفيش حضور</v>
      </c>
      <c r="C28" s="76"/>
      <c r="D28" s="76"/>
      <c r="F28" s="76" t="str">
        <f>'حضور غبريال'!I11</f>
        <v>⏳ لسه مفيش حضور</v>
      </c>
      <c r="G28" s="76"/>
      <c r="H28" s="76"/>
      <c r="J28" s="76" t="str">
        <f>'حضور غبريال'!I12</f>
        <v>⏳ لسه مفيش حضور</v>
      </c>
      <c r="K28" s="76"/>
      <c r="L28" s="76"/>
      <c r="P28">
        <v>20</v>
      </c>
      <c r="Q28">
        <f>'حضور غبريال'!BL26</f>
        <v>20</v>
      </c>
      <c r="R28" t="str">
        <f>IF(Q28=0,"",INDEX('قاعدة البيانات'!$D$6:$D$305,Q28))</f>
        <v>بنت</v>
      </c>
      <c r="S28">
        <f>'حضور غبريال'!BM26</f>
        <v>0</v>
      </c>
    </row>
    <row r="29" spans="2:19" ht="19.5" customHeight="1">
      <c r="B29" s="77" t="str">
        <f>IF($Q$12=0,"","🗓️ آخر حضور: "&amp;IF(ISNUMBER('حضور غبريال'!H10),DAY('حضور غبريال'!H10)&amp;"/"&amp;MONTH('حضور غبريال'!H10)&amp;"/"&amp;YEAR('حضور غبريال'!H10),"—")&amp;"   •   غياب متتالي: "&amp;'حضور غبريال'!G10)</f>
        <v>🗓️ آخر حضور: —   •   غياب متتالي: 0</v>
      </c>
      <c r="C29" s="77"/>
      <c r="D29" s="77"/>
      <c r="F29" s="77" t="str">
        <f>IF($Q$13=0,"","🗓️ آخر حضور: "&amp;IF(ISNUMBER('حضور غبريال'!H11),DAY('حضور غبريال'!H11)&amp;"/"&amp;MONTH('حضور غبريال'!H11)&amp;"/"&amp;YEAR('حضور غبريال'!H11),"—")&amp;"   •   غياب متتالي: "&amp;'حضور غبريال'!G11)</f>
        <v>🗓️ آخر حضور: —   •   غياب متتالي: 0</v>
      </c>
      <c r="G29" s="77"/>
      <c r="H29" s="77"/>
      <c r="J29" s="77" t="str">
        <f>IF($Q$14=0,"","🗓️ آخر حضور: "&amp;IF(ISNUMBER('حضور غبريال'!H12),DAY('حضور غبريال'!H12)&amp;"/"&amp;MONTH('حضور غبريال'!H12)&amp;"/"&amp;YEAR('حضور غبريال'!H12),"—")&amp;"   •   غياب متتالي: "&amp;'حضور غبريال'!G12)</f>
        <v>🗓️ آخر حضور: —   •   غياب متتالي: 0</v>
      </c>
      <c r="K29" s="77"/>
      <c r="L29" s="77"/>
      <c r="P29">
        <v>21</v>
      </c>
      <c r="Q29">
        <f>'حضور غبريال'!BL27</f>
        <v>21</v>
      </c>
      <c r="R29" t="str">
        <f>IF(Q29=0,"",INDEX('قاعدة البيانات'!$D$6:$D$305,Q29))</f>
        <v>بنت</v>
      </c>
      <c r="S29">
        <f>'حضور غبريال'!BM27</f>
        <v>0</v>
      </c>
    </row>
    <row r="30" spans="2:19" ht="13.5" customHeight="1">
      <c r="P30">
        <v>22</v>
      </c>
      <c r="Q30">
        <f>'حضور غبريال'!BL28</f>
        <v>22</v>
      </c>
      <c r="R30" t="str">
        <f>IF(Q30=0,"",INDEX('قاعدة البيانات'!$D$6:$D$305,Q30))</f>
        <v>بنت</v>
      </c>
      <c r="S30">
        <f>'حضور غبريال'!BM28</f>
        <v>0</v>
      </c>
    </row>
    <row r="31" spans="2:19" ht="30" customHeight="1">
      <c r="B31" s="78" t="str">
        <f>IF($Q$15=0,"",IF(INDEX('قاعدة البيانات'!$D$6:$D$305,$Q$15)="بنت","👧 ","👦 ")&amp;INDEX('قاعدة البيانات'!$C$6:$C$305,$Q$15))</f>
        <v>👦 بولا غالى توفيق</v>
      </c>
      <c r="C31" s="78"/>
      <c r="D31" s="78"/>
      <c r="F31" s="78" t="str">
        <f>IF($Q$16=0,"",IF(INDEX('قاعدة البيانات'!$D$6:$D$305,$Q$16)="بنت","👧 ","👦 ")&amp;INDEX('قاعدة البيانات'!$C$6:$C$305,$Q$16))</f>
        <v>👧 ماري جرجس اسحق عطا الله</v>
      </c>
      <c r="G31" s="78"/>
      <c r="H31" s="78"/>
      <c r="J31" s="78" t="str">
        <f>IF($Q$17=0,"",IF(INDEX('قاعدة البيانات'!$D$6:$D$305,$Q$17)="بنت","👧 ","👦 ")&amp;INDEX('قاعدة البيانات'!$C$6:$C$305,$Q$17))</f>
        <v>👦 بيشوى سمير ميخائيل فيلته</v>
      </c>
      <c r="K31" s="78"/>
      <c r="L31" s="78"/>
      <c r="P31">
        <v>23</v>
      </c>
      <c r="Q31">
        <f>'حضور غبريال'!BL29</f>
        <v>23</v>
      </c>
      <c r="R31" t="str">
        <f>IF(Q31=0,"",INDEX('قاعدة البيانات'!$D$6:$D$305,Q31))</f>
        <v>بنت</v>
      </c>
      <c r="S31">
        <f>'حضور غبريال'!BM29</f>
        <v>0</v>
      </c>
    </row>
    <row r="32" spans="2:19" ht="108" customHeight="1">
      <c r="B32" s="24" t="str">
        <f>IF($Q$15=0,"",IF(ISBLANK(INDEX('قاعدة البيانات'!$K$6:$K$305,$Q$15)),LEFT(INDEX('قاعدة البيانات'!$C$6:$C$305,$Q$15),1),INDEX('قاعدة البيانات'!$K$6:$K$305,$Q$15)))</f>
        <v>ب</v>
      </c>
      <c r="C32" s="79"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B-007
🎓 سنة تانية
🚶 يروح لوحده: —
📝 مفيش ملاحظات</v>
      </c>
      <c r="D32" s="79"/>
      <c r="F32" s="24" t="e" vm="45">
        <f>IF($Q$16=0,"",IF(ISBLANK(INDEX('قاعدة البيانات'!$K$6:$K$305,$Q$16)),LEFT(INDEX('قاعدة البيانات'!$C$6:$C$305,$Q$16),1),INDEX('قاعدة البيانات'!$K$6:$K$305,$Q$16)))</f>
        <v>#VALUE!</v>
      </c>
      <c r="G32" s="79"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B-008
🎓 سنة تانية
🚶 يروح لوحده: —
📝 مفيش ملاحظات</v>
      </c>
      <c r="H32" s="79"/>
      <c r="J32" s="24" t="e" vm="46">
        <f>IF($Q$17=0,"",IF(ISBLANK(INDEX('قاعدة البيانات'!$K$6:$K$305,$Q$17)),LEFT(INDEX('قاعدة البيانات'!$C$6:$C$305,$Q$17),1),INDEX('قاعدة البيانات'!$K$6:$K$305,$Q$17)))</f>
        <v>#VALUE!</v>
      </c>
      <c r="K32" s="79"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B-009
🎓 سنة تانية
🚶 يروح لوحده: —
📝 مفيش ملاحظات</v>
      </c>
      <c r="L32" s="79"/>
      <c r="P32">
        <v>24</v>
      </c>
      <c r="Q32">
        <f>'حضور غبريال'!BL30</f>
        <v>24</v>
      </c>
      <c r="R32" t="str">
        <f>IF(Q32=0,"",INDEX('قاعدة البيانات'!$D$6:$D$305,Q32))</f>
        <v>بنت</v>
      </c>
      <c r="S32">
        <f>'حضور غبريال'!BM30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01201247688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01201652497</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01208183104</v>
      </c>
      <c r="L33" s="27" t="str">
        <f>IF(OR($Q$17=0,INDEX('قاعدة البيانات'!$H$6:$H$305,$Q$17)=""),"",HYPERLINK("https://wa.me/20"&amp;RIGHT(INDEX('قاعدة البيانات'!$H$6:$H$305,$Q$17),10),"💬 واتساب"))</f>
        <v>💬 واتساب</v>
      </c>
      <c r="P33">
        <v>25</v>
      </c>
      <c r="Q33">
        <f>'حضور غبريال'!BL31</f>
        <v>0</v>
      </c>
      <c r="R33" t="str">
        <f>IF(Q33=0,"",INDEX('قاعدة البيانات'!$D$6:$D$305,Q33))</f>
        <v/>
      </c>
      <c r="S33">
        <f>'حضور غبريال'!BM31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01206588362</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غبريال'!BL32</f>
        <v>0</v>
      </c>
      <c r="R34" t="str">
        <f>IF(Q34=0,"",INDEX('قاعدة البيانات'!$D$6:$D$305,Q34))</f>
        <v/>
      </c>
      <c r="S34">
        <f>'حضور غبريال'!BM32</f>
        <v>0</v>
      </c>
    </row>
    <row r="35" spans="2:19" ht="37.5" customHeight="1">
      <c r="B35" s="80" t="str">
        <f>IF($Q$15=0,"","📍 "&amp;IF(INDEX('قاعدة البيانات'!$J$6:$J$305,$Q$15)="","— مفيش عنوان —",INDEX('قاعدة البيانات'!$J$6:$J$305,$Q$15)))</f>
        <v>📍 25 شارع عبد الشافى حسن</v>
      </c>
      <c r="C35" s="80"/>
      <c r="D35" s="80"/>
      <c r="F35" s="80" t="str">
        <f>IF($Q$16=0,"","📍 "&amp;IF(INDEX('قاعدة البيانات'!$J$6:$J$305,$Q$16)="","— مفيش عنوان —",INDEX('قاعدة البيانات'!$J$6:$J$305,$Q$16)))</f>
        <v>📍 4 شارع روفائيل سليمان -  شقة 85 الدور 11 - امام الاسانسير</v>
      </c>
      <c r="G35" s="80"/>
      <c r="H35" s="80"/>
      <c r="J35" s="80" t="str">
        <f>IF($Q$17=0,"","📍 "&amp;IF(INDEX('قاعدة البيانات'!$J$6:$J$305,$Q$17)="","— مفيش عنوان —",INDEX('قاعدة البيانات'!$J$6:$J$305,$Q$17)))</f>
        <v>📍 10 شارع عطوه حسن - شقة 4 الدور 4</v>
      </c>
      <c r="K35" s="80"/>
      <c r="L35" s="80"/>
      <c r="P35">
        <v>27</v>
      </c>
      <c r="Q35">
        <f>'حضور غبريال'!BL33</f>
        <v>0</v>
      </c>
      <c r="R35" t="str">
        <f>IF(Q35=0,"",INDEX('قاعدة البيانات'!$D$6:$D$305,Q35))</f>
        <v/>
      </c>
      <c r="S35">
        <f>'حضور غبريال'!BM33</f>
        <v>0</v>
      </c>
    </row>
    <row r="36" spans="2:19" ht="21.75" customHeight="1">
      <c r="B36" s="75" t="str">
        <f>IF($Q$15=0,"","📊 إحصائيات الحضور")</f>
        <v>📊 إحصائيات الحضور</v>
      </c>
      <c r="C36" s="75"/>
      <c r="D36" s="75"/>
      <c r="F36" s="75" t="str">
        <f>IF($Q$16=0,"","📊 إحصائيات الحضور")</f>
        <v>📊 إحصائيات الحضور</v>
      </c>
      <c r="G36" s="75"/>
      <c r="H36" s="75"/>
      <c r="J36" s="75" t="str">
        <f>IF($Q$17=0,"","📊 إحصائيات الحضور")</f>
        <v>📊 إحصائيات الحضور</v>
      </c>
      <c r="K36" s="75"/>
      <c r="L36" s="75"/>
      <c r="P36">
        <v>28</v>
      </c>
      <c r="Q36">
        <f>'حضور غبريال'!BL34</f>
        <v>0</v>
      </c>
      <c r="R36" t="str">
        <f>IF(Q36=0,"",INDEX('قاعدة البيانات'!$D$6:$D$305,Q36))</f>
        <v/>
      </c>
      <c r="S36">
        <f>'حضور غبريال'!BM34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غبريال'!BL35</f>
        <v>0</v>
      </c>
      <c r="R37" t="str">
        <f>IF(Q37=0,"",INDEX('قاعدة البيانات'!$D$6:$D$305,Q37))</f>
        <v/>
      </c>
      <c r="S37">
        <f>'حضور غبريال'!BM35</f>
        <v>0</v>
      </c>
    </row>
    <row r="38" spans="2:19" ht="33.75" customHeight="1">
      <c r="B38" s="29">
        <f>'حضور غبريال'!C13</f>
        <v>0</v>
      </c>
      <c r="C38" s="30">
        <f>'حضور غبريال'!D13</f>
        <v>0</v>
      </c>
      <c r="D38" s="31" t="str">
        <f>'حضور غبريال'!F13</f>
        <v/>
      </c>
      <c r="F38" s="29">
        <f>'حضور غبريال'!C14</f>
        <v>0</v>
      </c>
      <c r="G38" s="30">
        <f>'حضور غبريال'!D14</f>
        <v>0</v>
      </c>
      <c r="H38" s="31" t="str">
        <f>'حضور غبريال'!F14</f>
        <v/>
      </c>
      <c r="J38" s="29">
        <f>'حضور غبريال'!C15</f>
        <v>0</v>
      </c>
      <c r="K38" s="30">
        <f>'حضور غبريال'!D15</f>
        <v>0</v>
      </c>
      <c r="L38" s="31" t="str">
        <f>'حضور غبريال'!F15</f>
        <v/>
      </c>
      <c r="P38">
        <v>30</v>
      </c>
      <c r="Q38">
        <f>'حضور غبريال'!BL36</f>
        <v>0</v>
      </c>
      <c r="R38" t="str">
        <f>IF(Q38=0,"",INDEX('قاعدة البيانات'!$D$6:$D$305,Q38))</f>
        <v/>
      </c>
      <c r="S38">
        <f>'حضور غبريال'!BM36</f>
        <v>0</v>
      </c>
    </row>
    <row r="39" spans="2:19" ht="24" customHeight="1">
      <c r="B39" s="76" t="str">
        <f>'حضور غبريال'!I13</f>
        <v>⏳ لسه مفيش حضور</v>
      </c>
      <c r="C39" s="76"/>
      <c r="D39" s="76"/>
      <c r="F39" s="76" t="str">
        <f>'حضور غبريال'!I14</f>
        <v>⏳ لسه مفيش حضور</v>
      </c>
      <c r="G39" s="76"/>
      <c r="H39" s="76"/>
      <c r="J39" s="76" t="str">
        <f>'حضور غبريال'!I15</f>
        <v>⏳ لسه مفيش حضور</v>
      </c>
      <c r="K39" s="76"/>
      <c r="L39" s="76"/>
    </row>
    <row r="40" spans="2:19" ht="19.5" customHeight="1">
      <c r="B40" s="77" t="str">
        <f>IF($Q$15=0,"","🗓️ آخر حضور: "&amp;IF(ISNUMBER('حضور غبريال'!H13),DAY('حضور غبريال'!H13)&amp;"/"&amp;MONTH('حضور غبريال'!H13)&amp;"/"&amp;YEAR('حضور غبريال'!H13),"—")&amp;"   •   غياب متتالي: "&amp;'حضور غبريال'!G13)</f>
        <v>🗓️ آخر حضور: —   •   غياب متتالي: 0</v>
      </c>
      <c r="C40" s="77"/>
      <c r="D40" s="77"/>
      <c r="F40" s="77" t="str">
        <f>IF($Q$16=0,"","🗓️ آخر حضور: "&amp;IF(ISNUMBER('حضور غبريال'!H14),DAY('حضور غبريال'!H14)&amp;"/"&amp;MONTH('حضور غبريال'!H14)&amp;"/"&amp;YEAR('حضور غبريال'!H14),"—")&amp;"   •   غياب متتالي: "&amp;'حضور غبريال'!G14)</f>
        <v>🗓️ آخر حضور: —   •   غياب متتالي: 0</v>
      </c>
      <c r="G40" s="77"/>
      <c r="H40" s="77"/>
      <c r="J40" s="77" t="str">
        <f>IF($Q$17=0,"","🗓️ آخر حضور: "&amp;IF(ISNUMBER('حضور غبريال'!H15),DAY('حضور غبريال'!H15)&amp;"/"&amp;MONTH('حضور غبريال'!H15)&amp;"/"&amp;YEAR('حضور غبريال'!H15),"—")&amp;"   •   غياب متتالي: "&amp;'حضور غبريال'!G15)</f>
        <v>🗓️ آخر حضور: —   •   غياب متتالي: 0</v>
      </c>
      <c r="K40" s="77"/>
      <c r="L40" s="77"/>
    </row>
    <row r="41" spans="2:19" ht="13.5" customHeight="1"/>
    <row r="42" spans="2:19" ht="30" customHeight="1">
      <c r="B42" s="78" t="str">
        <f>IF($Q$18=0,"",IF(INDEX('قاعدة البيانات'!$D$6:$D$305,$Q$18)="بنت","👧 ","👦 ")&amp;INDEX('قاعدة البيانات'!$C$6:$C$305,$Q$18))</f>
        <v>👦 دانييلا توفيق شوقي</v>
      </c>
      <c r="C42" s="78"/>
      <c r="D42" s="78"/>
      <c r="F42" s="78" t="str">
        <f>IF($Q$19=0,"",IF(INDEX('قاعدة البيانات'!$D$6:$D$305,$Q$19)="بنت","👧 ","👦 ")&amp;INDEX('قاعدة البيانات'!$C$6:$C$305,$Q$19))</f>
        <v>👦 بولا ابانوب كرم شلبى</v>
      </c>
      <c r="G42" s="78"/>
      <c r="H42" s="78"/>
      <c r="J42" s="78" t="str">
        <f>IF($Q$20=0,"",IF(INDEX('قاعدة البيانات'!$D$6:$D$305,$Q$20)="بنت","👧 ","👦 ")&amp;INDEX('قاعدة البيانات'!$C$6:$C$305,$Q$20))</f>
        <v>👧 دولوريس جوزيف رزق الله</v>
      </c>
      <c r="K42" s="78"/>
      <c r="L42" s="78"/>
    </row>
    <row r="43" spans="2:19" ht="108" customHeight="1">
      <c r="B43" s="24" t="str">
        <f>IF($Q$18=0,"",IF(ISBLANK(INDEX('قاعدة البيانات'!$K$6:$K$305,$Q$18)),LEFT(INDEX('قاعدة البيانات'!$C$6:$C$305,$Q$18),1),INDEX('قاعدة البيانات'!$K$6:$K$305,$Q$18)))</f>
        <v>د</v>
      </c>
      <c r="C43" s="79"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B-010
🎓 سنة تانية
🚶 يروح لوحده: —
📝 مفيش ملاحظات</v>
      </c>
      <c r="D43" s="79"/>
      <c r="F43" s="24" t="e" vm="47">
        <f>IF($Q$19=0,"",IF(ISBLANK(INDEX('قاعدة البيانات'!$K$6:$K$305,$Q$19)),LEFT(INDEX('قاعدة البيانات'!$C$6:$C$305,$Q$19),1),INDEX('قاعدة البيانات'!$K$6:$K$305,$Q$19)))</f>
        <v>#VALUE!</v>
      </c>
      <c r="G43" s="79"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B-011
🎓 سنة تانية
🚶 يروح لوحده: —
📝 مفيش ملاحظات</v>
      </c>
      <c r="H43" s="79"/>
      <c r="J43" s="24" t="e" vm="48">
        <f>IF($Q$20=0,"",IF(ISBLANK(INDEX('قاعدة البيانات'!$K$6:$K$305,$Q$20)),LEFT(INDEX('قاعدة البيانات'!$C$6:$C$305,$Q$20),1),INDEX('قاعدة البيانات'!$K$6:$K$305,$Q$20)))</f>
        <v>#VALUE!</v>
      </c>
      <c r="K43" s="79"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B-012
🎓 سنة تانية
🚶 يروح لوحده: —
📝 مفيش ملاحظات</v>
      </c>
      <c r="L43" s="79"/>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01289871210</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01225620289</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01284105321</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80" t="str">
        <f>IF($Q$18=0,"","📍 "&amp;IF(INDEX('قاعدة البيانات'!$J$6:$J$305,$Q$18)="","— مفيش عنوان —",INDEX('قاعدة البيانات'!$J$6:$J$305,$Q$18)))</f>
        <v>📍 8 شارع عبد العاطى احمد عليوة -  شقة 3 الدور 3 - متفرع من شارع جوجو</v>
      </c>
      <c r="C46" s="80"/>
      <c r="D46" s="80"/>
      <c r="F46" s="80" t="str">
        <f>IF($Q$19=0,"","📍 "&amp;IF(INDEX('قاعدة البيانات'!$J$6:$J$305,$Q$19)="","— مفيش عنوان —",INDEX('قاعدة البيانات'!$J$6:$J$305,$Q$19)))</f>
        <v>📍 2 شارع محمد عبد الله سلام - شقة 6 الدور 2 - منطقة 2</v>
      </c>
      <c r="G46" s="80"/>
      <c r="H46" s="80"/>
      <c r="J46" s="80" t="str">
        <f>IF($Q$20=0,"","📍 "&amp;IF(INDEX('قاعدة البيانات'!$J$6:$J$305,$Q$20)="","— مفيش عنوان —",INDEX('قاعدة البيانات'!$J$6:$J$305,$Q$20)))</f>
        <v>📍 26 شارع أحمد رفاعى -  شقة 6 الدور 6</v>
      </c>
      <c r="K46" s="80"/>
      <c r="L46" s="80"/>
    </row>
    <row r="47" spans="2:19" ht="21.75" customHeight="1">
      <c r="B47" s="75" t="str">
        <f>IF($Q$18=0,"","📊 إحصائيات الحضور")</f>
        <v>📊 إحصائيات الحضور</v>
      </c>
      <c r="C47" s="75"/>
      <c r="D47" s="75"/>
      <c r="F47" s="75" t="str">
        <f>IF($Q$19=0,"","📊 إحصائيات الحضور")</f>
        <v>📊 إحصائيات الحضور</v>
      </c>
      <c r="G47" s="75"/>
      <c r="H47" s="75"/>
      <c r="J47" s="75" t="str">
        <f>IF($Q$20=0,"","📊 إحصائيات الحضور")</f>
        <v>📊 إحصائيات الحضور</v>
      </c>
      <c r="K47" s="75"/>
      <c r="L47" s="75"/>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غبريال'!C16</f>
        <v>0</v>
      </c>
      <c r="C49" s="30">
        <f>'حضور غبريال'!D16</f>
        <v>0</v>
      </c>
      <c r="D49" s="31" t="str">
        <f>'حضور غبريال'!F16</f>
        <v/>
      </c>
      <c r="F49" s="29">
        <f>'حضور غبريال'!C17</f>
        <v>0</v>
      </c>
      <c r="G49" s="30">
        <f>'حضور غبريال'!D17</f>
        <v>0</v>
      </c>
      <c r="H49" s="31" t="str">
        <f>'حضور غبريال'!F17</f>
        <v/>
      </c>
      <c r="J49" s="29">
        <f>'حضور غبريال'!C18</f>
        <v>0</v>
      </c>
      <c r="K49" s="30">
        <f>'حضور غبريال'!D18</f>
        <v>0</v>
      </c>
      <c r="L49" s="31" t="str">
        <f>'حضور غبريال'!F18</f>
        <v/>
      </c>
    </row>
    <row r="50" spans="2:12" ht="24" customHeight="1">
      <c r="B50" s="76" t="str">
        <f>'حضور غبريال'!I16</f>
        <v>⏳ لسه مفيش حضور</v>
      </c>
      <c r="C50" s="76"/>
      <c r="D50" s="76"/>
      <c r="F50" s="76" t="str">
        <f>'حضور غبريال'!I17</f>
        <v>⏳ لسه مفيش حضور</v>
      </c>
      <c r="G50" s="76"/>
      <c r="H50" s="76"/>
      <c r="J50" s="76" t="str">
        <f>'حضور غبريال'!I18</f>
        <v>⏳ لسه مفيش حضور</v>
      </c>
      <c r="K50" s="76"/>
      <c r="L50" s="76"/>
    </row>
    <row r="51" spans="2:12" ht="19.5" customHeight="1">
      <c r="B51" s="77" t="str">
        <f>IF($Q$18=0,"","🗓️ آخر حضور: "&amp;IF(ISNUMBER('حضور غبريال'!H16),DAY('حضور غبريال'!H16)&amp;"/"&amp;MONTH('حضور غبريال'!H16)&amp;"/"&amp;YEAR('حضور غبريال'!H16),"—")&amp;"   •   غياب متتالي: "&amp;'حضور غبريال'!G16)</f>
        <v>🗓️ آخر حضور: —   •   غياب متتالي: 0</v>
      </c>
      <c r="C51" s="77"/>
      <c r="D51" s="77"/>
      <c r="F51" s="77" t="str">
        <f>IF($Q$19=0,"","🗓️ آخر حضور: "&amp;IF(ISNUMBER('حضور غبريال'!H17),DAY('حضور غبريال'!H17)&amp;"/"&amp;MONTH('حضور غبريال'!H17)&amp;"/"&amp;YEAR('حضور غبريال'!H17),"—")&amp;"   •   غياب متتالي: "&amp;'حضور غبريال'!G17)</f>
        <v>🗓️ آخر حضور: —   •   غياب متتالي: 0</v>
      </c>
      <c r="G51" s="77"/>
      <c r="H51" s="77"/>
      <c r="J51" s="77" t="str">
        <f>IF($Q$20=0,"","🗓️ آخر حضور: "&amp;IF(ISNUMBER('حضور غبريال'!H18),DAY('حضور غبريال'!H18)&amp;"/"&amp;MONTH('حضور غبريال'!H18)&amp;"/"&amp;YEAR('حضور غبريال'!H18),"—")&amp;"   •   غياب متتالي: "&amp;'حضور غبريال'!G18)</f>
        <v>🗓️ آخر حضور: —   •   غياب متتالي: 0</v>
      </c>
      <c r="K51" s="77"/>
      <c r="L51" s="77"/>
    </row>
    <row r="52" spans="2:12" ht="13.5" customHeight="1"/>
    <row r="53" spans="2:12" ht="30" customHeight="1">
      <c r="B53" s="78" t="str">
        <f>IF($Q$21=0,"",IF(INDEX('قاعدة البيانات'!$D$6:$D$305,$Q$21)="بنت","👧 ","👦 ")&amp;INDEX('قاعدة البيانات'!$C$6:$C$305,$Q$21))</f>
        <v>👦 جاستن مينا عبد السيد عطيه</v>
      </c>
      <c r="C53" s="78"/>
      <c r="D53" s="78"/>
      <c r="F53" s="78" t="str">
        <f>IF($Q$22=0,"",IF(INDEX('قاعدة البيانات'!$D$6:$D$305,$Q$22)="بنت","👧 ","👦 ")&amp;INDEX('قاعدة البيانات'!$C$6:$C$305,$Q$22))</f>
        <v>👧 جانا عبادى يوسف عبادى</v>
      </c>
      <c r="G53" s="78"/>
      <c r="H53" s="78"/>
      <c r="J53" s="78" t="str">
        <f>IF($Q$23=0,"",IF(INDEX('قاعدة البيانات'!$D$6:$D$305,$Q$23)="بنت","👧 ","👦 ")&amp;INDEX('قاعدة البيانات'!$C$6:$C$305,$Q$23))</f>
        <v>👦 يوسف ميلاد رسمى بقطر</v>
      </c>
      <c r="K53" s="78"/>
      <c r="L53" s="78"/>
    </row>
    <row r="54" spans="2:12" ht="108" customHeight="1">
      <c r="B54" s="24" t="e" vm="49">
        <f>IF($Q$21=0,"",IF(ISBLANK(INDEX('قاعدة البيانات'!$K$6:$K$305,$Q$21)),LEFT(INDEX('قاعدة البيانات'!$C$6:$C$305,$Q$21),1),INDEX('قاعدة البيانات'!$K$6:$K$305,$Q$21)))</f>
        <v>#VALUE!</v>
      </c>
      <c r="C54" s="79"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B-013
🎓 سنة تانية
🚶 يروح لوحده: —
📝 مفيش ملاحظات</v>
      </c>
      <c r="D54" s="79"/>
      <c r="F54" s="24" t="e" vm="50">
        <f>IF($Q$22=0,"",IF(ISBLANK(INDEX('قاعدة البيانات'!$K$6:$K$305,$Q$22)),LEFT(INDEX('قاعدة البيانات'!$C$6:$C$305,$Q$22),1),INDEX('قاعدة البيانات'!$K$6:$K$305,$Q$22)))</f>
        <v>#VALUE!</v>
      </c>
      <c r="G54" s="79"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B-014
🎓 سنة تانية
🚶 يروح لوحده: —
📝 مفيش ملاحظات</v>
      </c>
      <c r="H54" s="79"/>
      <c r="J54" s="24" t="str">
        <f>IF($Q$23=0,"",IF(ISBLANK(INDEX('قاعدة البيانات'!$K$6:$K$305,$Q$23)),LEFT(INDEX('قاعدة البيانات'!$C$6:$C$305,$Q$23),1),INDEX('قاعدة البيانات'!$K$6:$K$305,$Q$23)))</f>
        <v>ي</v>
      </c>
      <c r="K54" s="79"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B-015
🎓 سنة تانية
🚶 يروح لوحده: —
📝 مفيش ملاحظات</v>
      </c>
      <c r="L54" s="79"/>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01205976098</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01273654595</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01210019391</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01221363758</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01277561044</v>
      </c>
      <c r="L56" s="27" t="str">
        <f>IF(OR($Q$23=0,INDEX('قاعدة البيانات'!$I$6:$I$305,$Q$23)=""),"",HYPERLINK("https://wa.me/20"&amp;RIGHT(INDEX('قاعدة البيانات'!$I$6:$I$305,$Q$23),10),"💬 واتساب"))</f>
        <v>💬 واتساب</v>
      </c>
    </row>
    <row r="57" spans="2:12" ht="37.5" customHeight="1">
      <c r="B57" s="80" t="str">
        <f>IF($Q$21=0,"","📍 "&amp;IF(INDEX('قاعدة البيانات'!$J$6:$J$305,$Q$21)="","— مفيش عنوان —",INDEX('قاعدة البيانات'!$J$6:$J$305,$Q$21)))</f>
        <v>📍 1 شارع على ابو عيش - شقة 1 الدور 2 - عماره المقله</v>
      </c>
      <c r="C57" s="80"/>
      <c r="D57" s="80"/>
      <c r="F57" s="80" t="str">
        <f>IF($Q$22=0,"","📍 "&amp;IF(INDEX('قاعدة البيانات'!$J$6:$J$305,$Q$22)="","— مفيش عنوان —",INDEX('قاعدة البيانات'!$J$6:$J$305,$Q$22)))</f>
        <v>📍 5 شارع المدارس - الارضي - الارضى</v>
      </c>
      <c r="G57" s="80"/>
      <c r="H57" s="80"/>
      <c r="J57" s="80" t="str">
        <f>IF($Q$23=0,"","📍 "&amp;IF(INDEX('قاعدة البيانات'!$J$6:$J$305,$Q$23)="","— مفيش عنوان —",INDEX('قاعدة البيانات'!$J$6:$J$305,$Q$23)))</f>
        <v>📍 2 شارع فايز مترى - شقة 5 الدور 3 - يمين / مجدى البقال</v>
      </c>
      <c r="K57" s="80"/>
      <c r="L57" s="80"/>
    </row>
    <row r="58" spans="2:12" ht="21.75" customHeight="1">
      <c r="B58" s="75" t="str">
        <f>IF($Q$21=0,"","📊 إحصائيات الحضور")</f>
        <v>📊 إحصائيات الحضور</v>
      </c>
      <c r="C58" s="75"/>
      <c r="D58" s="75"/>
      <c r="F58" s="75" t="str">
        <f>IF($Q$22=0,"","📊 إحصائيات الحضور")</f>
        <v>📊 إحصائيات الحضور</v>
      </c>
      <c r="G58" s="75"/>
      <c r="H58" s="75"/>
      <c r="J58" s="75" t="str">
        <f>IF($Q$23=0,"","📊 إحصائيات الحضور")</f>
        <v>📊 إحصائيات الحضور</v>
      </c>
      <c r="K58" s="75"/>
      <c r="L58" s="75"/>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غبريال'!C19</f>
        <v>0</v>
      </c>
      <c r="C60" s="30">
        <f>'حضور غبريال'!D19</f>
        <v>0</v>
      </c>
      <c r="D60" s="31" t="str">
        <f>'حضور غبريال'!F19</f>
        <v/>
      </c>
      <c r="F60" s="29">
        <f>'حضور غبريال'!C20</f>
        <v>0</v>
      </c>
      <c r="G60" s="30">
        <f>'حضور غبريال'!D20</f>
        <v>0</v>
      </c>
      <c r="H60" s="31" t="str">
        <f>'حضور غبريال'!F20</f>
        <v/>
      </c>
      <c r="J60" s="29">
        <f>'حضور غبريال'!C21</f>
        <v>0</v>
      </c>
      <c r="K60" s="30">
        <f>'حضور غبريال'!D21</f>
        <v>0</v>
      </c>
      <c r="L60" s="31" t="str">
        <f>'حضور غبريال'!F21</f>
        <v/>
      </c>
    </row>
    <row r="61" spans="2:12" ht="24" customHeight="1">
      <c r="B61" s="76" t="str">
        <f>'حضور غبريال'!I19</f>
        <v>⏳ لسه مفيش حضور</v>
      </c>
      <c r="C61" s="76"/>
      <c r="D61" s="76"/>
      <c r="F61" s="76" t="str">
        <f>'حضور غبريال'!I20</f>
        <v>⏳ لسه مفيش حضور</v>
      </c>
      <c r="G61" s="76"/>
      <c r="H61" s="76"/>
      <c r="J61" s="76" t="str">
        <f>'حضور غبريال'!I21</f>
        <v>⏳ لسه مفيش حضور</v>
      </c>
      <c r="K61" s="76"/>
      <c r="L61" s="76"/>
    </row>
    <row r="62" spans="2:12" ht="19.5" customHeight="1">
      <c r="B62" s="77" t="str">
        <f>IF($Q$21=0,"","🗓️ آخر حضور: "&amp;IF(ISNUMBER('حضور غبريال'!H19),DAY('حضور غبريال'!H19)&amp;"/"&amp;MONTH('حضور غبريال'!H19)&amp;"/"&amp;YEAR('حضور غبريال'!H19),"—")&amp;"   •   غياب متتالي: "&amp;'حضور غبريال'!G19)</f>
        <v>🗓️ آخر حضور: —   •   غياب متتالي: 0</v>
      </c>
      <c r="C62" s="77"/>
      <c r="D62" s="77"/>
      <c r="F62" s="77" t="str">
        <f>IF($Q$22=0,"","🗓️ آخر حضور: "&amp;IF(ISNUMBER('حضور غبريال'!H20),DAY('حضور غبريال'!H20)&amp;"/"&amp;MONTH('حضور غبريال'!H20)&amp;"/"&amp;YEAR('حضور غبريال'!H20),"—")&amp;"   •   غياب متتالي: "&amp;'حضور غبريال'!G20)</f>
        <v>🗓️ آخر حضور: —   •   غياب متتالي: 0</v>
      </c>
      <c r="G62" s="77"/>
      <c r="H62" s="77"/>
      <c r="J62" s="77" t="str">
        <f>IF($Q$23=0,"","🗓️ آخر حضور: "&amp;IF(ISNUMBER('حضور غبريال'!H21),DAY('حضور غبريال'!H21)&amp;"/"&amp;MONTH('حضور غبريال'!H21)&amp;"/"&amp;YEAR('حضور غبريال'!H21),"—")&amp;"   •   غياب متتالي: "&amp;'حضور غبريال'!G21)</f>
        <v>🗓️ آخر حضور: —   •   غياب متتالي: 0</v>
      </c>
      <c r="K62" s="77"/>
      <c r="L62" s="77"/>
    </row>
    <row r="63" spans="2:12" ht="13.5" customHeight="1"/>
    <row r="64" spans="2:12" ht="30" customHeight="1">
      <c r="B64" s="78" t="str">
        <f>IF($Q$24=0,"",IF(INDEX('قاعدة البيانات'!$D$6:$D$305,$Q$24)="بنت","👧 ","👦 ")&amp;INDEX('قاعدة البيانات'!$C$6:$C$305,$Q$24))</f>
        <v>👧 ايرينى ريمون حنا</v>
      </c>
      <c r="C64" s="78"/>
      <c r="D64" s="78"/>
      <c r="F64" s="78" t="str">
        <f>IF($Q$25=0,"",IF(INDEX('قاعدة البيانات'!$D$6:$D$305,$Q$25)="بنت","👧 ","👦 ")&amp;INDEX('قاعدة البيانات'!$C$6:$C$305,$Q$25))</f>
        <v>👧 يوستينا سامي عريان سامى فرج</v>
      </c>
      <c r="G64" s="78"/>
      <c r="H64" s="78"/>
      <c r="J64" s="78" t="str">
        <f>IF($Q$26=0,"",IF(INDEX('قاعدة البيانات'!$D$6:$D$305,$Q$26)="بنت","👧 ","👦 ")&amp;INDEX('قاعدة البيانات'!$C$6:$C$305,$Q$26))</f>
        <v>👦 مارتينوس مايكل ميشيل</v>
      </c>
      <c r="K64" s="78"/>
      <c r="L64" s="78"/>
    </row>
    <row r="65" spans="2:12" ht="108" customHeight="1">
      <c r="B65" s="24" t="str">
        <f>IF($Q$24=0,"",IF(ISBLANK(INDEX('قاعدة البيانات'!$K$6:$K$305,$Q$24)),LEFT(INDEX('قاعدة البيانات'!$C$6:$C$305,$Q$24),1),INDEX('قاعدة البيانات'!$K$6:$K$305,$Q$24)))</f>
        <v>ا</v>
      </c>
      <c r="C65" s="79"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B-016
🎓 سنة تانية
🚶 يروح لوحده: —
📝 مفيش ملاحظات</v>
      </c>
      <c r="D65" s="79"/>
      <c r="F65" s="24" t="str">
        <f>IF($Q$25=0,"",IF(ISBLANK(INDEX('قاعدة البيانات'!$K$6:$K$305,$Q$25)),LEFT(INDEX('قاعدة البيانات'!$C$6:$C$305,$Q$25),1),INDEX('قاعدة البيانات'!$K$6:$K$305,$Q$25)))</f>
        <v>ي</v>
      </c>
      <c r="G65" s="79"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B-017
🎓 سنة تانية
🚶 يروح لوحده: —
📝 مفيش ملاحظات</v>
      </c>
      <c r="H65" s="79"/>
      <c r="J65" s="24" t="str">
        <f>IF($Q$26=0,"",IF(ISBLANK(INDEX('قاعدة البيانات'!$K$6:$K$305,$Q$26)),LEFT(INDEX('قاعدة البيانات'!$C$6:$C$305,$Q$26),1),INDEX('قاعدة البيانات'!$K$6:$K$305,$Q$26)))</f>
        <v>م</v>
      </c>
      <c r="K65" s="79"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B-018
🎓 سنة تانية
🚶 يروح لوحده: —
📝 مفيش ملاحظات</v>
      </c>
      <c r="L65" s="79"/>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01221026225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01270302120</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01224857003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80" t="str">
        <f>IF($Q$24=0,"","📍 "&amp;IF(INDEX('قاعدة البيانات'!$J$6:$J$305,$Q$24)="","— مفيش عنوان —",INDEX('قاعدة البيانات'!$J$6:$J$305,$Q$24)))</f>
        <v>📍 24 شارع مرزق مرزوق الدور 2</v>
      </c>
      <c r="C68" s="80"/>
      <c r="D68" s="80"/>
      <c r="F68" s="80" t="str">
        <f>IF($Q$25=0,"","📍 "&amp;IF(INDEX('قاعدة البيانات'!$J$6:$J$305,$Q$25)="","— مفيش عنوان —",INDEX('قاعدة البيانات'!$J$6:$J$305,$Q$25)))</f>
        <v>📍 10 شارع عطية عبد اللطيف - شقة 2 الدور 2</v>
      </c>
      <c r="G68" s="80"/>
      <c r="H68" s="80"/>
      <c r="J68" s="80" t="str">
        <f>IF($Q$26=0,"","📍 "&amp;IF(INDEX('قاعدة البيانات'!$J$6:$J$305,$Q$26)="","— مفيش عنوان —",INDEX('قاعدة البيانات'!$J$6:$J$305,$Q$26)))</f>
        <v>📍 13 شارع منطقة أ - شقة 1 الدور 1</v>
      </c>
      <c r="K68" s="80"/>
      <c r="L68" s="80"/>
    </row>
    <row r="69" spans="2:12" ht="21.75" customHeight="1">
      <c r="B69" s="75" t="str">
        <f>IF($Q$24=0,"","📊 إحصائيات الحضور")</f>
        <v>📊 إحصائيات الحضور</v>
      </c>
      <c r="C69" s="75"/>
      <c r="D69" s="75"/>
      <c r="F69" s="75" t="str">
        <f>IF($Q$25=0,"","📊 إحصائيات الحضور")</f>
        <v>📊 إحصائيات الحضور</v>
      </c>
      <c r="G69" s="75"/>
      <c r="H69" s="75"/>
      <c r="J69" s="75" t="str">
        <f>IF($Q$26=0,"","📊 إحصائيات الحضور")</f>
        <v>📊 إحصائيات الحضور</v>
      </c>
      <c r="K69" s="75"/>
      <c r="L69" s="75"/>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غبريال'!C22</f>
        <v>0</v>
      </c>
      <c r="C71" s="30">
        <f>'حضور غبريال'!D22</f>
        <v>0</v>
      </c>
      <c r="D71" s="31" t="str">
        <f>'حضور غبريال'!F22</f>
        <v/>
      </c>
      <c r="F71" s="29">
        <f>'حضور غبريال'!C23</f>
        <v>0</v>
      </c>
      <c r="G71" s="30">
        <f>'حضور غبريال'!D23</f>
        <v>0</v>
      </c>
      <c r="H71" s="31" t="str">
        <f>'حضور غبريال'!F23</f>
        <v/>
      </c>
      <c r="J71" s="29">
        <f>'حضور غبريال'!C24</f>
        <v>0</v>
      </c>
      <c r="K71" s="30">
        <f>'حضور غبريال'!D24</f>
        <v>0</v>
      </c>
      <c r="L71" s="31" t="str">
        <f>'حضور غبريال'!F24</f>
        <v/>
      </c>
    </row>
    <row r="72" spans="2:12" ht="24" customHeight="1">
      <c r="B72" s="76" t="str">
        <f>'حضور غبريال'!I22</f>
        <v>⏳ لسه مفيش حضور</v>
      </c>
      <c r="C72" s="76"/>
      <c r="D72" s="76"/>
      <c r="F72" s="76" t="str">
        <f>'حضور غبريال'!I23</f>
        <v>⏳ لسه مفيش حضور</v>
      </c>
      <c r="G72" s="76"/>
      <c r="H72" s="76"/>
      <c r="J72" s="76" t="str">
        <f>'حضور غبريال'!I24</f>
        <v>⏳ لسه مفيش حضور</v>
      </c>
      <c r="K72" s="76"/>
      <c r="L72" s="76"/>
    </row>
    <row r="73" spans="2:12" ht="19.5" customHeight="1">
      <c r="B73" s="77" t="str">
        <f>IF($Q$24=0,"","🗓️ آخر حضور: "&amp;IF(ISNUMBER('حضور غبريال'!H22),DAY('حضور غبريال'!H22)&amp;"/"&amp;MONTH('حضور غبريال'!H22)&amp;"/"&amp;YEAR('حضور غبريال'!H22),"—")&amp;"   •   غياب متتالي: "&amp;'حضور غبريال'!G22)</f>
        <v>🗓️ آخر حضور: —   •   غياب متتالي: 0</v>
      </c>
      <c r="C73" s="77"/>
      <c r="D73" s="77"/>
      <c r="F73" s="77" t="str">
        <f>IF($Q$25=0,"","🗓️ آخر حضور: "&amp;IF(ISNUMBER('حضور غبريال'!H23),DAY('حضور غبريال'!H23)&amp;"/"&amp;MONTH('حضور غبريال'!H23)&amp;"/"&amp;YEAR('حضور غبريال'!H23),"—")&amp;"   •   غياب متتالي: "&amp;'حضور غبريال'!G23)</f>
        <v>🗓️ آخر حضور: —   •   غياب متتالي: 0</v>
      </c>
      <c r="G73" s="77"/>
      <c r="H73" s="77"/>
      <c r="J73" s="77" t="str">
        <f>IF($Q$26=0,"","🗓️ آخر حضور: "&amp;IF(ISNUMBER('حضور غبريال'!H24),DAY('حضور غبريال'!H24)&amp;"/"&amp;MONTH('حضور غبريال'!H24)&amp;"/"&amp;YEAR('حضور غبريال'!H24),"—")&amp;"   •   غياب متتالي: "&amp;'حضور غبريال'!G24)</f>
        <v>🗓️ آخر حضور: —   •   غياب متتالي: 0</v>
      </c>
      <c r="K73" s="77"/>
      <c r="L73" s="77"/>
    </row>
    <row r="74" spans="2:12" ht="13.5" customHeight="1"/>
    <row r="75" spans="2:12" ht="30" customHeight="1">
      <c r="B75" s="78" t="str">
        <f>IF($Q$27=0,"",IF(INDEX('قاعدة البيانات'!$D$6:$D$305,$Q$27)="بنت","👧 ","👦 ")&amp;INDEX('قاعدة البيانات'!$C$6:$C$305,$Q$27))</f>
        <v>👧 جونير بسام نصرى مكرم</v>
      </c>
      <c r="C75" s="78"/>
      <c r="D75" s="78"/>
      <c r="F75" s="78" t="str">
        <f>IF($Q$28=0,"",IF(INDEX('قاعدة البيانات'!$D$6:$D$305,$Q$28)="بنت","👧 ","👦 ")&amp;INDEX('قاعدة البيانات'!$C$6:$C$305,$Q$28))</f>
        <v>👧 مريم عماد زارع</v>
      </c>
      <c r="G75" s="78"/>
      <c r="H75" s="78"/>
      <c r="J75" s="78" t="str">
        <f>IF($Q$29=0,"",IF(INDEX('قاعدة البيانات'!$D$6:$D$305,$Q$29)="بنت","👧 ","👦 ")&amp;INDEX('قاعدة البيانات'!$C$6:$C$305,$Q$29))</f>
        <v>👧 ماروسكا ميشيل ثروت</v>
      </c>
      <c r="K75" s="78"/>
      <c r="L75" s="78"/>
    </row>
    <row r="76" spans="2:12" ht="108" customHeight="1">
      <c r="B76" s="24" t="e" vm="51">
        <f>IF($Q$27=0,"",IF(ISBLANK(INDEX('قاعدة البيانات'!$K$6:$K$305,$Q$27)),LEFT(INDEX('قاعدة البيانات'!$C$6:$C$305,$Q$27),1),INDEX('قاعدة البيانات'!$K$6:$K$305,$Q$27)))</f>
        <v>#VALUE!</v>
      </c>
      <c r="C76" s="79"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B-019
🎓 سنة تانية
🚶 يروح لوحده: —
📝 مفيش ملاحظات</v>
      </c>
      <c r="D76" s="79"/>
      <c r="F76" s="24" t="e" vm="52">
        <f>IF($Q$28=0,"",IF(ISBLANK(INDEX('قاعدة البيانات'!$K$6:$K$305,$Q$28)),LEFT(INDEX('قاعدة البيانات'!$C$6:$C$305,$Q$28),1),INDEX('قاعدة البيانات'!$K$6:$K$305,$Q$28)))</f>
        <v>#VALUE!</v>
      </c>
      <c r="G76" s="79"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B-020
🎓 سنة تانية
🚶 يروح لوحده: —
📝 مفيش ملاحظات</v>
      </c>
      <c r="H76" s="79"/>
      <c r="J76" s="24" t="e" vm="53">
        <f>IF($Q$29=0,"",IF(ISBLANK(INDEX('قاعدة البيانات'!$K$6:$K$305,$Q$29)),LEFT(INDEX('قاعدة البيانات'!$C$6:$C$305,$Q$29),1),INDEX('قاعدة البيانات'!$K$6:$K$305,$Q$29)))</f>
        <v>#VALUE!</v>
      </c>
      <c r="K76" s="79"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B-021
🎓 سنة تانية
🚶 يروح لوحده: —
📝 مفيش ملاحظات</v>
      </c>
      <c r="L76" s="79"/>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01273998657</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01206191722</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01206111792</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بابا</v>
      </c>
      <c r="K78" s="26" t="str">
        <f>IF($Q$29=0,"",IF(INDEX('قاعدة البيانات'!$I$6:$I$305,$Q$29)="","— مفيش رقم —",HYPERLINK("tel:"&amp;INDEX('قاعدة البيانات'!$I$6:$I$305,$Q$29),"📞 "&amp;INDEX('قاعدة البيانات'!$I$6:$I$305,$Q$29))))</f>
        <v>— مفيش رقم —</v>
      </c>
      <c r="L78" s="27" t="str">
        <f>IF(OR($Q$29=0,INDEX('قاعدة البيانات'!$I$6:$I$305,$Q$29)=""),"",HYPERLINK("https://wa.me/20"&amp;RIGHT(INDEX('قاعدة البيانات'!$I$6:$I$305,$Q$29),10),"💬 واتساب"))</f>
        <v/>
      </c>
    </row>
    <row r="79" spans="2:12" ht="37.5" customHeight="1">
      <c r="B79" s="80" t="str">
        <f>IF($Q$27=0,"","📍 "&amp;IF(INDEX('قاعدة البيانات'!$J$6:$J$305,$Q$27)="","— مفيش عنوان —",INDEX('قاعدة البيانات'!$J$6:$J$305,$Q$27)))</f>
        <v>📍 843 شارع بورسعيد - شقة 4 الدور 2 - مدخل الشونة</v>
      </c>
      <c r="C79" s="80"/>
      <c r="D79" s="80"/>
      <c r="F79" s="80" t="str">
        <f>IF($Q$28=0,"","📍 "&amp;IF(INDEX('قاعدة البيانات'!$J$6:$J$305,$Q$28)="","— مفيش عنوان —",INDEX('قاعدة البيانات'!$J$6:$J$305,$Q$28)))</f>
        <v>📍 44 شارع ترعة حمزة - شقة 1 الدور 3 - فوق صيدليه عماد بعد الارضى الشقة شمال السلم</v>
      </c>
      <c r="G79" s="80"/>
      <c r="H79" s="80"/>
      <c r="J79" s="80" t="str">
        <f>IF($Q$29=0,"","📍 "&amp;IF(INDEX('قاعدة البيانات'!$J$6:$J$305,$Q$29)="","— مفيش عنوان —",INDEX('قاعدة البيانات'!$J$6:$J$305,$Q$29)))</f>
        <v>📍 4 شارع خاتم المرسلين - الدور 5</v>
      </c>
      <c r="K79" s="80"/>
      <c r="L79" s="80"/>
    </row>
    <row r="80" spans="2:12" ht="21.75" customHeight="1">
      <c r="B80" s="75" t="str">
        <f>IF($Q$27=0,"","📊 إحصائيات الحضور")</f>
        <v>📊 إحصائيات الحضور</v>
      </c>
      <c r="C80" s="75"/>
      <c r="D80" s="75"/>
      <c r="F80" s="75" t="str">
        <f>IF($Q$28=0,"","📊 إحصائيات الحضور")</f>
        <v>📊 إحصائيات الحضور</v>
      </c>
      <c r="G80" s="75"/>
      <c r="H80" s="75"/>
      <c r="J80" s="75" t="str">
        <f>IF($Q$29=0,"","📊 إحصائيات الحضور")</f>
        <v>📊 إحصائيات الحضور</v>
      </c>
      <c r="K80" s="75"/>
      <c r="L80" s="75"/>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غبريال'!C25</f>
        <v>0</v>
      </c>
      <c r="C82" s="30">
        <f>'حضور غبريال'!D25</f>
        <v>0</v>
      </c>
      <c r="D82" s="31" t="str">
        <f>'حضور غبريال'!F25</f>
        <v/>
      </c>
      <c r="F82" s="29">
        <f>'حضور غبريال'!C26</f>
        <v>0</v>
      </c>
      <c r="G82" s="30">
        <f>'حضور غبريال'!D26</f>
        <v>0</v>
      </c>
      <c r="H82" s="31" t="str">
        <f>'حضور غبريال'!F26</f>
        <v/>
      </c>
      <c r="J82" s="29">
        <f>'حضور غبريال'!C27</f>
        <v>0</v>
      </c>
      <c r="K82" s="30">
        <f>'حضور غبريال'!D27</f>
        <v>0</v>
      </c>
      <c r="L82" s="31" t="str">
        <f>'حضور غبريال'!F27</f>
        <v/>
      </c>
    </row>
    <row r="83" spans="2:12" ht="24" customHeight="1">
      <c r="B83" s="76" t="str">
        <f>'حضور غبريال'!I25</f>
        <v>⏳ لسه مفيش حضور</v>
      </c>
      <c r="C83" s="76"/>
      <c r="D83" s="76"/>
      <c r="F83" s="76" t="str">
        <f>'حضور غبريال'!I26</f>
        <v>⏳ لسه مفيش حضور</v>
      </c>
      <c r="G83" s="76"/>
      <c r="H83" s="76"/>
      <c r="J83" s="76" t="str">
        <f>'حضور غبريال'!I27</f>
        <v>⏳ لسه مفيش حضور</v>
      </c>
      <c r="K83" s="76"/>
      <c r="L83" s="76"/>
    </row>
    <row r="84" spans="2:12" ht="19.5" customHeight="1">
      <c r="B84" s="77" t="str">
        <f>IF($Q$27=0,"","🗓️ آخر حضور: "&amp;IF(ISNUMBER('حضور غبريال'!H25),DAY('حضور غبريال'!H25)&amp;"/"&amp;MONTH('حضور غبريال'!H25)&amp;"/"&amp;YEAR('حضور غبريال'!H25),"—")&amp;"   •   غياب متتالي: "&amp;'حضور غبريال'!G25)</f>
        <v>🗓️ آخر حضور: —   •   غياب متتالي: 0</v>
      </c>
      <c r="C84" s="77"/>
      <c r="D84" s="77"/>
      <c r="F84" s="77" t="str">
        <f>IF($Q$28=0,"","🗓️ آخر حضور: "&amp;IF(ISNUMBER('حضور غبريال'!H26),DAY('حضور غبريال'!H26)&amp;"/"&amp;MONTH('حضور غبريال'!H26)&amp;"/"&amp;YEAR('حضور غبريال'!H26),"—")&amp;"   •   غياب متتالي: "&amp;'حضور غبريال'!G26)</f>
        <v>🗓️ آخر حضور: —   •   غياب متتالي: 0</v>
      </c>
      <c r="G84" s="77"/>
      <c r="H84" s="77"/>
      <c r="J84" s="77" t="str">
        <f>IF($Q$29=0,"","🗓️ آخر حضور: "&amp;IF(ISNUMBER('حضور غبريال'!H27),DAY('حضور غبريال'!H27)&amp;"/"&amp;MONTH('حضور غبريال'!H27)&amp;"/"&amp;YEAR('حضور غبريال'!H27),"—")&amp;"   •   غياب متتالي: "&amp;'حضور غبريال'!G27)</f>
        <v>🗓️ آخر حضور: —   •   غياب متتالي: 0</v>
      </c>
      <c r="K84" s="77"/>
      <c r="L84" s="77"/>
    </row>
    <row r="85" spans="2:12" ht="13.5" customHeight="1"/>
    <row r="86" spans="2:12" ht="30" customHeight="1">
      <c r="B86" s="78" t="str">
        <f>IF($Q$30=0,"",IF(INDEX('قاعدة البيانات'!$D$6:$D$305,$Q$30)="بنت","👧 ","👦 ")&amp;INDEX('قاعدة البيانات'!$C$6:$C$305,$Q$30))</f>
        <v>👧 بيرلا مايكل خليل</v>
      </c>
      <c r="C86" s="78"/>
      <c r="D86" s="78"/>
      <c r="F86" s="78" t="str">
        <f>IF($Q$31=0,"",IF(INDEX('قاعدة البيانات'!$D$6:$D$305,$Q$31)="بنت","👧 ","👦 ")&amp;INDEX('قاعدة البيانات'!$C$6:$C$305,$Q$31))</f>
        <v>👧 مورين مينا عوض</v>
      </c>
      <c r="G86" s="78"/>
      <c r="H86" s="78"/>
      <c r="J86" s="78" t="str">
        <f>IF($Q$32=0,"",IF(INDEX('قاعدة البيانات'!$D$6:$D$305,$Q$32)="بنت","👧 ","👦 ")&amp;INDEX('قاعدة البيانات'!$C$6:$C$305,$Q$32))</f>
        <v>👧 كارين وليم منير</v>
      </c>
      <c r="K86" s="78"/>
      <c r="L86" s="78"/>
    </row>
    <row r="87" spans="2:12" ht="108" customHeight="1">
      <c r="B87" s="24" t="e" vm="54">
        <f>IF($Q$30=0,"",IF(ISBLANK(INDEX('قاعدة البيانات'!$K$6:$K$305,$Q$30)),LEFT(INDEX('قاعدة البيانات'!$C$6:$C$305,$Q$30),1),INDEX('قاعدة البيانات'!$K$6:$K$305,$Q$30)))</f>
        <v>#VALUE!</v>
      </c>
      <c r="C87" s="79"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B-022
🎓 سنة تانية
🚶 يروح لوحده: —
📝 مفيش ملاحظات</v>
      </c>
      <c r="D87" s="79"/>
      <c r="F87" s="24" t="str">
        <f>IF($Q$31=0,"",IF(ISBLANK(INDEX('قاعدة البيانات'!$K$6:$K$305,$Q$31)),LEFT(INDEX('قاعدة البيانات'!$C$6:$C$305,$Q$31),1),INDEX('قاعدة البيانات'!$K$6:$K$305,$Q$31)))</f>
        <v>م</v>
      </c>
      <c r="G87" s="79"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B-023
🎓 سنة تانية
🚶 يروح لوحده: —
📝 مفيش ملاحظات</v>
      </c>
      <c r="H87" s="79"/>
      <c r="J87" s="24" t="str">
        <f>IF($Q$32=0,"",IF(ISBLANK(INDEX('قاعدة البيانات'!$K$6:$K$305,$Q$32)),LEFT(INDEX('قاعدة البيانات'!$C$6:$C$305,$Q$32),1),INDEX('قاعدة البيانات'!$K$6:$K$305,$Q$32)))</f>
        <v>ك</v>
      </c>
      <c r="K87" s="79"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B-024
🎓 سنة تانية
🚶 يروح لوحده: —
📝 مفيش ملاحظات</v>
      </c>
      <c r="L87" s="79"/>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01210949273</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01227989278</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01227429046</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مفيش رقم —</v>
      </c>
      <c r="D89" s="27" t="str">
        <f>IF(OR($Q$30=0,INDEX('قاعدة البيانات'!$I$6:$I$305,$Q$30)=""),"",HYPERLINK("https://wa.me/20"&amp;RIGHT(INDEX('قاعدة البيانات'!$I$6:$I$305,$Q$30),10),"💬 واتساب"))</f>
        <v/>
      </c>
      <c r="F89" s="25" t="str">
        <f>IF($Q$31=0,"","👨 بابا")</f>
        <v>👨 بابا</v>
      </c>
      <c r="G89" s="26" t="str">
        <f>IF($Q$31=0,"",IF(INDEX('قاعدة البيانات'!$I$6:$I$305,$Q$31)="","— مفيش رقم —",HYPERLINK("tel:"&amp;INDEX('قاعدة البيانات'!$I$6:$I$305,$Q$31),"📞 "&amp;INDEX('قاعدة البيانات'!$I$6:$I$305,$Q$31))))</f>
        <v>— مفيش رقم —</v>
      </c>
      <c r="H89" s="27" t="str">
        <f>IF(OR($Q$31=0,INDEX('قاعدة البيانات'!$I$6:$I$305,$Q$31)=""),"",HYPERLINK("https://wa.me/20"&amp;RIGHT(INDEX('قاعدة البيانات'!$I$6:$I$305,$Q$31),10),"💬 واتساب"))</f>
        <v/>
      </c>
      <c r="J89" s="25" t="str">
        <f>IF($Q$32=0,"","👨 بابا")</f>
        <v>👨 بابا</v>
      </c>
      <c r="K89" s="26" t="str">
        <f>IF($Q$32=0,"",IF(INDEX('قاعدة البيانات'!$I$6:$I$305,$Q$32)="","— مفيش رقم —",HYPERLINK("tel:"&amp;INDEX('قاعدة البيانات'!$I$6:$I$305,$Q$32),"📞 "&amp;INDEX('قاعدة البيانات'!$I$6:$I$305,$Q$32))))</f>
        <v>— مفيش رقم —</v>
      </c>
      <c r="L89" s="27" t="str">
        <f>IF(OR($Q$32=0,INDEX('قاعدة البيانات'!$I$6:$I$305,$Q$32)=""),"",HYPERLINK("https://wa.me/20"&amp;RIGHT(INDEX('قاعدة البيانات'!$I$6:$I$305,$Q$32),10),"💬 واتساب"))</f>
        <v/>
      </c>
    </row>
    <row r="90" spans="2:12" ht="37.5" customHeight="1">
      <c r="B90" s="80" t="str">
        <f>IF($Q$30=0,"","📍 "&amp;IF(INDEX('قاعدة البيانات'!$J$6:$J$305,$Q$30)="","— مفيش عنوان —",INDEX('قاعدة البيانات'!$J$6:$J$305,$Q$30)))</f>
        <v>📍 3 شارع عمرو عبد العزيز - شقة 1 الدور 1</v>
      </c>
      <c r="C90" s="80"/>
      <c r="D90" s="80"/>
      <c r="F90" s="80" t="str">
        <f>IF($Q$31=0,"","📍 "&amp;IF(INDEX('قاعدة البيانات'!$J$6:$J$305,$Q$31)="","— مفيش عنوان —",INDEX('قاعدة البيانات'!$J$6:$J$305,$Q$31)))</f>
        <v>📍 23 شارع أحمد رفاعى -  شقة 1 - الارضى - مورين و انجى مع عائلة الجد مكرم حبيب بقطر فى نفس الشقة</v>
      </c>
      <c r="G90" s="80"/>
      <c r="H90" s="80"/>
      <c r="J90" s="80" t="str">
        <f>IF($Q$32=0,"","📍 "&amp;IF(INDEX('قاعدة البيانات'!$J$6:$J$305,$Q$32)="","— مفيش عنوان —",INDEX('قاعدة البيانات'!$J$6:$J$305,$Q$32)))</f>
        <v>📍 3 شارع قباء -  شقة 3 الدور 3 - اخر مختار اباظة - قباء</v>
      </c>
      <c r="K90" s="80"/>
      <c r="L90" s="80"/>
    </row>
    <row r="91" spans="2:12" ht="21.75" customHeight="1">
      <c r="B91" s="75" t="str">
        <f>IF($Q$30=0,"","📊 إحصائيات الحضور")</f>
        <v>📊 إحصائيات الحضور</v>
      </c>
      <c r="C91" s="75"/>
      <c r="D91" s="75"/>
      <c r="F91" s="75" t="str">
        <f>IF($Q$31=0,"","📊 إحصائيات الحضور")</f>
        <v>📊 إحصائيات الحضور</v>
      </c>
      <c r="G91" s="75"/>
      <c r="H91" s="75"/>
      <c r="J91" s="75" t="str">
        <f>IF($Q$32=0,"","📊 إحصائيات الحضور")</f>
        <v>📊 إحصائيات الحضور</v>
      </c>
      <c r="K91" s="75"/>
      <c r="L91" s="75"/>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غبريال'!C28</f>
        <v>0</v>
      </c>
      <c r="C93" s="30">
        <f>'حضور غبريال'!D28</f>
        <v>0</v>
      </c>
      <c r="D93" s="31" t="str">
        <f>'حضور غبريال'!F28</f>
        <v/>
      </c>
      <c r="F93" s="29">
        <f>'حضور غبريال'!C29</f>
        <v>0</v>
      </c>
      <c r="G93" s="30">
        <f>'حضور غبريال'!D29</f>
        <v>0</v>
      </c>
      <c r="H93" s="31" t="str">
        <f>'حضور غبريال'!F29</f>
        <v/>
      </c>
      <c r="J93" s="29">
        <f>'حضور غبريال'!C30</f>
        <v>0</v>
      </c>
      <c r="K93" s="30">
        <f>'حضور غبريال'!D30</f>
        <v>0</v>
      </c>
      <c r="L93" s="31" t="str">
        <f>'حضور غبريال'!F30</f>
        <v/>
      </c>
    </row>
    <row r="94" spans="2:12" ht="24" customHeight="1">
      <c r="B94" s="76" t="str">
        <f>'حضور غبريال'!I28</f>
        <v>⏳ لسه مفيش حضور</v>
      </c>
      <c r="C94" s="76"/>
      <c r="D94" s="76"/>
      <c r="F94" s="76" t="str">
        <f>'حضور غبريال'!I29</f>
        <v>⏳ لسه مفيش حضور</v>
      </c>
      <c r="G94" s="76"/>
      <c r="H94" s="76"/>
      <c r="J94" s="76" t="str">
        <f>'حضور غبريال'!I30</f>
        <v>⏳ لسه مفيش حضور</v>
      </c>
      <c r="K94" s="76"/>
      <c r="L94" s="76"/>
    </row>
    <row r="95" spans="2:12" ht="19.5" customHeight="1">
      <c r="B95" s="77" t="str">
        <f>IF($Q$30=0,"","🗓️ آخر حضور: "&amp;IF(ISNUMBER('حضور غبريال'!H28),DAY('حضور غبريال'!H28)&amp;"/"&amp;MONTH('حضور غبريال'!H28)&amp;"/"&amp;YEAR('حضور غبريال'!H28),"—")&amp;"   •   غياب متتالي: "&amp;'حضور غبريال'!G28)</f>
        <v>🗓️ آخر حضور: —   •   غياب متتالي: 0</v>
      </c>
      <c r="C95" s="77"/>
      <c r="D95" s="77"/>
      <c r="F95" s="77" t="str">
        <f>IF($Q$31=0,"","🗓️ آخر حضور: "&amp;IF(ISNUMBER('حضور غبريال'!H29),DAY('حضور غبريال'!H29)&amp;"/"&amp;MONTH('حضور غبريال'!H29)&amp;"/"&amp;YEAR('حضور غبريال'!H29),"—")&amp;"   •   غياب متتالي: "&amp;'حضور غبريال'!G29)</f>
        <v>🗓️ آخر حضور: —   •   غياب متتالي: 0</v>
      </c>
      <c r="G95" s="77"/>
      <c r="H95" s="77"/>
      <c r="J95" s="77" t="str">
        <f>IF($Q$32=0,"","🗓️ آخر حضور: "&amp;IF(ISNUMBER('حضور غبريال'!H30),DAY('حضور غبريال'!H30)&amp;"/"&amp;MONTH('حضور غبريال'!H30)&amp;"/"&amp;YEAR('حضور غبريال'!H30),"—")&amp;"   •   غياب متتالي: "&amp;'حضور غبريال'!G30)</f>
        <v>🗓️ آخر حضور: —   •   غياب متتالي: 0</v>
      </c>
      <c r="K95" s="77"/>
      <c r="L95" s="77"/>
    </row>
    <row r="96" spans="2:12" ht="13.5" customHeight="1"/>
    <row r="97" spans="2:12" ht="30" customHeight="1">
      <c r="B97" s="78" t="str">
        <f>IF($Q$33=0,"",IF(INDEX('قاعدة البيانات'!$D$6:$D$305,$Q$33)="بنت","👧 ","👦 ")&amp;INDEX('قاعدة البيانات'!$C$6:$C$305,$Q$33))</f>
        <v/>
      </c>
      <c r="C97" s="78"/>
      <c r="D97" s="78"/>
      <c r="F97" s="78" t="str">
        <f>IF($Q$34=0,"",IF(INDEX('قاعدة البيانات'!$D$6:$D$305,$Q$34)="بنت","👧 ","👦 ")&amp;INDEX('قاعدة البيانات'!$C$6:$C$305,$Q$34))</f>
        <v/>
      </c>
      <c r="G97" s="78"/>
      <c r="H97" s="78"/>
      <c r="J97" s="78" t="str">
        <f>IF($Q$35=0,"",IF(INDEX('قاعدة البيانات'!$D$6:$D$305,$Q$35)="بنت","👧 ","👦 ")&amp;INDEX('قاعدة البيانات'!$C$6:$C$305,$Q$35))</f>
        <v/>
      </c>
      <c r="K97" s="78"/>
      <c r="L97" s="78"/>
    </row>
    <row r="98" spans="2:12" ht="108" customHeight="1">
      <c r="B98" s="24" t="str">
        <f>IF($Q$33=0,"",IF(ISBLANK(INDEX('قاعدة البيانات'!$K$6:$K$305,$Q$33)),LEFT(INDEX('قاعدة البيانات'!$C$6:$C$305,$Q$33),1),INDEX('قاعدة البيانات'!$K$6:$K$305,$Q$33)))</f>
        <v/>
      </c>
      <c r="C98" s="79"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79"/>
      <c r="F98" s="24" t="str">
        <f>IF($Q$34=0,"",IF(ISBLANK(INDEX('قاعدة البيانات'!$K$6:$K$305,$Q$34)),LEFT(INDEX('قاعدة البيانات'!$C$6:$C$305,$Q$34),1),INDEX('قاعدة البيانات'!$K$6:$K$305,$Q$34)))</f>
        <v/>
      </c>
      <c r="G98" s="79"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79"/>
      <c r="J98" s="24" t="str">
        <f>IF($Q$35=0,"",IF(ISBLANK(INDEX('قاعدة البيانات'!$K$6:$K$305,$Q$35)),LEFT(INDEX('قاعدة البيانات'!$C$6:$C$305,$Q$35),1),INDEX('قاعدة البيانات'!$K$6:$K$305,$Q$35)))</f>
        <v/>
      </c>
      <c r="K98" s="79"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79"/>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80" t="str">
        <f>IF($Q$33=0,"","📍 "&amp;IF(INDEX('قاعدة البيانات'!$J$6:$J$305,$Q$33)="","— مفيش عنوان —",INDEX('قاعدة البيانات'!$J$6:$J$305,$Q$33)))</f>
        <v/>
      </c>
      <c r="C101" s="80"/>
      <c r="D101" s="80"/>
      <c r="F101" s="80" t="str">
        <f>IF($Q$34=0,"","📍 "&amp;IF(INDEX('قاعدة البيانات'!$J$6:$J$305,$Q$34)="","— مفيش عنوان —",INDEX('قاعدة البيانات'!$J$6:$J$305,$Q$34)))</f>
        <v/>
      </c>
      <c r="G101" s="80"/>
      <c r="H101" s="80"/>
      <c r="J101" s="80" t="str">
        <f>IF($Q$35=0,"","📍 "&amp;IF(INDEX('قاعدة البيانات'!$J$6:$J$305,$Q$35)="","— مفيش عنوان —",INDEX('قاعدة البيانات'!$J$6:$J$305,$Q$35)))</f>
        <v/>
      </c>
      <c r="K101" s="80"/>
      <c r="L101" s="80"/>
    </row>
    <row r="102" spans="2:12" ht="21.75" customHeight="1">
      <c r="B102" s="75" t="str">
        <f>IF($Q$33=0,"","📊 إحصائيات الحضور")</f>
        <v/>
      </c>
      <c r="C102" s="75"/>
      <c r="D102" s="75"/>
      <c r="F102" s="75" t="str">
        <f>IF($Q$34=0,"","📊 إحصائيات الحضور")</f>
        <v/>
      </c>
      <c r="G102" s="75"/>
      <c r="H102" s="75"/>
      <c r="J102" s="75" t="str">
        <f>IF($Q$35=0,"","📊 إحصائيات الحضور")</f>
        <v/>
      </c>
      <c r="K102" s="75"/>
      <c r="L102" s="75"/>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غبريال'!C31</f>
        <v/>
      </c>
      <c r="C104" s="30" t="str">
        <f>'حضور غبريال'!D31</f>
        <v/>
      </c>
      <c r="D104" s="31" t="str">
        <f>'حضور غبريال'!F31</f>
        <v/>
      </c>
      <c r="F104" s="29" t="str">
        <f>'حضور غبريال'!C32</f>
        <v/>
      </c>
      <c r="G104" s="30" t="str">
        <f>'حضور غبريال'!D32</f>
        <v/>
      </c>
      <c r="H104" s="31" t="str">
        <f>'حضور غبريال'!F32</f>
        <v/>
      </c>
      <c r="J104" s="29" t="str">
        <f>'حضور غبريال'!C33</f>
        <v/>
      </c>
      <c r="K104" s="30" t="str">
        <f>'حضور غبريال'!D33</f>
        <v/>
      </c>
      <c r="L104" s="31" t="str">
        <f>'حضور غبريال'!F33</f>
        <v/>
      </c>
    </row>
    <row r="105" spans="2:12" ht="24" customHeight="1">
      <c r="B105" s="76" t="str">
        <f>'حضور غبريال'!I31</f>
        <v/>
      </c>
      <c r="C105" s="76"/>
      <c r="D105" s="76"/>
      <c r="F105" s="76" t="str">
        <f>'حضور غبريال'!I32</f>
        <v/>
      </c>
      <c r="G105" s="76"/>
      <c r="H105" s="76"/>
      <c r="J105" s="76" t="str">
        <f>'حضور غبريال'!I33</f>
        <v/>
      </c>
      <c r="K105" s="76"/>
      <c r="L105" s="76"/>
    </row>
    <row r="106" spans="2:12" ht="19.5" customHeight="1">
      <c r="B106" s="77" t="str">
        <f>IF($Q$33=0,"","🗓️ آخر حضور: "&amp;IF(ISNUMBER('حضور غبريال'!H31),DAY('حضور غبريال'!H31)&amp;"/"&amp;MONTH('حضور غبريال'!H31)&amp;"/"&amp;YEAR('حضور غبريال'!H31),"—")&amp;"   •   غياب متتالي: "&amp;'حضور غبريال'!G31)</f>
        <v/>
      </c>
      <c r="C106" s="77"/>
      <c r="D106" s="77"/>
      <c r="F106" s="77" t="str">
        <f>IF($Q$34=0,"","🗓️ آخر حضور: "&amp;IF(ISNUMBER('حضور غبريال'!H32),DAY('حضور غبريال'!H32)&amp;"/"&amp;MONTH('حضور غبريال'!H32)&amp;"/"&amp;YEAR('حضور غبريال'!H32),"—")&amp;"   •   غياب متتالي: "&amp;'حضور غبريال'!G32)</f>
        <v/>
      </c>
      <c r="G106" s="77"/>
      <c r="H106" s="77"/>
      <c r="J106" s="77" t="str">
        <f>IF($Q$35=0,"","🗓️ آخر حضور: "&amp;IF(ISNUMBER('حضور غبريال'!H33),DAY('حضور غبريال'!H33)&amp;"/"&amp;MONTH('حضور غبريال'!H33)&amp;"/"&amp;YEAR('حضور غبريال'!H33),"—")&amp;"   •   غياب متتالي: "&amp;'حضور غبريال'!G33)</f>
        <v/>
      </c>
      <c r="K106" s="77"/>
      <c r="L106" s="77"/>
    </row>
    <row r="107" spans="2:12" ht="13.5" customHeight="1"/>
    <row r="108" spans="2:12" ht="30" customHeight="1">
      <c r="B108" s="78" t="str">
        <f>IF($Q$36=0,"",IF(INDEX('قاعدة البيانات'!$D$6:$D$305,$Q$36)="بنت","👧 ","👦 ")&amp;INDEX('قاعدة البيانات'!$C$6:$C$305,$Q$36))</f>
        <v/>
      </c>
      <c r="C108" s="78"/>
      <c r="D108" s="78"/>
      <c r="F108" s="78" t="str">
        <f>IF($Q$37=0,"",IF(INDEX('قاعدة البيانات'!$D$6:$D$305,$Q$37)="بنت","👧 ","👦 ")&amp;INDEX('قاعدة البيانات'!$C$6:$C$305,$Q$37))</f>
        <v/>
      </c>
      <c r="G108" s="78"/>
      <c r="H108" s="78"/>
      <c r="J108" s="78" t="str">
        <f>IF($Q$38=0,"",IF(INDEX('قاعدة البيانات'!$D$6:$D$305,$Q$38)="بنت","👧 ","👦 ")&amp;INDEX('قاعدة البيانات'!$C$6:$C$305,$Q$38))</f>
        <v/>
      </c>
      <c r="K108" s="78"/>
      <c r="L108" s="78"/>
    </row>
    <row r="109" spans="2:12" ht="108" customHeight="1">
      <c r="B109" s="24" t="str">
        <f>IF($Q$36=0,"",IF(ISBLANK(INDEX('قاعدة البيانات'!$K$6:$K$305,$Q$36)),LEFT(INDEX('قاعدة البيانات'!$C$6:$C$305,$Q$36),1),INDEX('قاعدة البيانات'!$K$6:$K$305,$Q$36)))</f>
        <v/>
      </c>
      <c r="C109" s="79"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79"/>
      <c r="F109" s="24" t="str">
        <f>IF($Q$37=0,"",IF(ISBLANK(INDEX('قاعدة البيانات'!$K$6:$K$305,$Q$37)),LEFT(INDEX('قاعدة البيانات'!$C$6:$C$305,$Q$37),1),INDEX('قاعدة البيانات'!$K$6:$K$305,$Q$37)))</f>
        <v/>
      </c>
      <c r="G109" s="79"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79"/>
      <c r="J109" s="24" t="str">
        <f>IF($Q$38=0,"",IF(ISBLANK(INDEX('قاعدة البيانات'!$K$6:$K$305,$Q$38)),LEFT(INDEX('قاعدة البيانات'!$C$6:$C$305,$Q$38),1),INDEX('قاعدة البيانات'!$K$6:$K$305,$Q$38)))</f>
        <v/>
      </c>
      <c r="K109" s="79"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79"/>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80" t="str">
        <f>IF($Q$36=0,"","📍 "&amp;IF(INDEX('قاعدة البيانات'!$J$6:$J$305,$Q$36)="","— مفيش عنوان —",INDEX('قاعدة البيانات'!$J$6:$J$305,$Q$36)))</f>
        <v/>
      </c>
      <c r="C112" s="80"/>
      <c r="D112" s="80"/>
      <c r="F112" s="80" t="str">
        <f>IF($Q$37=0,"","📍 "&amp;IF(INDEX('قاعدة البيانات'!$J$6:$J$305,$Q$37)="","— مفيش عنوان —",INDEX('قاعدة البيانات'!$J$6:$J$305,$Q$37)))</f>
        <v/>
      </c>
      <c r="G112" s="80"/>
      <c r="H112" s="80"/>
      <c r="J112" s="80" t="str">
        <f>IF($Q$38=0,"","📍 "&amp;IF(INDEX('قاعدة البيانات'!$J$6:$J$305,$Q$38)="","— مفيش عنوان —",INDEX('قاعدة البيانات'!$J$6:$J$305,$Q$38)))</f>
        <v/>
      </c>
      <c r="K112" s="80"/>
      <c r="L112" s="80"/>
    </row>
    <row r="113" spans="2:12" ht="21.75" customHeight="1">
      <c r="B113" s="75" t="str">
        <f>IF($Q$36=0,"","📊 إحصائيات الحضور")</f>
        <v/>
      </c>
      <c r="C113" s="75"/>
      <c r="D113" s="75"/>
      <c r="F113" s="75" t="str">
        <f>IF($Q$37=0,"","📊 إحصائيات الحضور")</f>
        <v/>
      </c>
      <c r="G113" s="75"/>
      <c r="H113" s="75"/>
      <c r="J113" s="75" t="str">
        <f>IF($Q$38=0,"","📊 إحصائيات الحضور")</f>
        <v/>
      </c>
      <c r="K113" s="75"/>
      <c r="L113" s="75"/>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غبريال'!C34</f>
        <v/>
      </c>
      <c r="C115" s="30" t="str">
        <f>'حضور غبريال'!D34</f>
        <v/>
      </c>
      <c r="D115" s="31" t="str">
        <f>'حضور غبريال'!F34</f>
        <v/>
      </c>
      <c r="F115" s="29" t="str">
        <f>'حضور غبريال'!C35</f>
        <v/>
      </c>
      <c r="G115" s="30" t="str">
        <f>'حضور غبريال'!D35</f>
        <v/>
      </c>
      <c r="H115" s="31" t="str">
        <f>'حضور غبريال'!F35</f>
        <v/>
      </c>
      <c r="J115" s="29" t="str">
        <f>'حضور غبريال'!C36</f>
        <v/>
      </c>
      <c r="K115" s="30" t="str">
        <f>'حضور غبريال'!D36</f>
        <v/>
      </c>
      <c r="L115" s="31" t="str">
        <f>'حضور غبريال'!F36</f>
        <v/>
      </c>
    </row>
    <row r="116" spans="2:12" ht="24" customHeight="1">
      <c r="B116" s="76" t="str">
        <f>'حضور غبريال'!I34</f>
        <v/>
      </c>
      <c r="C116" s="76"/>
      <c r="D116" s="76"/>
      <c r="F116" s="76" t="str">
        <f>'حضور غبريال'!I35</f>
        <v/>
      </c>
      <c r="G116" s="76"/>
      <c r="H116" s="76"/>
      <c r="J116" s="76" t="str">
        <f>'حضور غبريال'!I36</f>
        <v/>
      </c>
      <c r="K116" s="76"/>
      <c r="L116" s="76"/>
    </row>
    <row r="117" spans="2:12" ht="19.5" customHeight="1">
      <c r="B117" s="77" t="str">
        <f>IF($Q$36=0,"","🗓️ آخر حضور: "&amp;IF(ISNUMBER('حضور غبريال'!H34),DAY('حضور غبريال'!H34)&amp;"/"&amp;MONTH('حضور غبريال'!H34)&amp;"/"&amp;YEAR('حضور غبريال'!H34),"—")&amp;"   •   غياب متتالي: "&amp;'حضور غبريال'!G34)</f>
        <v/>
      </c>
      <c r="C117" s="77"/>
      <c r="D117" s="77"/>
      <c r="F117" s="77" t="str">
        <f>IF($Q$37=0,"","🗓️ آخر حضور: "&amp;IF(ISNUMBER('حضور غبريال'!H35),DAY('حضور غبريال'!H35)&amp;"/"&amp;MONTH('حضور غبريال'!H35)&amp;"/"&amp;YEAR('حضور غبريال'!H35),"—")&amp;"   •   غياب متتالي: "&amp;'حضور غبريال'!G35)</f>
        <v/>
      </c>
      <c r="G117" s="77"/>
      <c r="H117" s="77"/>
      <c r="J117" s="77" t="str">
        <f>IF($Q$38=0,"","🗓️ آخر حضور: "&amp;IF(ISNUMBER('حضور غبريال'!H36),DAY('حضور غبريال'!H36)&amp;"/"&amp;MONTH('حضور غبريال'!H36)&amp;"/"&amp;YEAR('حضور غبريال'!H36),"—")&amp;"   •   غياب متتالي: "&amp;'حضور غبريال'!G36)</f>
        <v/>
      </c>
      <c r="K117" s="77"/>
      <c r="L117" s="77"/>
    </row>
    <row r="118" spans="2:12" ht="13.5" customHeight="1"/>
  </sheetData>
  <sheetProtection sheet="1"/>
  <mergeCells count="192">
    <mergeCell ref="B1:L1"/>
    <mergeCell ref="B2:C2"/>
    <mergeCell ref="D2:F2"/>
    <mergeCell ref="G2:H2"/>
    <mergeCell ref="J2:K2"/>
    <mergeCell ref="B4:D4"/>
    <mergeCell ref="F4:H4"/>
    <mergeCell ref="J4:L4"/>
    <mergeCell ref="B5:D5"/>
    <mergeCell ref="F5:H5"/>
    <mergeCell ref="J5:L5"/>
    <mergeCell ref="B6:L6"/>
    <mergeCell ref="B9:D9"/>
    <mergeCell ref="F9:H9"/>
    <mergeCell ref="J9:L9"/>
    <mergeCell ref="C10:D10"/>
    <mergeCell ref="G10:H10"/>
    <mergeCell ref="K10:L10"/>
    <mergeCell ref="B13:D13"/>
    <mergeCell ref="F13:H13"/>
    <mergeCell ref="J13:L13"/>
    <mergeCell ref="B14:D14"/>
    <mergeCell ref="F14:H14"/>
    <mergeCell ref="J14:L14"/>
    <mergeCell ref="B17:D17"/>
    <mergeCell ref="F17:H17"/>
    <mergeCell ref="J17:L17"/>
    <mergeCell ref="B18:D18"/>
    <mergeCell ref="F18:H18"/>
    <mergeCell ref="J18:L18"/>
    <mergeCell ref="B20:D20"/>
    <mergeCell ref="F20:H20"/>
    <mergeCell ref="J20:L20"/>
    <mergeCell ref="C21:D21"/>
    <mergeCell ref="G21:H21"/>
    <mergeCell ref="K21:L21"/>
    <mergeCell ref="B24:D24"/>
    <mergeCell ref="F24:H24"/>
    <mergeCell ref="J24:L24"/>
    <mergeCell ref="B25:D25"/>
    <mergeCell ref="F25:H25"/>
    <mergeCell ref="J25:L25"/>
    <mergeCell ref="B28:D28"/>
    <mergeCell ref="F28:H28"/>
    <mergeCell ref="J28:L28"/>
    <mergeCell ref="B29:D29"/>
    <mergeCell ref="F29:H29"/>
    <mergeCell ref="J29:L29"/>
    <mergeCell ref="B31:D31"/>
    <mergeCell ref="F31:H31"/>
    <mergeCell ref="J31:L31"/>
    <mergeCell ref="C32:D32"/>
    <mergeCell ref="G32:H32"/>
    <mergeCell ref="K32:L32"/>
    <mergeCell ref="B35:D35"/>
    <mergeCell ref="F35:H35"/>
    <mergeCell ref="J35:L35"/>
    <mergeCell ref="B36:D36"/>
    <mergeCell ref="F36:H36"/>
    <mergeCell ref="J36:L36"/>
    <mergeCell ref="B39:D39"/>
    <mergeCell ref="F39:H39"/>
    <mergeCell ref="J39:L39"/>
    <mergeCell ref="B40:D40"/>
    <mergeCell ref="F40:H40"/>
    <mergeCell ref="J40:L40"/>
    <mergeCell ref="B42:D42"/>
    <mergeCell ref="F42:H42"/>
    <mergeCell ref="J42:L42"/>
    <mergeCell ref="C43:D43"/>
    <mergeCell ref="G43:H43"/>
    <mergeCell ref="K43:L43"/>
    <mergeCell ref="B46:D46"/>
    <mergeCell ref="F46:H46"/>
    <mergeCell ref="J46:L46"/>
    <mergeCell ref="B47:D47"/>
    <mergeCell ref="F47:H47"/>
    <mergeCell ref="J47:L47"/>
    <mergeCell ref="B50:D50"/>
    <mergeCell ref="F50:H50"/>
    <mergeCell ref="J50:L50"/>
    <mergeCell ref="B51:D51"/>
    <mergeCell ref="F51:H51"/>
    <mergeCell ref="J51:L51"/>
    <mergeCell ref="B53:D53"/>
    <mergeCell ref="F53:H53"/>
    <mergeCell ref="J53:L53"/>
    <mergeCell ref="C54:D54"/>
    <mergeCell ref="G54:H54"/>
    <mergeCell ref="K54:L54"/>
    <mergeCell ref="B57:D57"/>
    <mergeCell ref="F57:H57"/>
    <mergeCell ref="J57:L57"/>
    <mergeCell ref="B58:D58"/>
    <mergeCell ref="F58:H58"/>
    <mergeCell ref="J58:L58"/>
    <mergeCell ref="B61:D61"/>
    <mergeCell ref="F61:H61"/>
    <mergeCell ref="J61:L61"/>
    <mergeCell ref="B62:D62"/>
    <mergeCell ref="F62:H62"/>
    <mergeCell ref="J62:L62"/>
    <mergeCell ref="B64:D64"/>
    <mergeCell ref="F64:H64"/>
    <mergeCell ref="J64:L64"/>
    <mergeCell ref="C65:D65"/>
    <mergeCell ref="G65:H65"/>
    <mergeCell ref="K65:L65"/>
    <mergeCell ref="B68:D68"/>
    <mergeCell ref="F68:H68"/>
    <mergeCell ref="J68:L68"/>
    <mergeCell ref="B69:D69"/>
    <mergeCell ref="F69:H69"/>
    <mergeCell ref="J69:L69"/>
    <mergeCell ref="B72:D72"/>
    <mergeCell ref="F72:H72"/>
    <mergeCell ref="J72:L72"/>
    <mergeCell ref="B73:D73"/>
    <mergeCell ref="F73:H73"/>
    <mergeCell ref="J73:L73"/>
    <mergeCell ref="B75:D75"/>
    <mergeCell ref="F75:H75"/>
    <mergeCell ref="J75:L75"/>
    <mergeCell ref="C76:D76"/>
    <mergeCell ref="G76:H76"/>
    <mergeCell ref="K76:L76"/>
    <mergeCell ref="B79:D79"/>
    <mergeCell ref="F79:H79"/>
    <mergeCell ref="J79:L79"/>
    <mergeCell ref="B80:D80"/>
    <mergeCell ref="F80:H80"/>
    <mergeCell ref="J80:L80"/>
    <mergeCell ref="B83:D83"/>
    <mergeCell ref="F83:H83"/>
    <mergeCell ref="J83:L83"/>
    <mergeCell ref="B84:D84"/>
    <mergeCell ref="F84:H84"/>
    <mergeCell ref="J84:L84"/>
    <mergeCell ref="B86:D86"/>
    <mergeCell ref="F86:H86"/>
    <mergeCell ref="J86:L86"/>
    <mergeCell ref="C87:D87"/>
    <mergeCell ref="G87:H87"/>
    <mergeCell ref="K87:L87"/>
    <mergeCell ref="B90:D90"/>
    <mergeCell ref="F90:H90"/>
    <mergeCell ref="J90:L90"/>
    <mergeCell ref="B91:D91"/>
    <mergeCell ref="F91:H91"/>
    <mergeCell ref="J91:L91"/>
    <mergeCell ref="B94:D94"/>
    <mergeCell ref="F94:H94"/>
    <mergeCell ref="J94:L94"/>
    <mergeCell ref="B95:D95"/>
    <mergeCell ref="F95:H95"/>
    <mergeCell ref="J95:L95"/>
    <mergeCell ref="B97:D97"/>
    <mergeCell ref="F97:H97"/>
    <mergeCell ref="J97:L97"/>
    <mergeCell ref="C98:D98"/>
    <mergeCell ref="G98:H98"/>
    <mergeCell ref="K98:L98"/>
    <mergeCell ref="B101:D101"/>
    <mergeCell ref="F101:H101"/>
    <mergeCell ref="J101:L101"/>
    <mergeCell ref="B102:D102"/>
    <mergeCell ref="F102:H102"/>
    <mergeCell ref="J102:L102"/>
    <mergeCell ref="B105:D105"/>
    <mergeCell ref="F105:H105"/>
    <mergeCell ref="J105:L105"/>
    <mergeCell ref="B106:D106"/>
    <mergeCell ref="F106:H106"/>
    <mergeCell ref="J106:L106"/>
    <mergeCell ref="B108:D108"/>
    <mergeCell ref="F108:H108"/>
    <mergeCell ref="J108:L108"/>
    <mergeCell ref="C109:D109"/>
    <mergeCell ref="G109:H109"/>
    <mergeCell ref="K109:L109"/>
    <mergeCell ref="B112:D112"/>
    <mergeCell ref="F112:H112"/>
    <mergeCell ref="J112:L112"/>
    <mergeCell ref="B113:D113"/>
    <mergeCell ref="F113:H113"/>
    <mergeCell ref="J113:L113"/>
    <mergeCell ref="B116:D116"/>
    <mergeCell ref="F116:H116"/>
    <mergeCell ref="J116:L116"/>
    <mergeCell ref="B117:D117"/>
    <mergeCell ref="F117:H117"/>
    <mergeCell ref="J117:L117"/>
  </mergeCells>
  <conditionalFormatting sqref="B10 F10 J10 B21 F21 J21 B32 F32 J32 B43 F43 J43 B54 F54 J54 B65 F65 J65 B76 F76 J76 B87 F87 J87 B98 F98 J98 B109 F109 J109">
    <cfRule type="expression" dxfId="118" priority="4">
      <formula>INDEX($R$9:$R$38,(INT((ROW()-9)/11)*3+INT((COLUMN()-2)/4)+1))="ولد"</formula>
    </cfRule>
    <cfRule type="expression" dxfId="117"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16"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15" priority="2">
      <formula>INDEX($S$9:$S$38,(INT((ROW()-9)/11)*3+INT((COLUMN()-2)/4)+1))=5</formula>
    </cfRule>
    <cfRule type="expression" dxfId="114"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13"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12"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11"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10" priority="17">
      <formula>INDEX($S$9:$S$38,(INT((ROW()-9)/11)*3+INT((COLUMN()-2)/4)+1))=1</formula>
    </cfRule>
    <cfRule type="expression" dxfId="109" priority="18">
      <formula>INDEX($S$9:$S$38,(INT((ROW()-9)/11)*3+INT((COLUMN()-2)/4)+1))=2</formula>
    </cfRule>
    <cfRule type="expression" dxfId="108" priority="19">
      <formula>INDEX($S$9:$S$38,(INT((ROW()-9)/11)*3+INT((COLUMN()-2)/4)+1))=3</formula>
    </cfRule>
    <cfRule type="expression" dxfId="107" priority="20">
      <formula>INDEX($S$9:$S$38,(INT((ROW()-9)/11)*3+INT((COLUMN()-2)/4)+1))=4</formula>
    </cfRule>
    <cfRule type="expression" dxfId="106"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05"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04" priority="6">
      <formula>INDEX($Q$9:$Q$38,(INT((ROW()-9)/11)*3+INT((COLUMN()-2)/4)+1))&gt;0</formula>
    </cfRule>
  </conditionalFormatting>
  <conditionalFormatting sqref="D16 H16 L16 D27 H27 L27 D38 H38 L38 D49 H49 L49 D60 H60 L60 D71 H71 L71 D82 H82 L82 D93 H93 L93 D104 H104 L104 D115 H115 L115">
    <cfRule type="expression" dxfId="103" priority="13">
      <formula>INDEX($S$9:$S$38,(INT((ROW()-9)/11)*3+INT((COLUMN()-2)/4)+1))=1</formula>
    </cfRule>
    <cfRule type="expression" dxfId="102" priority="14">
      <formula>INDEX($S$9:$S$38,(INT((ROW()-9)/11)*3+INT((COLUMN()-2)/4)+1))=2</formula>
    </cfRule>
    <cfRule type="expression" dxfId="101" priority="15">
      <formula>OR(INDEX($S$9:$S$38,(INT((ROW()-9)/11)*3+INT((COLUMN()-2)/4)+1))=3,INDEX($S$9:$S$38,(INT((ROW()-9)/11)*3+INT((COLUMN()-2)/4)+1))=4)</formula>
    </cfRule>
    <cfRule type="expression" dxfId="100"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B1:S118"/>
  <sheetViews>
    <sheetView showGridLines="0" rightToLeft="1" zoomScale="90" zoomScaleNormal="90" workbookViewId="0">
      <pane ySplit="2" topLeftCell="A3" activePane="bottomLeft" state="frozen"/>
      <selection pane="bottomLeft"/>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8" t="str">
        <f>"🪪 كروت أطفال ملاك "&amp;الإعدادات!$B$6</f>
        <v>🪪 كروت أطفال ملاك رفائيل</v>
      </c>
      <c r="C1" s="138"/>
      <c r="D1" s="138"/>
      <c r="E1" s="138"/>
      <c r="F1" s="138"/>
      <c r="G1" s="138"/>
      <c r="H1" s="138"/>
      <c r="I1" s="138"/>
      <c r="J1" s="138"/>
      <c r="K1" s="138"/>
      <c r="L1" s="138"/>
    </row>
    <row r="2" spans="2:19" ht="30" customHeight="1">
      <c r="B2" s="83" t="str">
        <f>HYPERLINK("#'الرئيسية'!A1","🏠 الرئيسية")</f>
        <v>🏠 الرئيسية</v>
      </c>
      <c r="C2" s="83"/>
      <c r="D2" s="84" t="str">
        <f>HYPERLINK("#'قاعدة البيانات'!C"&amp;MIN(305,6+COUNTA('قاعدة البيانات'!$C$6:$C$305)),"➕ إضافة طفل جديد")</f>
        <v>➕ إضافة طفل جديد</v>
      </c>
      <c r="E2" s="84"/>
      <c r="F2" s="84"/>
      <c r="G2" s="139" t="str">
        <f>HYPERLINK("#'حضور رفائيل'!A1","📅 حضور الفصل")</f>
        <v>📅 حضور الفصل</v>
      </c>
      <c r="H2" s="139"/>
      <c r="J2" s="83" t="str">
        <f>HYPERLINK("#'الافتقاد'!A1","📞 الافتقاد")</f>
        <v>📞 الافتقاد</v>
      </c>
      <c r="K2" s="83"/>
      <c r="L2" s="5" t="str">
        <f>HYPERLINK("#'قاعدة البيانات'!A1","📋 القاعدة")</f>
        <v>📋 القاعدة</v>
      </c>
    </row>
    <row r="3" spans="2:19" ht="7.5" customHeight="1"/>
    <row r="4" spans="2:19" ht="19.5" customHeight="1">
      <c r="B4" s="140" t="s">
        <v>52</v>
      </c>
      <c r="C4" s="140"/>
      <c r="D4" s="140"/>
      <c r="F4" s="140" t="s">
        <v>53</v>
      </c>
      <c r="G4" s="140"/>
      <c r="H4" s="140"/>
      <c r="J4" s="140" t="s">
        <v>54</v>
      </c>
      <c r="K4" s="140"/>
      <c r="L4" s="140"/>
    </row>
    <row r="5" spans="2:19" ht="37.5" customHeight="1">
      <c r="B5" s="141">
        <f>COUNTIFS('قاعدة البيانات'!$F$6:$F$305,الإعدادات!$B$6,'قاعدة البيانات'!$C$6:$C$305,"&lt;&gt;",'قاعدة البيانات'!$M$6:$M$305,"&lt;&gt;غير نشط")</f>
        <v>17</v>
      </c>
      <c r="C5" s="141"/>
      <c r="D5" s="141"/>
      <c r="F5" s="142" t="str">
        <f>"👦 "&amp;COUNTIFS('قاعدة البيانات'!$F$6:$F$305,الإعدادات!$B$6,'قاعدة البيانات'!$D$6:$D$305,"ولد",'قاعدة البيانات'!$C$6:$C$305,"&lt;&gt;",'قاعدة البيانات'!$M$6:$M$305,"&lt;&gt;غير نشط")&amp;"    👧 "&amp;COUNTIFS('قاعدة البيانات'!$F$6:$F$305,الإعدادات!$B$6,'قاعدة البيانات'!$D$6:$D$305,"بنت",'قاعدة البيانات'!$C$6:$C$305,"&lt;&gt;",'قاعدة البيانات'!$M$6:$M$305,"&lt;&gt;غير نشط")</f>
        <v>👦 0    👧 0</v>
      </c>
      <c r="G5" s="142"/>
      <c r="H5" s="142"/>
      <c r="J5" s="143" t="str">
        <f>IFERROR(SUM('حضور رفائيل'!C7:C36)/(SUM('حضور رفائيل'!C7:C36)+SUM('حضور رفائيل'!D7:D36)),"—")</f>
        <v>—</v>
      </c>
      <c r="K5" s="143"/>
      <c r="L5" s="143"/>
    </row>
    <row r="6" spans="2:19" ht="21.75" customHeight="1">
      <c r="B6" s="81" t="str">
        <f>"📅 جمع مسجلة: "&amp;COUNT('حضور رفائيل'!J4:BJ4)&amp;"        ⚠️ محتاجين افتقاد: "&amp;(COUNTIFS('قاعدة البيانات'!$F$6:$F$305,الإعدادات!$B$6,'قاعدة البيانات'!$V$6:$V$305,3)+COUNTIFS('قاعدة البيانات'!$F$6:$F$305,الإعدادات!$B$6,'قاعدة البيانات'!$V$6:$V$305,4))&amp;"        🆓 أماكن فاضية: "&amp;(30-COUNTIFS('قاعدة البيانات'!$F$6:$F$305,الإعدادات!$B$6,'قاعدة البيانات'!$C$6:$C$305,"&lt;&gt;"))</f>
        <v>📅 جمع مسجلة: 0        ⚠️ محتاجين افتقاد: 0        🆓 أماكن فاضية: 13</v>
      </c>
      <c r="C6" s="81"/>
      <c r="D6" s="81"/>
      <c r="E6" s="81"/>
      <c r="F6" s="81"/>
      <c r="G6" s="81"/>
      <c r="H6" s="81"/>
      <c r="I6" s="81"/>
      <c r="J6" s="81"/>
      <c r="K6" s="81"/>
      <c r="L6" s="81"/>
    </row>
    <row r="7" spans="2:19" ht="7.5" customHeight="1"/>
    <row r="8" spans="2:19" ht="6" customHeight="1"/>
    <row r="9" spans="2:19" ht="30" customHeight="1">
      <c r="B9" s="78" t="str">
        <f>IF($Q$9=0,"",IF(INDEX('قاعدة البيانات'!$D$6:$D$305,$Q$9)="بنت","👧 ","👦 ")&amp;INDEX('قاعدة البيانات'!$C$6:$C$305,$Q$9))</f>
        <v>👦 ايرينى رومانى موريس</v>
      </c>
      <c r="C9" s="78"/>
      <c r="D9" s="78"/>
      <c r="F9" s="78" t="str">
        <f>IF($Q$10=0,"",IF(INDEX('قاعدة البيانات'!$D$6:$D$305,$Q$10)="بنت","👧 ","👦 ")&amp;INDEX('قاعدة البيانات'!$C$6:$C$305,$Q$10))</f>
        <v>👦 ايلينا مايكل ايليا</v>
      </c>
      <c r="G9" s="78"/>
      <c r="H9" s="78"/>
      <c r="J9" s="78" t="str">
        <f>IF($Q$11=0,"",IF(INDEX('قاعدة البيانات'!$D$6:$D$305,$Q$11)="بنت","👧 ","👦 ")&amp;INDEX('قاعدة البيانات'!$C$6:$C$305,$Q$11))</f>
        <v>👦 إيلينا مينا عاطف عزمى</v>
      </c>
      <c r="K9" s="78"/>
      <c r="L9" s="78"/>
      <c r="P9">
        <v>1</v>
      </c>
      <c r="Q9">
        <f>'حضور رفائيل'!BL7</f>
        <v>69</v>
      </c>
      <c r="R9">
        <f>IF(Q9=0,"",INDEX('قاعدة البيانات'!$D$6:$D$305,Q9))</f>
        <v>0</v>
      </c>
      <c r="S9">
        <f>'حضور رفائيل'!BM7</f>
        <v>0</v>
      </c>
    </row>
    <row r="10" spans="2:19" ht="108" customHeight="1">
      <c r="B10" s="24" t="str">
        <f>IF($Q$9=0,"",IF(ISBLANK(INDEX('قاعدة البيانات'!$K$6:$K$305,$Q$9)),LEFT(INDEX('قاعدة البيانات'!$C$6:$C$305,$Q$9),1),INDEX('قاعدة البيانات'!$K$6:$K$305,$Q$9)))</f>
        <v>ا</v>
      </c>
      <c r="C10" s="79"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B-069
🎓 سنة أولى
🚶 يروح لوحده: —
📝 مفيش ملاحظات</v>
      </c>
      <c r="D10" s="79"/>
      <c r="F10" s="24" t="str">
        <f>IF($Q$10=0,"",IF(ISBLANK(INDEX('قاعدة البيانات'!$K$6:$K$305,$Q$10)),LEFT(INDEX('قاعدة البيانات'!$C$6:$C$305,$Q$10),1),INDEX('قاعدة البيانات'!$K$6:$K$305,$Q$10)))</f>
        <v>ا</v>
      </c>
      <c r="G10" s="79"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B-070
🎓 سنة أولى
🚶 يروح لوحده: —
📝 مفيش ملاحظات</v>
      </c>
      <c r="H10" s="79"/>
      <c r="J10" s="24" t="str">
        <f>IF($Q$11=0,"",IF(ISBLANK(INDEX('قاعدة البيانات'!$K$6:$K$305,$Q$11)),LEFT(INDEX('قاعدة البيانات'!$C$6:$C$305,$Q$11),1),INDEX('قاعدة البيانات'!$K$6:$K$305,$Q$11)))</f>
        <v>إ</v>
      </c>
      <c r="K10" s="79"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B-071
🎓 سنة أولى
🚶 يروح لوحده: —
📝 مفيش ملاحظات</v>
      </c>
      <c r="L10" s="79"/>
      <c r="P10">
        <v>2</v>
      </c>
      <c r="Q10">
        <f>'حضور رفائيل'!BL8</f>
        <v>70</v>
      </c>
      <c r="R10">
        <f>IF(Q10=0,"",INDEX('قاعدة البيانات'!$D$6:$D$305,Q10))</f>
        <v>0</v>
      </c>
      <c r="S10">
        <f>'حضور رفائيل'!BM8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01280565829</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01207353504</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01274774282</v>
      </c>
      <c r="L11" s="27" t="str">
        <f>IF(OR($Q$11=0,INDEX('قاعدة البيانات'!$H$6:$H$305,$Q$11)=""),"",HYPERLINK("https://wa.me/20"&amp;RIGHT(INDEX('قاعدة البيانات'!$H$6:$H$305,$Q$11),10),"💬 واتساب"))</f>
        <v>💬 واتساب</v>
      </c>
      <c r="P11">
        <v>3</v>
      </c>
      <c r="Q11">
        <f>'حضور رفائيل'!BL9</f>
        <v>71</v>
      </c>
      <c r="R11">
        <f>IF(Q11=0,"",INDEX('قاعدة البيانات'!$D$6:$D$305,Q11))</f>
        <v>0</v>
      </c>
      <c r="S11">
        <f>'حضور رفائيل'!BM9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01101654955</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مفيش رقم —</v>
      </c>
      <c r="L12" s="27" t="str">
        <f>IF(OR($Q$11=0,INDEX('قاعدة البيانات'!$I$6:$I$305,$Q$11)=""),"",HYPERLINK("https://wa.me/20"&amp;RIGHT(INDEX('قاعدة البيانات'!$I$6:$I$305,$Q$11),10),"💬 واتساب"))</f>
        <v/>
      </c>
      <c r="P12">
        <v>4</v>
      </c>
      <c r="Q12">
        <f>'حضور رفائيل'!BL10</f>
        <v>72</v>
      </c>
      <c r="R12">
        <f>IF(Q12=0,"",INDEX('قاعدة البيانات'!$D$6:$D$305,Q12))</f>
        <v>0</v>
      </c>
      <c r="S12">
        <f>'حضور رفائيل'!BM10</f>
        <v>0</v>
      </c>
    </row>
    <row r="13" spans="2:19" ht="37.5" customHeight="1">
      <c r="B13" s="80" t="str">
        <f>IF($Q$9=0,"","📍 "&amp;IF(INDEX('قاعدة البيانات'!$J$6:$J$305,$Q$9)="","— مفيش عنوان —",INDEX('قاعدة البيانات'!$J$6:$J$305,$Q$9)))</f>
        <v xml:space="preserve">📍 41 شارع علي شعراوي - الدور 4 - </v>
      </c>
      <c r="C13" s="80"/>
      <c r="D13" s="80"/>
      <c r="F13" s="80" t="str">
        <f>IF($Q$10=0,"","📍 "&amp;IF(INDEX('قاعدة البيانات'!$J$6:$J$305,$Q$10)="","— مفيش عنوان —",INDEX('قاعدة البيانات'!$J$6:$J$305,$Q$10)))</f>
        <v>📍 133 شارع مصر والسودان (العدرا المليحة) - شقة 30 الدور 6 - عند كوافير أميرة/ شمال الاسانسير / الشقة اللى فى الوش</v>
      </c>
      <c r="G13" s="80"/>
      <c r="H13" s="80"/>
      <c r="J13" s="80" t="str">
        <f>IF($Q$11=0,"","📍 "&amp;IF(INDEX('قاعدة البيانات'!$J$6:$J$305,$Q$11)="","— مفيش عنوان —",INDEX('قاعدة البيانات'!$J$6:$J$305,$Q$11)))</f>
        <v>📍 4 شارع عاصم -  شقة 4 الدور 2 - عاصم متفرع من ش على شعراوى
 امام بيم</v>
      </c>
      <c r="K13" s="80"/>
      <c r="L13" s="80"/>
      <c r="P13">
        <v>5</v>
      </c>
      <c r="Q13">
        <f>'حضور رفائيل'!BL11</f>
        <v>73</v>
      </c>
      <c r="R13">
        <f>IF(Q13=0,"",INDEX('قاعدة البيانات'!$D$6:$D$305,Q13))</f>
        <v>0</v>
      </c>
      <c r="S13">
        <f>'حضور رفائيل'!BM11</f>
        <v>0</v>
      </c>
    </row>
    <row r="14" spans="2:19" ht="21.75" customHeight="1">
      <c r="B14" s="75" t="str">
        <f>IF($Q$9=0,"","📊 إحصائيات الحضور")</f>
        <v>📊 إحصائيات الحضور</v>
      </c>
      <c r="C14" s="75"/>
      <c r="D14" s="75"/>
      <c r="F14" s="75" t="str">
        <f>IF($Q$10=0,"","📊 إحصائيات الحضور")</f>
        <v>📊 إحصائيات الحضور</v>
      </c>
      <c r="G14" s="75"/>
      <c r="H14" s="75"/>
      <c r="J14" s="75" t="str">
        <f>IF($Q$11=0,"","📊 إحصائيات الحضور")</f>
        <v>📊 إحصائيات الحضور</v>
      </c>
      <c r="K14" s="75"/>
      <c r="L14" s="75"/>
      <c r="P14">
        <v>6</v>
      </c>
      <c r="Q14">
        <f>'حضور رفائيل'!BL12</f>
        <v>74</v>
      </c>
      <c r="R14">
        <f>IF(Q14=0,"",INDEX('قاعدة البيانات'!$D$6:$D$305,Q14))</f>
        <v>0</v>
      </c>
      <c r="S14">
        <f>'حضور رفائيل'!BM12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رفائيل'!BL13</f>
        <v>75</v>
      </c>
      <c r="R15">
        <f>IF(Q15=0,"",INDEX('قاعدة البيانات'!$D$6:$D$305,Q15))</f>
        <v>0</v>
      </c>
      <c r="S15">
        <f>'حضور رفائيل'!BM13</f>
        <v>0</v>
      </c>
    </row>
    <row r="16" spans="2:19" ht="33.75" customHeight="1">
      <c r="B16" s="29">
        <f>'حضور رفائيل'!C7</f>
        <v>0</v>
      </c>
      <c r="C16" s="30">
        <f>'حضور رفائيل'!D7</f>
        <v>0</v>
      </c>
      <c r="D16" s="31" t="str">
        <f>'حضور رفائيل'!F7</f>
        <v/>
      </c>
      <c r="F16" s="29">
        <f>'حضور رفائيل'!C8</f>
        <v>0</v>
      </c>
      <c r="G16" s="30">
        <f>'حضور رفائيل'!D8</f>
        <v>0</v>
      </c>
      <c r="H16" s="31" t="str">
        <f>'حضور رفائيل'!F8</f>
        <v/>
      </c>
      <c r="J16" s="29">
        <f>'حضور رفائيل'!C9</f>
        <v>0</v>
      </c>
      <c r="K16" s="30">
        <f>'حضور رفائيل'!D9</f>
        <v>0</v>
      </c>
      <c r="L16" s="31" t="str">
        <f>'حضور رفائيل'!F9</f>
        <v/>
      </c>
      <c r="P16">
        <v>8</v>
      </c>
      <c r="Q16">
        <f>'حضور رفائيل'!BL14</f>
        <v>76</v>
      </c>
      <c r="R16">
        <f>IF(Q16=0,"",INDEX('قاعدة البيانات'!$D$6:$D$305,Q16))</f>
        <v>0</v>
      </c>
      <c r="S16">
        <f>'حضور رفائيل'!BM14</f>
        <v>0</v>
      </c>
    </row>
    <row r="17" spans="2:19" ht="24" customHeight="1">
      <c r="B17" s="76" t="str">
        <f>'حضور رفائيل'!I7</f>
        <v>⏳ لسه مفيش حضور</v>
      </c>
      <c r="C17" s="76"/>
      <c r="D17" s="76"/>
      <c r="F17" s="76" t="str">
        <f>'حضور رفائيل'!I8</f>
        <v>⏳ لسه مفيش حضور</v>
      </c>
      <c r="G17" s="76"/>
      <c r="H17" s="76"/>
      <c r="J17" s="76" t="str">
        <f>'حضور رفائيل'!I9</f>
        <v>⏳ لسه مفيش حضور</v>
      </c>
      <c r="K17" s="76"/>
      <c r="L17" s="76"/>
      <c r="P17">
        <v>9</v>
      </c>
      <c r="Q17">
        <f>'حضور رفائيل'!BL15</f>
        <v>77</v>
      </c>
      <c r="R17">
        <f>IF(Q17=0,"",INDEX('قاعدة البيانات'!$D$6:$D$305,Q17))</f>
        <v>0</v>
      </c>
      <c r="S17">
        <f>'حضور رفائيل'!BM15</f>
        <v>0</v>
      </c>
    </row>
    <row r="18" spans="2:19" ht="19.5" customHeight="1">
      <c r="B18" s="77" t="str">
        <f>IF($Q$9=0,"","🗓️ آخر حضور: "&amp;IF(ISNUMBER('حضور رفائيل'!H7),DAY('حضور رفائيل'!H7)&amp;"/"&amp;MONTH('حضور رفائيل'!H7)&amp;"/"&amp;YEAR('حضور رفائيل'!H7),"—")&amp;"   •   غياب متتالي: "&amp;'حضور رفائيل'!G7)</f>
        <v>🗓️ آخر حضور: —   •   غياب متتالي: 0</v>
      </c>
      <c r="C18" s="77"/>
      <c r="D18" s="77"/>
      <c r="F18" s="77" t="str">
        <f>IF($Q$10=0,"","🗓️ آخر حضور: "&amp;IF(ISNUMBER('حضور رفائيل'!H8),DAY('حضور رفائيل'!H8)&amp;"/"&amp;MONTH('حضور رفائيل'!H8)&amp;"/"&amp;YEAR('حضور رفائيل'!H8),"—")&amp;"   •   غياب متتالي: "&amp;'حضور رفائيل'!G8)</f>
        <v>🗓️ آخر حضور: —   •   غياب متتالي: 0</v>
      </c>
      <c r="G18" s="77"/>
      <c r="H18" s="77"/>
      <c r="J18" s="77" t="str">
        <f>IF($Q$11=0,"","🗓️ آخر حضور: "&amp;IF(ISNUMBER('حضور رفائيل'!H9),DAY('حضور رفائيل'!H9)&amp;"/"&amp;MONTH('حضور رفائيل'!H9)&amp;"/"&amp;YEAR('حضور رفائيل'!H9),"—")&amp;"   •   غياب متتالي: "&amp;'حضور رفائيل'!G9)</f>
        <v>🗓️ آخر حضور: —   •   غياب متتالي: 0</v>
      </c>
      <c r="K18" s="77"/>
      <c r="L18" s="77"/>
      <c r="P18">
        <v>10</v>
      </c>
      <c r="Q18">
        <f>'حضور رفائيل'!BL16</f>
        <v>78</v>
      </c>
      <c r="R18">
        <f>IF(Q18=0,"",INDEX('قاعدة البيانات'!$D$6:$D$305,Q18))</f>
        <v>0</v>
      </c>
      <c r="S18">
        <f>'حضور رفائيل'!BM16</f>
        <v>0</v>
      </c>
    </row>
    <row r="19" spans="2:19" ht="13.5" customHeight="1">
      <c r="P19">
        <v>11</v>
      </c>
      <c r="Q19">
        <f>'حضور رفائيل'!BL17</f>
        <v>79</v>
      </c>
      <c r="R19">
        <f>IF(Q19=0,"",INDEX('قاعدة البيانات'!$D$6:$D$305,Q19))</f>
        <v>0</v>
      </c>
      <c r="S19">
        <f>'حضور رفائيل'!BM17</f>
        <v>0</v>
      </c>
    </row>
    <row r="20" spans="2:19" ht="30" customHeight="1">
      <c r="B20" s="78" t="str">
        <f>IF($Q$12=0,"",IF(INDEX('قاعدة البيانات'!$D$6:$D$305,$Q$12)="بنت","👧 ","👦 ")&amp;INDEX('قاعدة البيانات'!$C$6:$C$305,$Q$12))</f>
        <v>👦 بيشوي نجيب محفوظ وغيرس مسدارى</v>
      </c>
      <c r="C20" s="78"/>
      <c r="D20" s="78"/>
      <c r="F20" s="78" t="str">
        <f>IF($Q$13=0,"",IF(INDEX('قاعدة البيانات'!$D$6:$D$305,$Q$13)="بنت","👧 ","👦 ")&amp;INDEX('قاعدة البيانات'!$C$6:$C$305,$Q$13))</f>
        <v>👦 فيرونيكا جورج مكرم ايليا جاد</v>
      </c>
      <c r="G20" s="78"/>
      <c r="H20" s="78"/>
      <c r="J20" s="78" t="str">
        <f>IF($Q$14=0,"",IF(INDEX('قاعدة البيانات'!$D$6:$D$305,$Q$14)="بنت","👧 ","👦 ")&amp;INDEX('قاعدة البيانات'!$C$6:$C$305,$Q$14))</f>
        <v>👦 فيلوباتير وجدى سعيد فوزى</v>
      </c>
      <c r="K20" s="78"/>
      <c r="L20" s="78"/>
      <c r="P20">
        <v>12</v>
      </c>
      <c r="Q20">
        <f>'حضور رفائيل'!BL18</f>
        <v>80</v>
      </c>
      <c r="R20">
        <f>IF(Q20=0,"",INDEX('قاعدة البيانات'!$D$6:$D$305,Q20))</f>
        <v>0</v>
      </c>
      <c r="S20">
        <f>'حضور رفائيل'!BM18</f>
        <v>0</v>
      </c>
    </row>
    <row r="21" spans="2:19" ht="108" customHeight="1">
      <c r="B21" s="24" t="str">
        <f>IF($Q$12=0,"",IF(ISBLANK(INDEX('قاعدة البيانات'!$K$6:$K$305,$Q$12)),LEFT(INDEX('قاعدة البيانات'!$C$6:$C$305,$Q$12),1),INDEX('قاعدة البيانات'!$K$6:$K$305,$Q$12)))</f>
        <v>ب</v>
      </c>
      <c r="C21" s="79"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B-072
🎓 سنة أولى
🚶 يروح لوحده: —
📝 مفيش ملاحظات</v>
      </c>
      <c r="D21" s="79"/>
      <c r="F21" s="24" t="str">
        <f>IF($Q$13=0,"",IF(ISBLANK(INDEX('قاعدة البيانات'!$K$6:$K$305,$Q$13)),LEFT(INDEX('قاعدة البيانات'!$C$6:$C$305,$Q$13),1),INDEX('قاعدة البيانات'!$K$6:$K$305,$Q$13)))</f>
        <v>ف</v>
      </c>
      <c r="G21" s="79"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B-073
🎓 سنة أولى
🚶 يروح لوحده: —
📝 مفيش ملاحظات</v>
      </c>
      <c r="H21" s="79"/>
      <c r="J21" s="24" t="str">
        <f>IF($Q$14=0,"",IF(ISBLANK(INDEX('قاعدة البيانات'!$K$6:$K$305,$Q$14)),LEFT(INDEX('قاعدة البيانات'!$C$6:$C$305,$Q$14),1),INDEX('قاعدة البيانات'!$K$6:$K$305,$Q$14)))</f>
        <v>ف</v>
      </c>
      <c r="K21" s="79"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B-074
🎓 سنة أولى
🚶 يروح لوحده: —
📝 مفيش ملاحظات</v>
      </c>
      <c r="L21" s="79"/>
      <c r="P21">
        <v>13</v>
      </c>
      <c r="Q21">
        <f>'حضور رفائيل'!BL19</f>
        <v>81</v>
      </c>
      <c r="R21">
        <f>IF(Q21=0,"",INDEX('قاعدة البيانات'!$D$6:$D$305,Q21))</f>
        <v>0</v>
      </c>
      <c r="S21">
        <f>'حضور رفائيل'!BM19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01287675246</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01228908309</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01223470881</v>
      </c>
      <c r="L22" s="27" t="str">
        <f>IF(OR($Q$14=0,INDEX('قاعدة البيانات'!$H$6:$H$305,$Q$14)=""),"",HYPERLINK("https://wa.me/20"&amp;RIGHT(INDEX('قاعدة البيانات'!$H$6:$H$305,$Q$14),10),"💬 واتساب"))</f>
        <v>💬 واتساب</v>
      </c>
      <c r="P22">
        <v>14</v>
      </c>
      <c r="Q22">
        <f>'حضور رفائيل'!BL20</f>
        <v>82</v>
      </c>
      <c r="R22">
        <f>IF(Q22=0,"",INDEX('قاعدة البيانات'!$D$6:$D$305,Q22))</f>
        <v>0</v>
      </c>
      <c r="S22">
        <f>'حضور رفائيل'!BM20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01284012589</v>
      </c>
      <c r="L23" s="27" t="str">
        <f>IF(OR($Q$14=0,INDEX('قاعدة البيانات'!$I$6:$I$305,$Q$14)=""),"",HYPERLINK("https://wa.me/20"&amp;RIGHT(INDEX('قاعدة البيانات'!$I$6:$I$305,$Q$14),10),"💬 واتساب"))</f>
        <v>💬 واتساب</v>
      </c>
      <c r="P23">
        <v>15</v>
      </c>
      <c r="Q23">
        <f>'حضور رفائيل'!BL21</f>
        <v>83</v>
      </c>
      <c r="R23">
        <f>IF(Q23=0,"",INDEX('قاعدة البيانات'!$D$6:$D$305,Q23))</f>
        <v>0</v>
      </c>
      <c r="S23">
        <f>'حضور رفائيل'!BM21</f>
        <v>0</v>
      </c>
    </row>
    <row r="24" spans="2:19" ht="37.5" customHeight="1">
      <c r="B24" s="80" t="str">
        <f>IF($Q$12=0,"","📍 "&amp;IF(INDEX('قاعدة البيانات'!$J$6:$J$305,$Q$12)="","— مفيش عنوان —",INDEX('قاعدة البيانات'!$J$6:$J$305,$Q$12)))</f>
        <v>📍 20 شارع اسماعيل الشيمي -  شقة 7 الدور 2 - عند سوبر ماركت الشرقاوي / خلف السرايا مول</v>
      </c>
      <c r="C24" s="80"/>
      <c r="D24" s="80"/>
      <c r="F24" s="80" t="str">
        <f>IF($Q$13=0,"","📍 "&amp;IF(INDEX('قاعدة البيانات'!$J$6:$J$305,$Q$13)="","— مفيش عنوان —",INDEX('قاعدة البيانات'!$J$6:$J$305,$Q$13)))</f>
        <v>📍 9 شارع جميل عبد اللطيف - شقة 2 الدور 3 - حدائق القبه</v>
      </c>
      <c r="G24" s="80"/>
      <c r="H24" s="80"/>
      <c r="J24" s="80" t="str">
        <f>IF($Q$14=0,"","📍 "&amp;IF(INDEX('قاعدة البيانات'!$J$6:$J$305,$Q$14)="","— مفيش عنوان —",INDEX('قاعدة البيانات'!$J$6:$J$305,$Q$14)))</f>
        <v>📍 8 شارع الكواكبى - شقة 6 الدور 2</v>
      </c>
      <c r="K24" s="80"/>
      <c r="L24" s="80"/>
      <c r="P24">
        <v>16</v>
      </c>
      <c r="Q24">
        <f>'حضور رفائيل'!BL22</f>
        <v>84</v>
      </c>
      <c r="R24">
        <f>IF(Q24=0,"",INDEX('قاعدة البيانات'!$D$6:$D$305,Q24))</f>
        <v>0</v>
      </c>
      <c r="S24">
        <f>'حضور رفائيل'!BM22</f>
        <v>0</v>
      </c>
    </row>
    <row r="25" spans="2:19" ht="21.75" customHeight="1">
      <c r="B25" s="75" t="str">
        <f>IF($Q$12=0,"","📊 إحصائيات الحضور")</f>
        <v>📊 إحصائيات الحضور</v>
      </c>
      <c r="C25" s="75"/>
      <c r="D25" s="75"/>
      <c r="F25" s="75" t="str">
        <f>IF($Q$13=0,"","📊 إحصائيات الحضور")</f>
        <v>📊 إحصائيات الحضور</v>
      </c>
      <c r="G25" s="75"/>
      <c r="H25" s="75"/>
      <c r="J25" s="75" t="str">
        <f>IF($Q$14=0,"","📊 إحصائيات الحضور")</f>
        <v>📊 إحصائيات الحضور</v>
      </c>
      <c r="K25" s="75"/>
      <c r="L25" s="75"/>
      <c r="P25">
        <v>17</v>
      </c>
      <c r="Q25">
        <f>'حضور رفائيل'!BL23</f>
        <v>85</v>
      </c>
      <c r="R25">
        <f>IF(Q25=0,"",INDEX('قاعدة البيانات'!$D$6:$D$305,Q25))</f>
        <v>0</v>
      </c>
      <c r="S25">
        <f>'حضور رفائيل'!BM23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رفائيل'!BL24</f>
        <v>0</v>
      </c>
      <c r="R26" t="str">
        <f>IF(Q26=0,"",INDEX('قاعدة البيانات'!$D$6:$D$305,Q26))</f>
        <v/>
      </c>
      <c r="S26">
        <f>'حضور رفائيل'!BM24</f>
        <v>0</v>
      </c>
    </row>
    <row r="27" spans="2:19" ht="33.75" customHeight="1">
      <c r="B27" s="29">
        <f>'حضور رفائيل'!C10</f>
        <v>0</v>
      </c>
      <c r="C27" s="30">
        <f>'حضور رفائيل'!D10</f>
        <v>0</v>
      </c>
      <c r="D27" s="31" t="str">
        <f>'حضور رفائيل'!F10</f>
        <v/>
      </c>
      <c r="F27" s="29">
        <f>'حضور رفائيل'!C11</f>
        <v>0</v>
      </c>
      <c r="G27" s="30">
        <f>'حضور رفائيل'!D11</f>
        <v>0</v>
      </c>
      <c r="H27" s="31" t="str">
        <f>'حضور رفائيل'!F11</f>
        <v/>
      </c>
      <c r="J27" s="29">
        <f>'حضور رفائيل'!C12</f>
        <v>0</v>
      </c>
      <c r="K27" s="30">
        <f>'حضور رفائيل'!D12</f>
        <v>0</v>
      </c>
      <c r="L27" s="31" t="str">
        <f>'حضور رفائيل'!F12</f>
        <v/>
      </c>
      <c r="P27">
        <v>19</v>
      </c>
      <c r="Q27">
        <f>'حضور رفائيل'!BL25</f>
        <v>0</v>
      </c>
      <c r="R27" t="str">
        <f>IF(Q27=0,"",INDEX('قاعدة البيانات'!$D$6:$D$305,Q27))</f>
        <v/>
      </c>
      <c r="S27">
        <f>'حضور رفائيل'!BM25</f>
        <v>0</v>
      </c>
    </row>
    <row r="28" spans="2:19" ht="24" customHeight="1">
      <c r="B28" s="76" t="str">
        <f>'حضور رفائيل'!I10</f>
        <v>⏳ لسه مفيش حضور</v>
      </c>
      <c r="C28" s="76"/>
      <c r="D28" s="76"/>
      <c r="F28" s="76" t="str">
        <f>'حضور رفائيل'!I11</f>
        <v>⏳ لسه مفيش حضور</v>
      </c>
      <c r="G28" s="76"/>
      <c r="H28" s="76"/>
      <c r="J28" s="76" t="str">
        <f>'حضور رفائيل'!I12</f>
        <v>⏳ لسه مفيش حضور</v>
      </c>
      <c r="K28" s="76"/>
      <c r="L28" s="76"/>
      <c r="P28">
        <v>20</v>
      </c>
      <c r="Q28">
        <f>'حضور رفائيل'!BL26</f>
        <v>0</v>
      </c>
      <c r="R28" t="str">
        <f>IF(Q28=0,"",INDEX('قاعدة البيانات'!$D$6:$D$305,Q28))</f>
        <v/>
      </c>
      <c r="S28">
        <f>'حضور رفائيل'!BM26</f>
        <v>0</v>
      </c>
    </row>
    <row r="29" spans="2:19" ht="19.5" customHeight="1">
      <c r="B29" s="77" t="str">
        <f>IF($Q$12=0,"","🗓️ آخر حضور: "&amp;IF(ISNUMBER('حضور رفائيل'!H10),DAY('حضور رفائيل'!H10)&amp;"/"&amp;MONTH('حضور رفائيل'!H10)&amp;"/"&amp;YEAR('حضور رفائيل'!H10),"—")&amp;"   •   غياب متتالي: "&amp;'حضور رفائيل'!G10)</f>
        <v>🗓️ آخر حضور: —   •   غياب متتالي: 0</v>
      </c>
      <c r="C29" s="77"/>
      <c r="D29" s="77"/>
      <c r="F29" s="77" t="str">
        <f>IF($Q$13=0,"","🗓️ آخر حضور: "&amp;IF(ISNUMBER('حضور رفائيل'!H11),DAY('حضور رفائيل'!H11)&amp;"/"&amp;MONTH('حضور رفائيل'!H11)&amp;"/"&amp;YEAR('حضور رفائيل'!H11),"—")&amp;"   •   غياب متتالي: "&amp;'حضور رفائيل'!G11)</f>
        <v>🗓️ آخر حضور: —   •   غياب متتالي: 0</v>
      </c>
      <c r="G29" s="77"/>
      <c r="H29" s="77"/>
      <c r="J29" s="77" t="str">
        <f>IF($Q$14=0,"","🗓️ آخر حضور: "&amp;IF(ISNUMBER('حضور رفائيل'!H12),DAY('حضور رفائيل'!H12)&amp;"/"&amp;MONTH('حضور رفائيل'!H12)&amp;"/"&amp;YEAR('حضور رفائيل'!H12),"—")&amp;"   •   غياب متتالي: "&amp;'حضور رفائيل'!G12)</f>
        <v>🗓️ آخر حضور: —   •   غياب متتالي: 0</v>
      </c>
      <c r="K29" s="77"/>
      <c r="L29" s="77"/>
      <c r="P29">
        <v>21</v>
      </c>
      <c r="Q29">
        <f>'حضور رفائيل'!BL27</f>
        <v>0</v>
      </c>
      <c r="R29" t="str">
        <f>IF(Q29=0,"",INDEX('قاعدة البيانات'!$D$6:$D$305,Q29))</f>
        <v/>
      </c>
      <c r="S29">
        <f>'حضور رفائيل'!BM27</f>
        <v>0</v>
      </c>
    </row>
    <row r="30" spans="2:19" ht="13.5" customHeight="1">
      <c r="P30">
        <v>22</v>
      </c>
      <c r="Q30">
        <f>'حضور رفائيل'!BL28</f>
        <v>0</v>
      </c>
      <c r="R30" t="str">
        <f>IF(Q30=0,"",INDEX('قاعدة البيانات'!$D$6:$D$305,Q30))</f>
        <v/>
      </c>
      <c r="S30">
        <f>'حضور رفائيل'!BM28</f>
        <v>0</v>
      </c>
    </row>
    <row r="31" spans="2:19" ht="30" customHeight="1">
      <c r="B31" s="78" t="str">
        <f>IF($Q$15=0,"",IF(INDEX('قاعدة البيانات'!$D$6:$D$305,$Q$15)="بنت","👧 ","👦 ")&amp;INDEX('قاعدة البيانات'!$C$6:$C$305,$Q$15))</f>
        <v>👦 فيلومينا فادى ريمون شحاته</v>
      </c>
      <c r="C31" s="78"/>
      <c r="D31" s="78"/>
      <c r="F31" s="78" t="str">
        <f>IF($Q$16=0,"",IF(INDEX('قاعدة البيانات'!$D$6:$D$305,$Q$16)="بنت","👧 ","👦 ")&amp;INDEX('قاعدة البيانات'!$C$6:$C$305,$Q$16))</f>
        <v>👦 كيرلس عماد سعيد</v>
      </c>
      <c r="G31" s="78"/>
      <c r="H31" s="78"/>
      <c r="J31" s="78" t="str">
        <f>IF($Q$17=0,"",IF(INDEX('قاعدة البيانات'!$D$6:$D$305,$Q$17)="بنت","👧 ","👦 ")&amp;INDEX('قاعدة البيانات'!$C$6:$C$305,$Q$17))</f>
        <v>👦 مارك عماد فتحى عبد الله</v>
      </c>
      <c r="K31" s="78"/>
      <c r="L31" s="78"/>
      <c r="P31">
        <v>23</v>
      </c>
      <c r="Q31">
        <f>'حضور رفائيل'!BL29</f>
        <v>0</v>
      </c>
      <c r="R31" t="str">
        <f>IF(Q31=0,"",INDEX('قاعدة البيانات'!$D$6:$D$305,Q31))</f>
        <v/>
      </c>
      <c r="S31">
        <f>'حضور رفائيل'!BM29</f>
        <v>0</v>
      </c>
    </row>
    <row r="32" spans="2:19" ht="108" customHeight="1">
      <c r="B32" s="24" t="str">
        <f>IF($Q$15=0,"",IF(ISBLANK(INDEX('قاعدة البيانات'!$K$6:$K$305,$Q$15)),LEFT(INDEX('قاعدة البيانات'!$C$6:$C$305,$Q$15),1),INDEX('قاعدة البيانات'!$K$6:$K$305,$Q$15)))</f>
        <v>ف</v>
      </c>
      <c r="C32" s="79"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B-075
🎓 سنة أولى
🚶 يروح لوحده: —
📝 مفيش ملاحظات</v>
      </c>
      <c r="D32" s="79"/>
      <c r="F32" s="24" t="str">
        <f>IF($Q$16=0,"",IF(ISBLANK(INDEX('قاعدة البيانات'!$K$6:$K$305,$Q$16)),LEFT(INDEX('قاعدة البيانات'!$C$6:$C$305,$Q$16),1),INDEX('قاعدة البيانات'!$K$6:$K$305,$Q$16)))</f>
        <v>ك</v>
      </c>
      <c r="G32" s="79"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B-076
🎓 سنة أولى
🚶 يروح لوحده: —
📝 مفيش ملاحظات</v>
      </c>
      <c r="H32" s="79"/>
      <c r="J32" s="24" t="str">
        <f>IF($Q$17=0,"",IF(ISBLANK(INDEX('قاعدة البيانات'!$K$6:$K$305,$Q$17)),LEFT(INDEX('قاعدة البيانات'!$C$6:$C$305,$Q$17),1),INDEX('قاعدة البيانات'!$K$6:$K$305,$Q$17)))</f>
        <v>م</v>
      </c>
      <c r="K32" s="79"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B-077
🎓 سنة أولى
🚶 يروح لوحده: —
📝 مفيش ملاحظات</v>
      </c>
      <c r="L32" s="79"/>
      <c r="P32">
        <v>24</v>
      </c>
      <c r="Q32">
        <f>'حضور رفائيل'!BL30</f>
        <v>0</v>
      </c>
      <c r="R32" t="str">
        <f>IF(Q32=0,"",INDEX('قاعدة البيانات'!$D$6:$D$305,Q32))</f>
        <v/>
      </c>
      <c r="S32">
        <f>'حضور رفائيل'!BM30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01222311637</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01226248546</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01202144309</v>
      </c>
      <c r="L33" s="27" t="str">
        <f>IF(OR($Q$17=0,INDEX('قاعدة البيانات'!$H$6:$H$305,$Q$17)=""),"",HYPERLINK("https://wa.me/20"&amp;RIGHT(INDEX('قاعدة البيانات'!$H$6:$H$305,$Q$17),10),"💬 واتساب"))</f>
        <v>💬 واتساب</v>
      </c>
      <c r="P33">
        <v>25</v>
      </c>
      <c r="Q33">
        <f>'حضور رفائيل'!BL31</f>
        <v>0</v>
      </c>
      <c r="R33" t="str">
        <f>IF(Q33=0,"",INDEX('قاعدة البيانات'!$D$6:$D$305,Q33))</f>
        <v/>
      </c>
      <c r="S33">
        <f>'حضور رفائيل'!BM31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مفيش رقم —</v>
      </c>
      <c r="D34" s="27" t="str">
        <f>IF(OR($Q$15=0,INDEX('قاعدة البيانات'!$I$6:$I$305,$Q$15)=""),"",HYPERLINK("https://wa.me/20"&amp;RIGHT(INDEX('قاعدة البيانات'!$I$6:$I$305,$Q$15),10),"💬 واتساب"))</f>
        <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رفائيل'!BL32</f>
        <v>0</v>
      </c>
      <c r="R34" t="str">
        <f>IF(Q34=0,"",INDEX('قاعدة البيانات'!$D$6:$D$305,Q34))</f>
        <v/>
      </c>
      <c r="S34">
        <f>'حضور رفائيل'!BM32</f>
        <v>0</v>
      </c>
    </row>
    <row r="35" spans="2:19" ht="37.5" customHeight="1">
      <c r="B35" s="80" t="str">
        <f>IF($Q$15=0,"","📍 "&amp;IF(INDEX('قاعدة البيانات'!$J$6:$J$305,$Q$15)="","— مفيش عنوان —",INDEX('قاعدة البيانات'!$J$6:$J$305,$Q$15)))</f>
        <v>📍 6 شارع الكواكبى -  شقة 1 الدور 4</v>
      </c>
      <c r="C35" s="80"/>
      <c r="D35" s="80"/>
      <c r="F35" s="80" t="str">
        <f>IF($Q$16=0,"","📍 "&amp;IF(INDEX('قاعدة البيانات'!$J$6:$J$305,$Q$16)="","— مفيش عنوان —",INDEX('قاعدة البيانات'!$J$6:$J$305,$Q$16)))</f>
        <v>📍 8 شارع الكواكبى -  شقة 16 الدور 6 - اليمين</v>
      </c>
      <c r="G35" s="80"/>
      <c r="H35" s="80"/>
      <c r="J35" s="80" t="str">
        <f>IF($Q$17=0,"","📍 "&amp;IF(INDEX('قاعدة البيانات'!$J$6:$J$305,$Q$17)="","— مفيش عنوان —",INDEX('قاعدة البيانات'!$J$6:$J$305,$Q$17)))</f>
        <v>📍 3 شارع عبد الله جبرة - الدور 4 - من شارع دياب فهمي - حدائق القبه</v>
      </c>
      <c r="K35" s="80"/>
      <c r="L35" s="80"/>
      <c r="P35">
        <v>27</v>
      </c>
      <c r="Q35">
        <f>'حضور رفائيل'!BL33</f>
        <v>0</v>
      </c>
      <c r="R35" t="str">
        <f>IF(Q35=0,"",INDEX('قاعدة البيانات'!$D$6:$D$305,Q35))</f>
        <v/>
      </c>
      <c r="S35">
        <f>'حضور رفائيل'!BM33</f>
        <v>0</v>
      </c>
    </row>
    <row r="36" spans="2:19" ht="21.75" customHeight="1">
      <c r="B36" s="75" t="str">
        <f>IF($Q$15=0,"","📊 إحصائيات الحضور")</f>
        <v>📊 إحصائيات الحضور</v>
      </c>
      <c r="C36" s="75"/>
      <c r="D36" s="75"/>
      <c r="F36" s="75" t="str">
        <f>IF($Q$16=0,"","📊 إحصائيات الحضور")</f>
        <v>📊 إحصائيات الحضور</v>
      </c>
      <c r="G36" s="75"/>
      <c r="H36" s="75"/>
      <c r="J36" s="75" t="str">
        <f>IF($Q$17=0,"","📊 إحصائيات الحضور")</f>
        <v>📊 إحصائيات الحضور</v>
      </c>
      <c r="K36" s="75"/>
      <c r="L36" s="75"/>
      <c r="P36">
        <v>28</v>
      </c>
      <c r="Q36">
        <f>'حضور رفائيل'!BL34</f>
        <v>0</v>
      </c>
      <c r="R36" t="str">
        <f>IF(Q36=0,"",INDEX('قاعدة البيانات'!$D$6:$D$305,Q36))</f>
        <v/>
      </c>
      <c r="S36">
        <f>'حضور رفائيل'!BM34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رفائيل'!BL35</f>
        <v>0</v>
      </c>
      <c r="R37" t="str">
        <f>IF(Q37=0,"",INDEX('قاعدة البيانات'!$D$6:$D$305,Q37))</f>
        <v/>
      </c>
      <c r="S37">
        <f>'حضور رفائيل'!BM35</f>
        <v>0</v>
      </c>
    </row>
    <row r="38" spans="2:19" ht="33.75" customHeight="1">
      <c r="B38" s="29">
        <f>'حضور رفائيل'!C13</f>
        <v>0</v>
      </c>
      <c r="C38" s="30">
        <f>'حضور رفائيل'!D13</f>
        <v>0</v>
      </c>
      <c r="D38" s="31" t="str">
        <f>'حضور رفائيل'!F13</f>
        <v/>
      </c>
      <c r="F38" s="29">
        <f>'حضور رفائيل'!C14</f>
        <v>0</v>
      </c>
      <c r="G38" s="30">
        <f>'حضور رفائيل'!D14</f>
        <v>0</v>
      </c>
      <c r="H38" s="31" t="str">
        <f>'حضور رفائيل'!F14</f>
        <v/>
      </c>
      <c r="J38" s="29">
        <f>'حضور رفائيل'!C15</f>
        <v>0</v>
      </c>
      <c r="K38" s="30">
        <f>'حضور رفائيل'!D15</f>
        <v>0</v>
      </c>
      <c r="L38" s="31" t="str">
        <f>'حضور رفائيل'!F15</f>
        <v/>
      </c>
      <c r="P38">
        <v>30</v>
      </c>
      <c r="Q38">
        <f>'حضور رفائيل'!BL36</f>
        <v>0</v>
      </c>
      <c r="R38" t="str">
        <f>IF(Q38=0,"",INDEX('قاعدة البيانات'!$D$6:$D$305,Q38))</f>
        <v/>
      </c>
      <c r="S38">
        <f>'حضور رفائيل'!BM36</f>
        <v>0</v>
      </c>
    </row>
    <row r="39" spans="2:19" ht="24" customHeight="1">
      <c r="B39" s="76" t="str">
        <f>'حضور رفائيل'!I13</f>
        <v>⏳ لسه مفيش حضور</v>
      </c>
      <c r="C39" s="76"/>
      <c r="D39" s="76"/>
      <c r="F39" s="76" t="str">
        <f>'حضور رفائيل'!I14</f>
        <v>⏳ لسه مفيش حضور</v>
      </c>
      <c r="G39" s="76"/>
      <c r="H39" s="76"/>
      <c r="J39" s="76" t="str">
        <f>'حضور رفائيل'!I15</f>
        <v>⏳ لسه مفيش حضور</v>
      </c>
      <c r="K39" s="76"/>
      <c r="L39" s="76"/>
    </row>
    <row r="40" spans="2:19" ht="19.5" customHeight="1">
      <c r="B40" s="77" t="str">
        <f>IF($Q$15=0,"","🗓️ آخر حضور: "&amp;IF(ISNUMBER('حضور رفائيل'!H13),DAY('حضور رفائيل'!H13)&amp;"/"&amp;MONTH('حضور رفائيل'!H13)&amp;"/"&amp;YEAR('حضور رفائيل'!H13),"—")&amp;"   •   غياب متتالي: "&amp;'حضور رفائيل'!G13)</f>
        <v>🗓️ آخر حضور: —   •   غياب متتالي: 0</v>
      </c>
      <c r="C40" s="77"/>
      <c r="D40" s="77"/>
      <c r="F40" s="77" t="str">
        <f>IF($Q$16=0,"","🗓️ آخر حضور: "&amp;IF(ISNUMBER('حضور رفائيل'!H14),DAY('حضور رفائيل'!H14)&amp;"/"&amp;MONTH('حضور رفائيل'!H14)&amp;"/"&amp;YEAR('حضور رفائيل'!H14),"—")&amp;"   •   غياب متتالي: "&amp;'حضور رفائيل'!G14)</f>
        <v>🗓️ آخر حضور: —   •   غياب متتالي: 0</v>
      </c>
      <c r="G40" s="77"/>
      <c r="H40" s="77"/>
      <c r="J40" s="77" t="str">
        <f>IF($Q$17=0,"","🗓️ آخر حضور: "&amp;IF(ISNUMBER('حضور رفائيل'!H15),DAY('حضور رفائيل'!H15)&amp;"/"&amp;MONTH('حضور رفائيل'!H15)&amp;"/"&amp;YEAR('حضور رفائيل'!H15),"—")&amp;"   •   غياب متتالي: "&amp;'حضور رفائيل'!G15)</f>
        <v>🗓️ آخر حضور: —   •   غياب متتالي: 0</v>
      </c>
      <c r="K40" s="77"/>
      <c r="L40" s="77"/>
    </row>
    <row r="41" spans="2:19" ht="13.5" customHeight="1"/>
    <row r="42" spans="2:19" ht="30" customHeight="1">
      <c r="B42" s="78" t="str">
        <f>IF($Q$18=0,"",IF(INDEX('قاعدة البيانات'!$D$6:$D$305,$Q$18)="بنت","👧 ","👦 ")&amp;INDEX('قاعدة البيانات'!$C$6:$C$305,$Q$18))</f>
        <v>👦 مارولا رومانى مسعد</v>
      </c>
      <c r="C42" s="78"/>
      <c r="D42" s="78"/>
      <c r="F42" s="78" t="str">
        <f>IF($Q$19=0,"",IF(INDEX('قاعدة البيانات'!$D$6:$D$305,$Q$19)="بنت","👧 ","👦 ")&amp;INDEX('قاعدة البيانات'!$C$6:$C$305,$Q$19))</f>
        <v>👦 مايا ميلاد قصد الله</v>
      </c>
      <c r="G42" s="78"/>
      <c r="H42" s="78"/>
      <c r="J42" s="78" t="str">
        <f>IF($Q$20=0,"",IF(INDEX('قاعدة البيانات'!$D$6:$D$305,$Q$20)="بنت","👧 ","👦 ")&amp;INDEX('قاعدة البيانات'!$C$6:$C$305,$Q$20))</f>
        <v>👦 ميلانو ميلاد اسكندر موسى</v>
      </c>
      <c r="K42" s="78"/>
      <c r="L42" s="78"/>
    </row>
    <row r="43" spans="2:19" ht="108" customHeight="1">
      <c r="B43" s="24" t="str">
        <f>IF($Q$18=0,"",IF(ISBLANK(INDEX('قاعدة البيانات'!$K$6:$K$305,$Q$18)),LEFT(INDEX('قاعدة البيانات'!$C$6:$C$305,$Q$18),1),INDEX('قاعدة البيانات'!$K$6:$K$305,$Q$18)))</f>
        <v>م</v>
      </c>
      <c r="C43" s="79"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B-078
🎓 سنة أولى
🚶 يروح لوحده: —
📝 مفيش ملاحظات</v>
      </c>
      <c r="D43" s="79"/>
      <c r="F43" s="24" t="str">
        <f>IF($Q$19=0,"",IF(ISBLANK(INDEX('قاعدة البيانات'!$K$6:$K$305,$Q$19)),LEFT(INDEX('قاعدة البيانات'!$C$6:$C$305,$Q$19),1),INDEX('قاعدة البيانات'!$K$6:$K$305,$Q$19)))</f>
        <v>م</v>
      </c>
      <c r="G43" s="79"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B-079
🎓 سنة أولى
🚶 يروح لوحده: —
📝 مفيش ملاحظات</v>
      </c>
      <c r="H43" s="79"/>
      <c r="J43" s="24" t="str">
        <f>IF($Q$20=0,"",IF(ISBLANK(INDEX('قاعدة البيانات'!$K$6:$K$305,$Q$20)),LEFT(INDEX('قاعدة البيانات'!$C$6:$C$305,$Q$20),1),INDEX('قاعدة البيانات'!$K$6:$K$305,$Q$20)))</f>
        <v>م</v>
      </c>
      <c r="K43" s="79"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B-080
🎓 سنة أولى
🚶 يروح لوحده: —
📝 مفيش ملاحظات</v>
      </c>
      <c r="L43" s="79"/>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01207004037</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01281130870</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01270605272</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80" t="str">
        <f>IF($Q$18=0,"","📍 "&amp;IF(INDEX('قاعدة البيانات'!$J$6:$J$305,$Q$18)="","— مفيش عنوان —",INDEX('قاعدة البيانات'!$J$6:$J$305,$Q$18)))</f>
        <v>📍 8 شارع عبد الملاك حنين -  الدور 2</v>
      </c>
      <c r="C46" s="80"/>
      <c r="D46" s="80"/>
      <c r="F46" s="80" t="str">
        <f>IF($Q$19=0,"","📍 "&amp;IF(INDEX('قاعدة البيانات'!$J$6:$J$305,$Q$19)="","— مفيش عنوان —",INDEX('قاعدة البيانات'!$J$6:$J$305,$Q$19)))</f>
        <v>📍 4 شارع زهراء اكتوبر  الجديدة (حى الزهور) - الدور 5 - من دياب فهمى المنطقة: المليحة - حدائق القبة</v>
      </c>
      <c r="G46" s="80"/>
      <c r="H46" s="80"/>
      <c r="J46" s="80" t="str">
        <f>IF($Q$20=0,"","📍 "&amp;IF(INDEX('قاعدة البيانات'!$J$6:$J$305,$Q$20)="","— مفيش عنوان —",INDEX('قاعدة البيانات'!$J$6:$J$305,$Q$20)))</f>
        <v>📍 25 شارع دياب فهمى - شقة 1 - الشقة اللى جوة</v>
      </c>
      <c r="K46" s="80"/>
      <c r="L46" s="80"/>
    </row>
    <row r="47" spans="2:19" ht="21.75" customHeight="1">
      <c r="B47" s="75" t="str">
        <f>IF($Q$18=0,"","📊 إحصائيات الحضور")</f>
        <v>📊 إحصائيات الحضور</v>
      </c>
      <c r="C47" s="75"/>
      <c r="D47" s="75"/>
      <c r="F47" s="75" t="str">
        <f>IF($Q$19=0,"","📊 إحصائيات الحضور")</f>
        <v>📊 إحصائيات الحضور</v>
      </c>
      <c r="G47" s="75"/>
      <c r="H47" s="75"/>
      <c r="J47" s="75" t="str">
        <f>IF($Q$20=0,"","📊 إحصائيات الحضور")</f>
        <v>📊 إحصائيات الحضور</v>
      </c>
      <c r="K47" s="75"/>
      <c r="L47" s="75"/>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رفائيل'!C16</f>
        <v>0</v>
      </c>
      <c r="C49" s="30">
        <f>'حضور رفائيل'!D16</f>
        <v>0</v>
      </c>
      <c r="D49" s="31" t="str">
        <f>'حضور رفائيل'!F16</f>
        <v/>
      </c>
      <c r="F49" s="29">
        <f>'حضور رفائيل'!C17</f>
        <v>0</v>
      </c>
      <c r="G49" s="30">
        <f>'حضور رفائيل'!D17</f>
        <v>0</v>
      </c>
      <c r="H49" s="31" t="str">
        <f>'حضور رفائيل'!F17</f>
        <v/>
      </c>
      <c r="J49" s="29">
        <f>'حضور رفائيل'!C18</f>
        <v>0</v>
      </c>
      <c r="K49" s="30">
        <f>'حضور رفائيل'!D18</f>
        <v>0</v>
      </c>
      <c r="L49" s="31" t="str">
        <f>'حضور رفائيل'!F18</f>
        <v/>
      </c>
    </row>
    <row r="50" spans="2:12" ht="24" customHeight="1">
      <c r="B50" s="76" t="str">
        <f>'حضور رفائيل'!I16</f>
        <v>⏳ لسه مفيش حضور</v>
      </c>
      <c r="C50" s="76"/>
      <c r="D50" s="76"/>
      <c r="F50" s="76" t="str">
        <f>'حضور رفائيل'!I17</f>
        <v>⏳ لسه مفيش حضور</v>
      </c>
      <c r="G50" s="76"/>
      <c r="H50" s="76"/>
      <c r="J50" s="76" t="str">
        <f>'حضور رفائيل'!I18</f>
        <v>⏳ لسه مفيش حضور</v>
      </c>
      <c r="K50" s="76"/>
      <c r="L50" s="76"/>
    </row>
    <row r="51" spans="2:12" ht="19.5" customHeight="1">
      <c r="B51" s="77" t="str">
        <f>IF($Q$18=0,"","🗓️ آخر حضور: "&amp;IF(ISNUMBER('حضور رفائيل'!H16),DAY('حضور رفائيل'!H16)&amp;"/"&amp;MONTH('حضور رفائيل'!H16)&amp;"/"&amp;YEAR('حضور رفائيل'!H16),"—")&amp;"   •   غياب متتالي: "&amp;'حضور رفائيل'!G16)</f>
        <v>🗓️ آخر حضور: —   •   غياب متتالي: 0</v>
      </c>
      <c r="C51" s="77"/>
      <c r="D51" s="77"/>
      <c r="F51" s="77" t="str">
        <f>IF($Q$19=0,"","🗓️ آخر حضور: "&amp;IF(ISNUMBER('حضور رفائيل'!H17),DAY('حضور رفائيل'!H17)&amp;"/"&amp;MONTH('حضور رفائيل'!H17)&amp;"/"&amp;YEAR('حضور رفائيل'!H17),"—")&amp;"   •   غياب متتالي: "&amp;'حضور رفائيل'!G17)</f>
        <v>🗓️ آخر حضور: —   •   غياب متتالي: 0</v>
      </c>
      <c r="G51" s="77"/>
      <c r="H51" s="77"/>
      <c r="J51" s="77" t="str">
        <f>IF($Q$20=0,"","🗓️ آخر حضور: "&amp;IF(ISNUMBER('حضور رفائيل'!H18),DAY('حضور رفائيل'!H18)&amp;"/"&amp;MONTH('حضور رفائيل'!H18)&amp;"/"&amp;YEAR('حضور رفائيل'!H18),"—")&amp;"   •   غياب متتالي: "&amp;'حضور رفائيل'!G18)</f>
        <v>🗓️ آخر حضور: —   •   غياب متتالي: 0</v>
      </c>
      <c r="K51" s="77"/>
      <c r="L51" s="77"/>
    </row>
    <row r="52" spans="2:12" ht="13.5" customHeight="1"/>
    <row r="53" spans="2:12" ht="30" customHeight="1">
      <c r="B53" s="78" t="str">
        <f>IF($Q$21=0,"",IF(INDEX('قاعدة البيانات'!$D$6:$D$305,$Q$21)="بنت","👧 ","👦 ")&amp;INDEX('قاعدة البيانات'!$C$6:$C$305,$Q$21))</f>
        <v>👦 ميلنيا فوزى فوزى</v>
      </c>
      <c r="C53" s="78"/>
      <c r="D53" s="78"/>
      <c r="F53" s="78" t="str">
        <f>IF($Q$22=0,"",IF(INDEX('قاعدة البيانات'!$D$6:$D$305,$Q$22)="بنت","👧 ","👦 ")&amp;INDEX('قاعدة البيانات'!$C$6:$C$305,$Q$22))</f>
        <v>👦 مينا جرجس حليم</v>
      </c>
      <c r="G53" s="78"/>
      <c r="H53" s="78"/>
      <c r="J53" s="78" t="str">
        <f>IF($Q$23=0,"",IF(INDEX('قاعدة البيانات'!$D$6:$D$305,$Q$23)="بنت","👧 ","👦 ")&amp;INDEX('قاعدة البيانات'!$C$6:$C$305,$Q$23))</f>
        <v>👦 مينا عادل ناهد ثابت</v>
      </c>
      <c r="K53" s="78"/>
      <c r="L53" s="78"/>
    </row>
    <row r="54" spans="2:12" ht="108" customHeight="1">
      <c r="B54" s="24" t="str">
        <f>IF($Q$21=0,"",IF(ISBLANK(INDEX('قاعدة البيانات'!$K$6:$K$305,$Q$21)),LEFT(INDEX('قاعدة البيانات'!$C$6:$C$305,$Q$21),1),INDEX('قاعدة البيانات'!$K$6:$K$305,$Q$21)))</f>
        <v>م</v>
      </c>
      <c r="C54" s="79"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B-081
🎓 سنة أولى
🚶 يروح لوحده: —
📝 مفيش ملاحظات</v>
      </c>
      <c r="D54" s="79"/>
      <c r="F54" s="24" t="str">
        <f>IF($Q$22=0,"",IF(ISBLANK(INDEX('قاعدة البيانات'!$K$6:$K$305,$Q$22)),LEFT(INDEX('قاعدة البيانات'!$C$6:$C$305,$Q$22),1),INDEX('قاعدة البيانات'!$K$6:$K$305,$Q$22)))</f>
        <v>م</v>
      </c>
      <c r="G54" s="79"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B-082
🎓 سنة أولى
🚶 يروح لوحده: —
📝 مفيش ملاحظات</v>
      </c>
      <c r="H54" s="79"/>
      <c r="J54" s="24" t="str">
        <f>IF($Q$23=0,"",IF(ISBLANK(INDEX('قاعدة البيانات'!$K$6:$K$305,$Q$23)),LEFT(INDEX('قاعدة البيانات'!$C$6:$C$305,$Q$23),1),INDEX('قاعدة البيانات'!$K$6:$K$305,$Q$23)))</f>
        <v>م</v>
      </c>
      <c r="K54" s="79"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B-083
🎓 سنة أولى
🚶 يروح لوحده: —
📝 مفيش ملاحظات</v>
      </c>
      <c r="L54" s="79"/>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01289626257</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01288801369</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01204552325</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مفيش رقم —</v>
      </c>
      <c r="D56" s="27" t="str">
        <f>IF(OR($Q$21=0,INDEX('قاعدة البيانات'!$I$6:$I$305,$Q$21)=""),"",HYPERLINK("https://wa.me/20"&amp;RIGHT(INDEX('قاعدة البيانات'!$I$6:$I$305,$Q$21),10),"💬 واتساب"))</f>
        <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مفيش رقم —</v>
      </c>
      <c r="L56" s="27" t="str">
        <f>IF(OR($Q$23=0,INDEX('قاعدة البيانات'!$I$6:$I$305,$Q$23)=""),"",HYPERLINK("https://wa.me/20"&amp;RIGHT(INDEX('قاعدة البيانات'!$I$6:$I$305,$Q$23),10),"💬 واتساب"))</f>
        <v/>
      </c>
    </row>
    <row r="57" spans="2:12" ht="37.5" customHeight="1">
      <c r="B57" s="80" t="str">
        <f>IF($Q$21=0,"","📍 "&amp;IF(INDEX('قاعدة البيانات'!$J$6:$J$305,$Q$21)="","— مفيش عنوان —",INDEX('قاعدة البيانات'!$J$6:$J$305,$Q$21)))</f>
        <v>📍 8 شارع الكواكبى - الدور 4</v>
      </c>
      <c r="C57" s="80"/>
      <c r="D57" s="80"/>
      <c r="F57" s="80" t="str">
        <f>IF($Q$22=0,"","📍 "&amp;IF(INDEX('قاعدة البيانات'!$J$6:$J$305,$Q$22)="","— مفيش عنوان —",INDEX('قاعدة البيانات'!$J$6:$J$305,$Q$22)))</f>
        <v>📍 13 شارع علي شعراوي - مينا حفيد ابراهيم عند جده موقتا ولكن عنوانهم الزاوية الحمراء</v>
      </c>
      <c r="G57" s="80"/>
      <c r="H57" s="80"/>
      <c r="J57" s="80" t="str">
        <f>IF($Q$23=0,"","📍 "&amp;IF(INDEX('قاعدة البيانات'!$J$6:$J$305,$Q$23)="","— مفيش عنوان —",INDEX('قاعدة البيانات'!$J$6:$J$305,$Q$23)))</f>
        <v>📍 18 شارع قاسم امين - شقة 808 الدور 8 - برج كوين بلازا</v>
      </c>
      <c r="K57" s="80"/>
      <c r="L57" s="80"/>
    </row>
    <row r="58" spans="2:12" ht="21.75" customHeight="1">
      <c r="B58" s="75" t="str">
        <f>IF($Q$21=0,"","📊 إحصائيات الحضور")</f>
        <v>📊 إحصائيات الحضور</v>
      </c>
      <c r="C58" s="75"/>
      <c r="D58" s="75"/>
      <c r="F58" s="75" t="str">
        <f>IF($Q$22=0,"","📊 إحصائيات الحضور")</f>
        <v>📊 إحصائيات الحضور</v>
      </c>
      <c r="G58" s="75"/>
      <c r="H58" s="75"/>
      <c r="J58" s="75" t="str">
        <f>IF($Q$23=0,"","📊 إحصائيات الحضور")</f>
        <v>📊 إحصائيات الحضور</v>
      </c>
      <c r="K58" s="75"/>
      <c r="L58" s="75"/>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رفائيل'!C19</f>
        <v>0</v>
      </c>
      <c r="C60" s="30">
        <f>'حضور رفائيل'!D19</f>
        <v>0</v>
      </c>
      <c r="D60" s="31" t="str">
        <f>'حضور رفائيل'!F19</f>
        <v/>
      </c>
      <c r="F60" s="29">
        <f>'حضور رفائيل'!C20</f>
        <v>0</v>
      </c>
      <c r="G60" s="30">
        <f>'حضور رفائيل'!D20</f>
        <v>0</v>
      </c>
      <c r="H60" s="31" t="str">
        <f>'حضور رفائيل'!F20</f>
        <v/>
      </c>
      <c r="J60" s="29">
        <f>'حضور رفائيل'!C21</f>
        <v>0</v>
      </c>
      <c r="K60" s="30">
        <f>'حضور رفائيل'!D21</f>
        <v>0</v>
      </c>
      <c r="L60" s="31" t="str">
        <f>'حضور رفائيل'!F21</f>
        <v/>
      </c>
    </row>
    <row r="61" spans="2:12" ht="24" customHeight="1">
      <c r="B61" s="76" t="str">
        <f>'حضور رفائيل'!I19</f>
        <v>⏳ لسه مفيش حضور</v>
      </c>
      <c r="C61" s="76"/>
      <c r="D61" s="76"/>
      <c r="F61" s="76" t="str">
        <f>'حضور رفائيل'!I20</f>
        <v>⏳ لسه مفيش حضور</v>
      </c>
      <c r="G61" s="76"/>
      <c r="H61" s="76"/>
      <c r="J61" s="76" t="str">
        <f>'حضور رفائيل'!I21</f>
        <v>⏳ لسه مفيش حضور</v>
      </c>
      <c r="K61" s="76"/>
      <c r="L61" s="76"/>
    </row>
    <row r="62" spans="2:12" ht="19.5" customHeight="1">
      <c r="B62" s="77" t="str">
        <f>IF($Q$21=0,"","🗓️ آخر حضور: "&amp;IF(ISNUMBER('حضور رفائيل'!H19),DAY('حضور رفائيل'!H19)&amp;"/"&amp;MONTH('حضور رفائيل'!H19)&amp;"/"&amp;YEAR('حضور رفائيل'!H19),"—")&amp;"   •   غياب متتالي: "&amp;'حضور رفائيل'!G19)</f>
        <v>🗓️ آخر حضور: —   •   غياب متتالي: 0</v>
      </c>
      <c r="C62" s="77"/>
      <c r="D62" s="77"/>
      <c r="F62" s="77" t="str">
        <f>IF($Q$22=0,"","🗓️ آخر حضور: "&amp;IF(ISNUMBER('حضور رفائيل'!H20),DAY('حضور رفائيل'!H20)&amp;"/"&amp;MONTH('حضور رفائيل'!H20)&amp;"/"&amp;YEAR('حضور رفائيل'!H20),"—")&amp;"   •   غياب متتالي: "&amp;'حضور رفائيل'!G20)</f>
        <v>🗓️ آخر حضور: —   •   غياب متتالي: 0</v>
      </c>
      <c r="G62" s="77"/>
      <c r="H62" s="77"/>
      <c r="J62" s="77" t="str">
        <f>IF($Q$23=0,"","🗓️ آخر حضور: "&amp;IF(ISNUMBER('حضور رفائيل'!H21),DAY('حضور رفائيل'!H21)&amp;"/"&amp;MONTH('حضور رفائيل'!H21)&amp;"/"&amp;YEAR('حضور رفائيل'!H21),"—")&amp;"   •   غياب متتالي: "&amp;'حضور رفائيل'!G21)</f>
        <v>🗓️ آخر حضور: —   •   غياب متتالي: 0</v>
      </c>
      <c r="K62" s="77"/>
      <c r="L62" s="77"/>
    </row>
    <row r="63" spans="2:12" ht="13.5" customHeight="1"/>
    <row r="64" spans="2:12" ht="30" customHeight="1">
      <c r="B64" s="78" t="str">
        <f>IF($Q$24=0,"",IF(INDEX('قاعدة البيانات'!$D$6:$D$305,$Q$24)="بنت","👧 ","👦 ")&amp;INDEX('قاعدة البيانات'!$C$6:$C$305,$Q$24))</f>
        <v>👦 نور مينا شلبى</v>
      </c>
      <c r="C64" s="78"/>
      <c r="D64" s="78"/>
      <c r="F64" s="78" t="str">
        <f>IF($Q$25=0,"",IF(INDEX('قاعدة البيانات'!$D$6:$D$305,$Q$25)="بنت","👧 ","👦 ")&amp;INDEX('قاعدة البيانات'!$C$6:$C$305,$Q$25))</f>
        <v>👦 نوڤير سمير انور تامر بشاى</v>
      </c>
      <c r="G64" s="78"/>
      <c r="H64" s="78"/>
      <c r="J64" s="78" t="str">
        <f>IF($Q$26=0,"",IF(INDEX('قاعدة البيانات'!$D$6:$D$305,$Q$26)="بنت","👧 ","👦 ")&amp;INDEX('قاعدة البيانات'!$C$6:$C$305,$Q$26))</f>
        <v/>
      </c>
      <c r="K64" s="78"/>
      <c r="L64" s="78"/>
    </row>
    <row r="65" spans="2:12" ht="108" customHeight="1">
      <c r="B65" s="24" t="str">
        <f>IF($Q$24=0,"",IF(ISBLANK(INDEX('قاعدة البيانات'!$K$6:$K$305,$Q$24)),LEFT(INDEX('قاعدة البيانات'!$C$6:$C$305,$Q$24),1),INDEX('قاعدة البيانات'!$K$6:$K$305,$Q$24)))</f>
        <v>ن</v>
      </c>
      <c r="C65" s="79"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B-084
🎓 سنة أولى
🚶 يروح لوحده: —
📝 مفيش ملاحظات</v>
      </c>
      <c r="D65" s="79"/>
      <c r="F65" s="24" t="str">
        <f>IF($Q$25=0,"",IF(ISBLANK(INDEX('قاعدة البيانات'!$K$6:$K$305,$Q$25)),LEFT(INDEX('قاعدة البيانات'!$C$6:$C$305,$Q$25),1),INDEX('قاعدة البيانات'!$K$6:$K$305,$Q$25)))</f>
        <v>ن</v>
      </c>
      <c r="G65" s="79"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B-085
🎓 سنة أولى
🚶 يروح لوحده: —
📝 مفيش ملاحظات</v>
      </c>
      <c r="H65" s="79"/>
      <c r="J65" s="24" t="str">
        <f>IF($Q$26=0,"",IF(ISBLANK(INDEX('قاعدة البيانات'!$K$6:$K$305,$Q$26)),LEFT(INDEX('قاعدة البيانات'!$C$6:$C$305,$Q$26),1),INDEX('قاعدة البيانات'!$K$6:$K$305,$Q$26)))</f>
        <v/>
      </c>
      <c r="K65" s="79"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c>
      <c r="L65" s="79"/>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01286447225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01288999494</v>
      </c>
      <c r="H66" s="27" t="str">
        <f>IF(OR($Q$25=0,INDEX('قاعدة البيانات'!$H$6:$H$305,$Q$25)=""),"",HYPERLINK("https://wa.me/20"&amp;RIGHT(INDEX('قاعدة البيانات'!$H$6:$H$305,$Q$25),10),"💬 واتساب"))</f>
        <v>💬 واتساب</v>
      </c>
      <c r="J66" s="25" t="str">
        <f>IF($Q$26=0,"","👩 ماما")</f>
        <v/>
      </c>
      <c r="K66" s="26" t="str">
        <f>IF($Q$26=0,"",IF(INDEX('قاعدة البيانات'!$H$6:$H$305,$Q$26)="","— مفيش رقم —",HYPERLINK("tel:"&amp;INDEX('قاعدة البيانات'!$H$6:$H$305,$Q$26),"📞 "&amp;INDEX('قاعدة البيانات'!$H$6:$H$305,$Q$26))))</f>
        <v/>
      </c>
      <c r="L66" s="27" t="str">
        <f>IF(OR($Q$26=0,INDEX('قاعدة البيانات'!$H$6:$H$305,$Q$26)=""),"",HYPERLINK("https://wa.me/20"&amp;RIGHT(INDEX('قاعدة البيانات'!$H$6:$H$305,$Q$26),10),"💬 واتساب"))</f>
        <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c>
      <c r="K67" s="26" t="str">
        <f>IF($Q$26=0,"",IF(INDEX('قاعدة البيانات'!$I$6:$I$305,$Q$26)="","— مفيش رقم —",HYPERLINK("tel:"&amp;INDEX('قاعدة البيانات'!$I$6:$I$305,$Q$26),"📞 "&amp;INDEX('قاعدة البيانات'!$I$6:$I$305,$Q$26))))</f>
        <v/>
      </c>
      <c r="L67" s="27" t="str">
        <f>IF(OR($Q$26=0,INDEX('قاعدة البيانات'!$I$6:$I$305,$Q$26)=""),"",HYPERLINK("https://wa.me/20"&amp;RIGHT(INDEX('قاعدة البيانات'!$I$6:$I$305,$Q$26),10),"💬 واتساب"))</f>
        <v/>
      </c>
    </row>
    <row r="68" spans="2:12" ht="37.5" customHeight="1">
      <c r="B68" s="80" t="str">
        <f>IF($Q$24=0,"","📍 "&amp;IF(INDEX('قاعدة البيانات'!$J$6:$J$305,$Q$24)="","— مفيش عنوان —",INDEX('قاعدة البيانات'!$J$6:$J$305,$Q$24)))</f>
        <v>📍 6 شارع الكواكبى - الدور 4 - برج بانوراما الحدايق / شمال الاسانسير</v>
      </c>
      <c r="C68" s="80"/>
      <c r="D68" s="80"/>
      <c r="F68" s="80" t="str">
        <f>IF($Q$25=0,"","📍 "&amp;IF(INDEX('قاعدة البيانات'!$J$6:$J$305,$Q$25)="","— مفيش عنوان —",INDEX('قاعدة البيانات'!$J$6:$J$305,$Q$25)))</f>
        <v>📍 3 شارع الترعه يمين - امام الصرف الصحى - شقة 3 الدور 3 - شارع الصرف الصحى عزبه عامر المرج الجديدة
بيت الجدة فى روفائيل سليمان  المليحة حدائق القبة رقم 10</v>
      </c>
      <c r="G68" s="80"/>
      <c r="H68" s="80"/>
      <c r="J68" s="80" t="str">
        <f>IF($Q$26=0,"","📍 "&amp;IF(INDEX('قاعدة البيانات'!$J$6:$J$305,$Q$26)="","— مفيش عنوان —",INDEX('قاعدة البيانات'!$J$6:$J$305,$Q$26)))</f>
        <v/>
      </c>
      <c r="K68" s="80"/>
      <c r="L68" s="80"/>
    </row>
    <row r="69" spans="2:12" ht="21.75" customHeight="1">
      <c r="B69" s="75" t="str">
        <f>IF($Q$24=0,"","📊 إحصائيات الحضور")</f>
        <v>📊 إحصائيات الحضور</v>
      </c>
      <c r="C69" s="75"/>
      <c r="D69" s="75"/>
      <c r="F69" s="75" t="str">
        <f>IF($Q$25=0,"","📊 إحصائيات الحضور")</f>
        <v>📊 إحصائيات الحضور</v>
      </c>
      <c r="G69" s="75"/>
      <c r="H69" s="75"/>
      <c r="J69" s="75" t="str">
        <f>IF($Q$26=0,"","📊 إحصائيات الحضور")</f>
        <v/>
      </c>
      <c r="K69" s="75"/>
      <c r="L69" s="75"/>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c>
      <c r="K70" s="28" t="str">
        <f>IF($Q$26=0,"","❌ غياب")</f>
        <v/>
      </c>
      <c r="L70" s="28" t="str">
        <f>IF($Q$26=0,"","📈 النسبة")</f>
        <v/>
      </c>
    </row>
    <row r="71" spans="2:12" ht="33.75" customHeight="1">
      <c r="B71" s="29">
        <f>'حضور رفائيل'!C22</f>
        <v>0</v>
      </c>
      <c r="C71" s="30">
        <f>'حضور رفائيل'!D22</f>
        <v>0</v>
      </c>
      <c r="D71" s="31" t="str">
        <f>'حضور رفائيل'!F22</f>
        <v/>
      </c>
      <c r="F71" s="29">
        <f>'حضور رفائيل'!C23</f>
        <v>0</v>
      </c>
      <c r="G71" s="30">
        <f>'حضور رفائيل'!D23</f>
        <v>0</v>
      </c>
      <c r="H71" s="31" t="str">
        <f>'حضور رفائيل'!F23</f>
        <v/>
      </c>
      <c r="J71" s="29" t="str">
        <f>'حضور رفائيل'!C24</f>
        <v/>
      </c>
      <c r="K71" s="30" t="str">
        <f>'حضور رفائيل'!D24</f>
        <v/>
      </c>
      <c r="L71" s="31" t="str">
        <f>'حضور رفائيل'!F24</f>
        <v/>
      </c>
    </row>
    <row r="72" spans="2:12" ht="24" customHeight="1">
      <c r="B72" s="76" t="str">
        <f>'حضور رفائيل'!I22</f>
        <v>⏳ لسه مفيش حضور</v>
      </c>
      <c r="C72" s="76"/>
      <c r="D72" s="76"/>
      <c r="F72" s="76" t="str">
        <f>'حضور رفائيل'!I23</f>
        <v>⏳ لسه مفيش حضور</v>
      </c>
      <c r="G72" s="76"/>
      <c r="H72" s="76"/>
      <c r="J72" s="76" t="str">
        <f>'حضور رفائيل'!I24</f>
        <v/>
      </c>
      <c r="K72" s="76"/>
      <c r="L72" s="76"/>
    </row>
    <row r="73" spans="2:12" ht="19.5" customHeight="1">
      <c r="B73" s="77" t="str">
        <f>IF($Q$24=0,"","🗓️ آخر حضور: "&amp;IF(ISNUMBER('حضور رفائيل'!H22),DAY('حضور رفائيل'!H22)&amp;"/"&amp;MONTH('حضور رفائيل'!H22)&amp;"/"&amp;YEAR('حضور رفائيل'!H22),"—")&amp;"   •   غياب متتالي: "&amp;'حضور رفائيل'!G22)</f>
        <v>🗓️ آخر حضور: —   •   غياب متتالي: 0</v>
      </c>
      <c r="C73" s="77"/>
      <c r="D73" s="77"/>
      <c r="F73" s="77" t="str">
        <f>IF($Q$25=0,"","🗓️ آخر حضور: "&amp;IF(ISNUMBER('حضور رفائيل'!H23),DAY('حضور رفائيل'!H23)&amp;"/"&amp;MONTH('حضور رفائيل'!H23)&amp;"/"&amp;YEAR('حضور رفائيل'!H23),"—")&amp;"   •   غياب متتالي: "&amp;'حضور رفائيل'!G23)</f>
        <v>🗓️ آخر حضور: —   •   غياب متتالي: 0</v>
      </c>
      <c r="G73" s="77"/>
      <c r="H73" s="77"/>
      <c r="J73" s="77" t="str">
        <f>IF($Q$26=0,"","🗓️ آخر حضور: "&amp;IF(ISNUMBER('حضور رفائيل'!H24),DAY('حضور رفائيل'!H24)&amp;"/"&amp;MONTH('حضور رفائيل'!H24)&amp;"/"&amp;YEAR('حضور رفائيل'!H24),"—")&amp;"   •   غياب متتالي: "&amp;'حضور رفائيل'!G24)</f>
        <v/>
      </c>
      <c r="K73" s="77"/>
      <c r="L73" s="77"/>
    </row>
    <row r="74" spans="2:12" ht="13.5" customHeight="1"/>
    <row r="75" spans="2:12" ht="30" customHeight="1">
      <c r="B75" s="78" t="str">
        <f>IF($Q$27=0,"",IF(INDEX('قاعدة البيانات'!$D$6:$D$305,$Q$27)="بنت","👧 ","👦 ")&amp;INDEX('قاعدة البيانات'!$C$6:$C$305,$Q$27))</f>
        <v/>
      </c>
      <c r="C75" s="78"/>
      <c r="D75" s="78"/>
      <c r="F75" s="78" t="str">
        <f>IF($Q$28=0,"",IF(INDEX('قاعدة البيانات'!$D$6:$D$305,$Q$28)="بنت","👧 ","👦 ")&amp;INDEX('قاعدة البيانات'!$C$6:$C$305,$Q$28))</f>
        <v/>
      </c>
      <c r="G75" s="78"/>
      <c r="H75" s="78"/>
      <c r="J75" s="78" t="str">
        <f>IF($Q$29=0,"",IF(INDEX('قاعدة البيانات'!$D$6:$D$305,$Q$29)="بنت","👧 ","👦 ")&amp;INDEX('قاعدة البيانات'!$C$6:$C$305,$Q$29))</f>
        <v/>
      </c>
      <c r="K75" s="78"/>
      <c r="L75" s="78"/>
    </row>
    <row r="76" spans="2:12" ht="108" customHeight="1">
      <c r="B76" s="24" t="str">
        <f>IF($Q$27=0,"",IF(ISBLANK(INDEX('قاعدة البيانات'!$K$6:$K$305,$Q$27)),LEFT(INDEX('قاعدة البيانات'!$C$6:$C$305,$Q$27),1),INDEX('قاعدة البيانات'!$K$6:$K$305,$Q$27)))</f>
        <v/>
      </c>
      <c r="C76" s="79"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c>
      <c r="D76" s="79"/>
      <c r="F76" s="24" t="str">
        <f>IF($Q$28=0,"",IF(ISBLANK(INDEX('قاعدة البيانات'!$K$6:$K$305,$Q$28)),LEFT(INDEX('قاعدة البيانات'!$C$6:$C$305,$Q$28),1),INDEX('قاعدة البيانات'!$K$6:$K$305,$Q$28)))</f>
        <v/>
      </c>
      <c r="G76" s="79"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c>
      <c r="H76" s="79"/>
      <c r="J76" s="24" t="str">
        <f>IF($Q$29=0,"",IF(ISBLANK(INDEX('قاعدة البيانات'!$K$6:$K$305,$Q$29)),LEFT(INDEX('قاعدة البيانات'!$C$6:$C$305,$Q$29),1),INDEX('قاعدة البيانات'!$K$6:$K$305,$Q$29)))</f>
        <v/>
      </c>
      <c r="K76" s="79"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79"/>
    </row>
    <row r="77" spans="2:12" ht="24" customHeight="1">
      <c r="B77" s="25" t="str">
        <f>IF($Q$27=0,"","👩 ماما")</f>
        <v/>
      </c>
      <c r="C77" s="26" t="str">
        <f>IF($Q$27=0,"",IF(INDEX('قاعدة البيانات'!$H$6:$H$305,$Q$27)="","— مفيش رقم —",HYPERLINK("tel:"&amp;INDEX('قاعدة البيانات'!$H$6:$H$305,$Q$27),"📞 "&amp;INDEX('قاعدة البيانات'!$H$6:$H$305,$Q$27))))</f>
        <v/>
      </c>
      <c r="D77" s="27" t="str">
        <f>IF(OR($Q$27=0,INDEX('قاعدة البيانات'!$H$6:$H$305,$Q$27)=""),"",HYPERLINK("https://wa.me/20"&amp;RIGHT(INDEX('قاعدة البيانات'!$H$6:$H$305,$Q$27),10),"💬 واتساب"))</f>
        <v/>
      </c>
      <c r="F77" s="25" t="str">
        <f>IF($Q$28=0,"","👩 ماما")</f>
        <v/>
      </c>
      <c r="G77" s="26" t="str">
        <f>IF($Q$28=0,"",IF(INDEX('قاعدة البيانات'!$H$6:$H$305,$Q$28)="","— مفيش رقم —",HYPERLINK("tel:"&amp;INDEX('قاعدة البيانات'!$H$6:$H$305,$Q$28),"📞 "&amp;INDEX('قاعدة البيانات'!$H$6:$H$305,$Q$28))))</f>
        <v/>
      </c>
      <c r="H77" s="27" t="str">
        <f>IF(OR($Q$28=0,INDEX('قاعدة البيانات'!$H$6:$H$305,$Q$28)=""),"",HYPERLINK("https://wa.me/20"&amp;RIGHT(INDEX('قاعدة البيانات'!$H$6:$H$305,$Q$28),10),"💬 واتساب"))</f>
        <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c>
      <c r="C78" s="26" t="str">
        <f>IF($Q$27=0,"",IF(INDEX('قاعدة البيانات'!$I$6:$I$305,$Q$27)="","— مفيش رقم —",HYPERLINK("tel:"&amp;INDEX('قاعدة البيانات'!$I$6:$I$305,$Q$27),"📞 "&amp;INDEX('قاعدة البيانات'!$I$6:$I$305,$Q$27))))</f>
        <v/>
      </c>
      <c r="D78" s="27" t="str">
        <f>IF(OR($Q$27=0,INDEX('قاعدة البيانات'!$I$6:$I$305,$Q$27)=""),"",HYPERLINK("https://wa.me/20"&amp;RIGHT(INDEX('قاعدة البيانات'!$I$6:$I$305,$Q$27),10),"💬 واتساب"))</f>
        <v/>
      </c>
      <c r="F78" s="25" t="str">
        <f>IF($Q$28=0,"","👨 بابا")</f>
        <v/>
      </c>
      <c r="G78" s="26" t="str">
        <f>IF($Q$28=0,"",IF(INDEX('قاعدة البيانات'!$I$6:$I$305,$Q$28)="","— مفيش رقم —",HYPERLINK("tel:"&amp;INDEX('قاعدة البيانات'!$I$6:$I$305,$Q$28),"📞 "&amp;INDEX('قاعدة البيانات'!$I$6:$I$305,$Q$28))))</f>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80" t="str">
        <f>IF($Q$27=0,"","📍 "&amp;IF(INDEX('قاعدة البيانات'!$J$6:$J$305,$Q$27)="","— مفيش عنوان —",INDEX('قاعدة البيانات'!$J$6:$J$305,$Q$27)))</f>
        <v/>
      </c>
      <c r="C79" s="80"/>
      <c r="D79" s="80"/>
      <c r="F79" s="80" t="str">
        <f>IF($Q$28=0,"","📍 "&amp;IF(INDEX('قاعدة البيانات'!$J$6:$J$305,$Q$28)="","— مفيش عنوان —",INDEX('قاعدة البيانات'!$J$6:$J$305,$Q$28)))</f>
        <v/>
      </c>
      <c r="G79" s="80"/>
      <c r="H79" s="80"/>
      <c r="J79" s="80" t="str">
        <f>IF($Q$29=0,"","📍 "&amp;IF(INDEX('قاعدة البيانات'!$J$6:$J$305,$Q$29)="","— مفيش عنوان —",INDEX('قاعدة البيانات'!$J$6:$J$305,$Q$29)))</f>
        <v/>
      </c>
      <c r="K79" s="80"/>
      <c r="L79" s="80"/>
    </row>
    <row r="80" spans="2:12" ht="21.75" customHeight="1">
      <c r="B80" s="75" t="str">
        <f>IF($Q$27=0,"","📊 إحصائيات الحضور")</f>
        <v/>
      </c>
      <c r="C80" s="75"/>
      <c r="D80" s="75"/>
      <c r="F80" s="75" t="str">
        <f>IF($Q$28=0,"","📊 إحصائيات الحضور")</f>
        <v/>
      </c>
      <c r="G80" s="75"/>
      <c r="H80" s="75"/>
      <c r="J80" s="75" t="str">
        <f>IF($Q$29=0,"","📊 إحصائيات الحضور")</f>
        <v/>
      </c>
      <c r="K80" s="75"/>
      <c r="L80" s="75"/>
    </row>
    <row r="81" spans="2:12" ht="15.75" customHeight="1">
      <c r="B81" s="28" t="str">
        <f>IF($Q$27=0,"","✅ حضور")</f>
        <v/>
      </c>
      <c r="C81" s="28" t="str">
        <f>IF($Q$27=0,"","❌ غياب")</f>
        <v/>
      </c>
      <c r="D81" s="28" t="str">
        <f>IF($Q$27=0,"","📈 النسبة")</f>
        <v/>
      </c>
      <c r="F81" s="28" t="str">
        <f>IF($Q$28=0,"","✅ حضور")</f>
        <v/>
      </c>
      <c r="G81" s="28" t="str">
        <f>IF($Q$28=0,"","❌ غياب")</f>
        <v/>
      </c>
      <c r="H81" s="28" t="str">
        <f>IF($Q$28=0,"","📈 النسبة")</f>
        <v/>
      </c>
      <c r="J81" s="28" t="str">
        <f>IF($Q$29=0,"","✅ حضور")</f>
        <v/>
      </c>
      <c r="K81" s="28" t="str">
        <f>IF($Q$29=0,"","❌ غياب")</f>
        <v/>
      </c>
      <c r="L81" s="28" t="str">
        <f>IF($Q$29=0,"","📈 النسبة")</f>
        <v/>
      </c>
    </row>
    <row r="82" spans="2:12" ht="33.75" customHeight="1">
      <c r="B82" s="29" t="str">
        <f>'حضور رفائيل'!C25</f>
        <v/>
      </c>
      <c r="C82" s="30" t="str">
        <f>'حضور رفائيل'!D25</f>
        <v/>
      </c>
      <c r="D82" s="31" t="str">
        <f>'حضور رفائيل'!F25</f>
        <v/>
      </c>
      <c r="F82" s="29" t="str">
        <f>'حضور رفائيل'!C26</f>
        <v/>
      </c>
      <c r="G82" s="30" t="str">
        <f>'حضور رفائيل'!D26</f>
        <v/>
      </c>
      <c r="H82" s="31" t="str">
        <f>'حضور رفائيل'!F26</f>
        <v/>
      </c>
      <c r="J82" s="29" t="str">
        <f>'حضور رفائيل'!C27</f>
        <v/>
      </c>
      <c r="K82" s="30" t="str">
        <f>'حضور رفائيل'!D27</f>
        <v/>
      </c>
      <c r="L82" s="31" t="str">
        <f>'حضور رفائيل'!F27</f>
        <v/>
      </c>
    </row>
    <row r="83" spans="2:12" ht="24" customHeight="1">
      <c r="B83" s="76" t="str">
        <f>'حضور رفائيل'!I25</f>
        <v/>
      </c>
      <c r="C83" s="76"/>
      <c r="D83" s="76"/>
      <c r="F83" s="76" t="str">
        <f>'حضور رفائيل'!I26</f>
        <v/>
      </c>
      <c r="G83" s="76"/>
      <c r="H83" s="76"/>
      <c r="J83" s="76" t="str">
        <f>'حضور رفائيل'!I27</f>
        <v/>
      </c>
      <c r="K83" s="76"/>
      <c r="L83" s="76"/>
    </row>
    <row r="84" spans="2:12" ht="19.5" customHeight="1">
      <c r="B84" s="77" t="str">
        <f>IF($Q$27=0,"","🗓️ آخر حضور: "&amp;IF(ISNUMBER('حضور رفائيل'!H25),DAY('حضور رفائيل'!H25)&amp;"/"&amp;MONTH('حضور رفائيل'!H25)&amp;"/"&amp;YEAR('حضور رفائيل'!H25),"—")&amp;"   •   غياب متتالي: "&amp;'حضور رفائيل'!G25)</f>
        <v/>
      </c>
      <c r="C84" s="77"/>
      <c r="D84" s="77"/>
      <c r="F84" s="77" t="str">
        <f>IF($Q$28=0,"","🗓️ آخر حضور: "&amp;IF(ISNUMBER('حضور رفائيل'!H26),DAY('حضور رفائيل'!H26)&amp;"/"&amp;MONTH('حضور رفائيل'!H26)&amp;"/"&amp;YEAR('حضور رفائيل'!H26),"—")&amp;"   •   غياب متتالي: "&amp;'حضور رفائيل'!G26)</f>
        <v/>
      </c>
      <c r="G84" s="77"/>
      <c r="H84" s="77"/>
      <c r="J84" s="77" t="str">
        <f>IF($Q$29=0,"","🗓️ آخر حضور: "&amp;IF(ISNUMBER('حضور رفائيل'!H27),DAY('حضور رفائيل'!H27)&amp;"/"&amp;MONTH('حضور رفائيل'!H27)&amp;"/"&amp;YEAR('حضور رفائيل'!H27),"—")&amp;"   •   غياب متتالي: "&amp;'حضور رفائيل'!G27)</f>
        <v/>
      </c>
      <c r="K84" s="77"/>
      <c r="L84" s="77"/>
    </row>
    <row r="85" spans="2:12" ht="13.5" customHeight="1"/>
    <row r="86" spans="2:12" ht="30" customHeight="1">
      <c r="B86" s="78" t="str">
        <f>IF($Q$30=0,"",IF(INDEX('قاعدة البيانات'!$D$6:$D$305,$Q$30)="بنت","👧 ","👦 ")&amp;INDEX('قاعدة البيانات'!$C$6:$C$305,$Q$30))</f>
        <v/>
      </c>
      <c r="C86" s="78"/>
      <c r="D86" s="78"/>
      <c r="F86" s="78" t="str">
        <f>IF($Q$31=0,"",IF(INDEX('قاعدة البيانات'!$D$6:$D$305,$Q$31)="بنت","👧 ","👦 ")&amp;INDEX('قاعدة البيانات'!$C$6:$C$305,$Q$31))</f>
        <v/>
      </c>
      <c r="G86" s="78"/>
      <c r="H86" s="78"/>
      <c r="J86" s="78" t="str">
        <f>IF($Q$32=0,"",IF(INDEX('قاعدة البيانات'!$D$6:$D$305,$Q$32)="بنت","👧 ","👦 ")&amp;INDEX('قاعدة البيانات'!$C$6:$C$305,$Q$32))</f>
        <v/>
      </c>
      <c r="K86" s="78"/>
      <c r="L86" s="78"/>
    </row>
    <row r="87" spans="2:12" ht="108" customHeight="1">
      <c r="B87" s="24" t="str">
        <f>IF($Q$30=0,"",IF(ISBLANK(INDEX('قاعدة البيانات'!$K$6:$K$305,$Q$30)),LEFT(INDEX('قاعدة البيانات'!$C$6:$C$305,$Q$30),1),INDEX('قاعدة البيانات'!$K$6:$K$305,$Q$30)))</f>
        <v/>
      </c>
      <c r="C87" s="79"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79"/>
      <c r="F87" s="24" t="str">
        <f>IF($Q$31=0,"",IF(ISBLANK(INDEX('قاعدة البيانات'!$K$6:$K$305,$Q$31)),LEFT(INDEX('قاعدة البيانات'!$C$6:$C$305,$Q$31),1),INDEX('قاعدة البيانات'!$K$6:$K$305,$Q$31)))</f>
        <v/>
      </c>
      <c r="G87" s="79"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79"/>
      <c r="J87" s="24" t="str">
        <f>IF($Q$32=0,"",IF(ISBLANK(INDEX('قاعدة البيانات'!$K$6:$K$305,$Q$32)),LEFT(INDEX('قاعدة البيانات'!$C$6:$C$305,$Q$32),1),INDEX('قاعدة البيانات'!$K$6:$K$305,$Q$32)))</f>
        <v/>
      </c>
      <c r="K87" s="79"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79"/>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80" t="str">
        <f>IF($Q$30=0,"","📍 "&amp;IF(INDEX('قاعدة البيانات'!$J$6:$J$305,$Q$30)="","— مفيش عنوان —",INDEX('قاعدة البيانات'!$J$6:$J$305,$Q$30)))</f>
        <v/>
      </c>
      <c r="C90" s="80"/>
      <c r="D90" s="80"/>
      <c r="F90" s="80" t="str">
        <f>IF($Q$31=0,"","📍 "&amp;IF(INDEX('قاعدة البيانات'!$J$6:$J$305,$Q$31)="","— مفيش عنوان —",INDEX('قاعدة البيانات'!$J$6:$J$305,$Q$31)))</f>
        <v/>
      </c>
      <c r="G90" s="80"/>
      <c r="H90" s="80"/>
      <c r="J90" s="80" t="str">
        <f>IF($Q$32=0,"","📍 "&amp;IF(INDEX('قاعدة البيانات'!$J$6:$J$305,$Q$32)="","— مفيش عنوان —",INDEX('قاعدة البيانات'!$J$6:$J$305,$Q$32)))</f>
        <v/>
      </c>
      <c r="K90" s="80"/>
      <c r="L90" s="80"/>
    </row>
    <row r="91" spans="2:12" ht="21.75" customHeight="1">
      <c r="B91" s="75" t="str">
        <f>IF($Q$30=0,"","📊 إحصائيات الحضور")</f>
        <v/>
      </c>
      <c r="C91" s="75"/>
      <c r="D91" s="75"/>
      <c r="F91" s="75" t="str">
        <f>IF($Q$31=0,"","📊 إحصائيات الحضور")</f>
        <v/>
      </c>
      <c r="G91" s="75"/>
      <c r="H91" s="75"/>
      <c r="J91" s="75" t="str">
        <f>IF($Q$32=0,"","📊 إحصائيات الحضور")</f>
        <v/>
      </c>
      <c r="K91" s="75"/>
      <c r="L91" s="75"/>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رفائيل'!C28</f>
        <v/>
      </c>
      <c r="C93" s="30" t="str">
        <f>'حضور رفائيل'!D28</f>
        <v/>
      </c>
      <c r="D93" s="31" t="str">
        <f>'حضور رفائيل'!F28</f>
        <v/>
      </c>
      <c r="F93" s="29" t="str">
        <f>'حضور رفائيل'!C29</f>
        <v/>
      </c>
      <c r="G93" s="30" t="str">
        <f>'حضور رفائيل'!D29</f>
        <v/>
      </c>
      <c r="H93" s="31" t="str">
        <f>'حضور رفائيل'!F29</f>
        <v/>
      </c>
      <c r="J93" s="29" t="str">
        <f>'حضور رفائيل'!C30</f>
        <v/>
      </c>
      <c r="K93" s="30" t="str">
        <f>'حضور رفائيل'!D30</f>
        <v/>
      </c>
      <c r="L93" s="31" t="str">
        <f>'حضور رفائيل'!F30</f>
        <v/>
      </c>
    </row>
    <row r="94" spans="2:12" ht="24" customHeight="1">
      <c r="B94" s="76" t="str">
        <f>'حضور رفائيل'!I28</f>
        <v/>
      </c>
      <c r="C94" s="76"/>
      <c r="D94" s="76"/>
      <c r="F94" s="76" t="str">
        <f>'حضور رفائيل'!I29</f>
        <v/>
      </c>
      <c r="G94" s="76"/>
      <c r="H94" s="76"/>
      <c r="J94" s="76" t="str">
        <f>'حضور رفائيل'!I30</f>
        <v/>
      </c>
      <c r="K94" s="76"/>
      <c r="L94" s="76"/>
    </row>
    <row r="95" spans="2:12" ht="19.5" customHeight="1">
      <c r="B95" s="77" t="str">
        <f>IF($Q$30=0,"","🗓️ آخر حضور: "&amp;IF(ISNUMBER('حضور رفائيل'!H28),DAY('حضور رفائيل'!H28)&amp;"/"&amp;MONTH('حضور رفائيل'!H28)&amp;"/"&amp;YEAR('حضور رفائيل'!H28),"—")&amp;"   •   غياب متتالي: "&amp;'حضور رفائيل'!G28)</f>
        <v/>
      </c>
      <c r="C95" s="77"/>
      <c r="D95" s="77"/>
      <c r="F95" s="77" t="str">
        <f>IF($Q$31=0,"","🗓️ آخر حضور: "&amp;IF(ISNUMBER('حضور رفائيل'!H29),DAY('حضور رفائيل'!H29)&amp;"/"&amp;MONTH('حضور رفائيل'!H29)&amp;"/"&amp;YEAR('حضور رفائيل'!H29),"—")&amp;"   •   غياب متتالي: "&amp;'حضور رفائيل'!G29)</f>
        <v/>
      </c>
      <c r="G95" s="77"/>
      <c r="H95" s="77"/>
      <c r="J95" s="77" t="str">
        <f>IF($Q$32=0,"","🗓️ آخر حضور: "&amp;IF(ISNUMBER('حضور رفائيل'!H30),DAY('حضور رفائيل'!H30)&amp;"/"&amp;MONTH('حضور رفائيل'!H30)&amp;"/"&amp;YEAR('حضور رفائيل'!H30),"—")&amp;"   •   غياب متتالي: "&amp;'حضور رفائيل'!G30)</f>
        <v/>
      </c>
      <c r="K95" s="77"/>
      <c r="L95" s="77"/>
    </row>
    <row r="96" spans="2:12" ht="13.5" customHeight="1"/>
    <row r="97" spans="2:12" ht="30" customHeight="1">
      <c r="B97" s="78" t="str">
        <f>IF($Q$33=0,"",IF(INDEX('قاعدة البيانات'!$D$6:$D$305,$Q$33)="بنت","👧 ","👦 ")&amp;INDEX('قاعدة البيانات'!$C$6:$C$305,$Q$33))</f>
        <v/>
      </c>
      <c r="C97" s="78"/>
      <c r="D97" s="78"/>
      <c r="F97" s="78" t="str">
        <f>IF($Q$34=0,"",IF(INDEX('قاعدة البيانات'!$D$6:$D$305,$Q$34)="بنت","👧 ","👦 ")&amp;INDEX('قاعدة البيانات'!$C$6:$C$305,$Q$34))</f>
        <v/>
      </c>
      <c r="G97" s="78"/>
      <c r="H97" s="78"/>
      <c r="J97" s="78" t="str">
        <f>IF($Q$35=0,"",IF(INDEX('قاعدة البيانات'!$D$6:$D$305,$Q$35)="بنت","👧 ","👦 ")&amp;INDEX('قاعدة البيانات'!$C$6:$C$305,$Q$35))</f>
        <v/>
      </c>
      <c r="K97" s="78"/>
      <c r="L97" s="78"/>
    </row>
    <row r="98" spans="2:12" ht="108" customHeight="1">
      <c r="B98" s="24" t="str">
        <f>IF($Q$33=0,"",IF(ISBLANK(INDEX('قاعدة البيانات'!$K$6:$K$305,$Q$33)),LEFT(INDEX('قاعدة البيانات'!$C$6:$C$305,$Q$33),1),INDEX('قاعدة البيانات'!$K$6:$K$305,$Q$33)))</f>
        <v/>
      </c>
      <c r="C98" s="79"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79"/>
      <c r="F98" s="24" t="str">
        <f>IF($Q$34=0,"",IF(ISBLANK(INDEX('قاعدة البيانات'!$K$6:$K$305,$Q$34)),LEFT(INDEX('قاعدة البيانات'!$C$6:$C$305,$Q$34),1),INDEX('قاعدة البيانات'!$K$6:$K$305,$Q$34)))</f>
        <v/>
      </c>
      <c r="G98" s="79"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79"/>
      <c r="J98" s="24" t="str">
        <f>IF($Q$35=0,"",IF(ISBLANK(INDEX('قاعدة البيانات'!$K$6:$K$305,$Q$35)),LEFT(INDEX('قاعدة البيانات'!$C$6:$C$305,$Q$35),1),INDEX('قاعدة البيانات'!$K$6:$K$305,$Q$35)))</f>
        <v/>
      </c>
      <c r="K98" s="79"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79"/>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80" t="str">
        <f>IF($Q$33=0,"","📍 "&amp;IF(INDEX('قاعدة البيانات'!$J$6:$J$305,$Q$33)="","— مفيش عنوان —",INDEX('قاعدة البيانات'!$J$6:$J$305,$Q$33)))</f>
        <v/>
      </c>
      <c r="C101" s="80"/>
      <c r="D101" s="80"/>
      <c r="F101" s="80" t="str">
        <f>IF($Q$34=0,"","📍 "&amp;IF(INDEX('قاعدة البيانات'!$J$6:$J$305,$Q$34)="","— مفيش عنوان —",INDEX('قاعدة البيانات'!$J$6:$J$305,$Q$34)))</f>
        <v/>
      </c>
      <c r="G101" s="80"/>
      <c r="H101" s="80"/>
      <c r="J101" s="80" t="str">
        <f>IF($Q$35=0,"","📍 "&amp;IF(INDEX('قاعدة البيانات'!$J$6:$J$305,$Q$35)="","— مفيش عنوان —",INDEX('قاعدة البيانات'!$J$6:$J$305,$Q$35)))</f>
        <v/>
      </c>
      <c r="K101" s="80"/>
      <c r="L101" s="80"/>
    </row>
    <row r="102" spans="2:12" ht="21.75" customHeight="1">
      <c r="B102" s="75" t="str">
        <f>IF($Q$33=0,"","📊 إحصائيات الحضور")</f>
        <v/>
      </c>
      <c r="C102" s="75"/>
      <c r="D102" s="75"/>
      <c r="F102" s="75" t="str">
        <f>IF($Q$34=0,"","📊 إحصائيات الحضور")</f>
        <v/>
      </c>
      <c r="G102" s="75"/>
      <c r="H102" s="75"/>
      <c r="J102" s="75" t="str">
        <f>IF($Q$35=0,"","📊 إحصائيات الحضور")</f>
        <v/>
      </c>
      <c r="K102" s="75"/>
      <c r="L102" s="75"/>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رفائيل'!C31</f>
        <v/>
      </c>
      <c r="C104" s="30" t="str">
        <f>'حضور رفائيل'!D31</f>
        <v/>
      </c>
      <c r="D104" s="31" t="str">
        <f>'حضور رفائيل'!F31</f>
        <v/>
      </c>
      <c r="F104" s="29" t="str">
        <f>'حضور رفائيل'!C32</f>
        <v/>
      </c>
      <c r="G104" s="30" t="str">
        <f>'حضور رفائيل'!D32</f>
        <v/>
      </c>
      <c r="H104" s="31" t="str">
        <f>'حضور رفائيل'!F32</f>
        <v/>
      </c>
      <c r="J104" s="29" t="str">
        <f>'حضور رفائيل'!C33</f>
        <v/>
      </c>
      <c r="K104" s="30" t="str">
        <f>'حضور رفائيل'!D33</f>
        <v/>
      </c>
      <c r="L104" s="31" t="str">
        <f>'حضور رفائيل'!F33</f>
        <v/>
      </c>
    </row>
    <row r="105" spans="2:12" ht="24" customHeight="1">
      <c r="B105" s="76" t="str">
        <f>'حضور رفائيل'!I31</f>
        <v/>
      </c>
      <c r="C105" s="76"/>
      <c r="D105" s="76"/>
      <c r="F105" s="76" t="str">
        <f>'حضور رفائيل'!I32</f>
        <v/>
      </c>
      <c r="G105" s="76"/>
      <c r="H105" s="76"/>
      <c r="J105" s="76" t="str">
        <f>'حضور رفائيل'!I33</f>
        <v/>
      </c>
      <c r="K105" s="76"/>
      <c r="L105" s="76"/>
    </row>
    <row r="106" spans="2:12" ht="19.5" customHeight="1">
      <c r="B106" s="77" t="str">
        <f>IF($Q$33=0,"","🗓️ آخر حضور: "&amp;IF(ISNUMBER('حضور رفائيل'!H31),DAY('حضور رفائيل'!H31)&amp;"/"&amp;MONTH('حضور رفائيل'!H31)&amp;"/"&amp;YEAR('حضور رفائيل'!H31),"—")&amp;"   •   غياب متتالي: "&amp;'حضور رفائيل'!G31)</f>
        <v/>
      </c>
      <c r="C106" s="77"/>
      <c r="D106" s="77"/>
      <c r="F106" s="77" t="str">
        <f>IF($Q$34=0,"","🗓️ آخر حضور: "&amp;IF(ISNUMBER('حضور رفائيل'!H32),DAY('حضور رفائيل'!H32)&amp;"/"&amp;MONTH('حضور رفائيل'!H32)&amp;"/"&amp;YEAR('حضور رفائيل'!H32),"—")&amp;"   •   غياب متتالي: "&amp;'حضور رفائيل'!G32)</f>
        <v/>
      </c>
      <c r="G106" s="77"/>
      <c r="H106" s="77"/>
      <c r="J106" s="77" t="str">
        <f>IF($Q$35=0,"","🗓️ آخر حضور: "&amp;IF(ISNUMBER('حضور رفائيل'!H33),DAY('حضور رفائيل'!H33)&amp;"/"&amp;MONTH('حضور رفائيل'!H33)&amp;"/"&amp;YEAR('حضور رفائيل'!H33),"—")&amp;"   •   غياب متتالي: "&amp;'حضور رفائيل'!G33)</f>
        <v/>
      </c>
      <c r="K106" s="77"/>
      <c r="L106" s="77"/>
    </row>
    <row r="107" spans="2:12" ht="13.5" customHeight="1"/>
    <row r="108" spans="2:12" ht="30" customHeight="1">
      <c r="B108" s="78" t="str">
        <f>IF($Q$36=0,"",IF(INDEX('قاعدة البيانات'!$D$6:$D$305,$Q$36)="بنت","👧 ","👦 ")&amp;INDEX('قاعدة البيانات'!$C$6:$C$305,$Q$36))</f>
        <v/>
      </c>
      <c r="C108" s="78"/>
      <c r="D108" s="78"/>
      <c r="F108" s="78" t="str">
        <f>IF($Q$37=0,"",IF(INDEX('قاعدة البيانات'!$D$6:$D$305,$Q$37)="بنت","👧 ","👦 ")&amp;INDEX('قاعدة البيانات'!$C$6:$C$305,$Q$37))</f>
        <v/>
      </c>
      <c r="G108" s="78"/>
      <c r="H108" s="78"/>
      <c r="J108" s="78" t="str">
        <f>IF($Q$38=0,"",IF(INDEX('قاعدة البيانات'!$D$6:$D$305,$Q$38)="بنت","👧 ","👦 ")&amp;INDEX('قاعدة البيانات'!$C$6:$C$305,$Q$38))</f>
        <v/>
      </c>
      <c r="K108" s="78"/>
      <c r="L108" s="78"/>
    </row>
    <row r="109" spans="2:12" ht="108" customHeight="1">
      <c r="B109" s="24" t="str">
        <f>IF($Q$36=0,"",IF(ISBLANK(INDEX('قاعدة البيانات'!$K$6:$K$305,$Q$36)),LEFT(INDEX('قاعدة البيانات'!$C$6:$C$305,$Q$36),1),INDEX('قاعدة البيانات'!$K$6:$K$305,$Q$36)))</f>
        <v/>
      </c>
      <c r="C109" s="79"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79"/>
      <c r="F109" s="24" t="str">
        <f>IF($Q$37=0,"",IF(ISBLANK(INDEX('قاعدة البيانات'!$K$6:$K$305,$Q$37)),LEFT(INDEX('قاعدة البيانات'!$C$6:$C$305,$Q$37),1),INDEX('قاعدة البيانات'!$K$6:$K$305,$Q$37)))</f>
        <v/>
      </c>
      <c r="G109" s="79"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79"/>
      <c r="J109" s="24" t="str">
        <f>IF($Q$38=0,"",IF(ISBLANK(INDEX('قاعدة البيانات'!$K$6:$K$305,$Q$38)),LEFT(INDEX('قاعدة البيانات'!$C$6:$C$305,$Q$38),1),INDEX('قاعدة البيانات'!$K$6:$K$305,$Q$38)))</f>
        <v/>
      </c>
      <c r="K109" s="79"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79"/>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80" t="str">
        <f>IF($Q$36=0,"","📍 "&amp;IF(INDEX('قاعدة البيانات'!$J$6:$J$305,$Q$36)="","— مفيش عنوان —",INDEX('قاعدة البيانات'!$J$6:$J$305,$Q$36)))</f>
        <v/>
      </c>
      <c r="C112" s="80"/>
      <c r="D112" s="80"/>
      <c r="F112" s="80" t="str">
        <f>IF($Q$37=0,"","📍 "&amp;IF(INDEX('قاعدة البيانات'!$J$6:$J$305,$Q$37)="","— مفيش عنوان —",INDEX('قاعدة البيانات'!$J$6:$J$305,$Q$37)))</f>
        <v/>
      </c>
      <c r="G112" s="80"/>
      <c r="H112" s="80"/>
      <c r="J112" s="80" t="str">
        <f>IF($Q$38=0,"","📍 "&amp;IF(INDEX('قاعدة البيانات'!$J$6:$J$305,$Q$38)="","— مفيش عنوان —",INDEX('قاعدة البيانات'!$J$6:$J$305,$Q$38)))</f>
        <v/>
      </c>
      <c r="K112" s="80"/>
      <c r="L112" s="80"/>
    </row>
    <row r="113" spans="2:12" ht="21.75" customHeight="1">
      <c r="B113" s="75" t="str">
        <f>IF($Q$36=0,"","📊 إحصائيات الحضور")</f>
        <v/>
      </c>
      <c r="C113" s="75"/>
      <c r="D113" s="75"/>
      <c r="F113" s="75" t="str">
        <f>IF($Q$37=0,"","📊 إحصائيات الحضور")</f>
        <v/>
      </c>
      <c r="G113" s="75"/>
      <c r="H113" s="75"/>
      <c r="J113" s="75" t="str">
        <f>IF($Q$38=0,"","📊 إحصائيات الحضور")</f>
        <v/>
      </c>
      <c r="K113" s="75"/>
      <c r="L113" s="75"/>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رفائيل'!C34</f>
        <v/>
      </c>
      <c r="C115" s="30" t="str">
        <f>'حضور رفائيل'!D34</f>
        <v/>
      </c>
      <c r="D115" s="31" t="str">
        <f>'حضور رفائيل'!F34</f>
        <v/>
      </c>
      <c r="F115" s="29" t="str">
        <f>'حضور رفائيل'!C35</f>
        <v/>
      </c>
      <c r="G115" s="30" t="str">
        <f>'حضور رفائيل'!D35</f>
        <v/>
      </c>
      <c r="H115" s="31" t="str">
        <f>'حضور رفائيل'!F35</f>
        <v/>
      </c>
      <c r="J115" s="29" t="str">
        <f>'حضور رفائيل'!C36</f>
        <v/>
      </c>
      <c r="K115" s="30" t="str">
        <f>'حضور رفائيل'!D36</f>
        <v/>
      </c>
      <c r="L115" s="31" t="str">
        <f>'حضور رفائيل'!F36</f>
        <v/>
      </c>
    </row>
    <row r="116" spans="2:12" ht="24" customHeight="1">
      <c r="B116" s="76" t="str">
        <f>'حضور رفائيل'!I34</f>
        <v/>
      </c>
      <c r="C116" s="76"/>
      <c r="D116" s="76"/>
      <c r="F116" s="76" t="str">
        <f>'حضور رفائيل'!I35</f>
        <v/>
      </c>
      <c r="G116" s="76"/>
      <c r="H116" s="76"/>
      <c r="J116" s="76" t="str">
        <f>'حضور رفائيل'!I36</f>
        <v/>
      </c>
      <c r="K116" s="76"/>
      <c r="L116" s="76"/>
    </row>
    <row r="117" spans="2:12" ht="19.5" customHeight="1">
      <c r="B117" s="77" t="str">
        <f>IF($Q$36=0,"","🗓️ آخر حضور: "&amp;IF(ISNUMBER('حضور رفائيل'!H34),DAY('حضور رفائيل'!H34)&amp;"/"&amp;MONTH('حضور رفائيل'!H34)&amp;"/"&amp;YEAR('حضور رفائيل'!H34),"—")&amp;"   •   غياب متتالي: "&amp;'حضور رفائيل'!G34)</f>
        <v/>
      </c>
      <c r="C117" s="77"/>
      <c r="D117" s="77"/>
      <c r="F117" s="77" t="str">
        <f>IF($Q$37=0,"","🗓️ آخر حضور: "&amp;IF(ISNUMBER('حضور رفائيل'!H35),DAY('حضور رفائيل'!H35)&amp;"/"&amp;MONTH('حضور رفائيل'!H35)&amp;"/"&amp;YEAR('حضور رفائيل'!H35),"—")&amp;"   •   غياب متتالي: "&amp;'حضور رفائيل'!G35)</f>
        <v/>
      </c>
      <c r="G117" s="77"/>
      <c r="H117" s="77"/>
      <c r="J117" s="77" t="str">
        <f>IF($Q$38=0,"","🗓️ آخر حضور: "&amp;IF(ISNUMBER('حضور رفائيل'!H36),DAY('حضور رفائيل'!H36)&amp;"/"&amp;MONTH('حضور رفائيل'!H36)&amp;"/"&amp;YEAR('حضور رفائيل'!H36),"—")&amp;"   •   غياب متتالي: "&amp;'حضور رفائيل'!G36)</f>
        <v/>
      </c>
      <c r="K117" s="77"/>
      <c r="L117" s="77"/>
    </row>
    <row r="118" spans="2:12" ht="13.5" customHeight="1"/>
  </sheetData>
  <sheetProtection sheet="1"/>
  <mergeCells count="192">
    <mergeCell ref="B1:L1"/>
    <mergeCell ref="B2:C2"/>
    <mergeCell ref="D2:F2"/>
    <mergeCell ref="G2:H2"/>
    <mergeCell ref="J2:K2"/>
    <mergeCell ref="B4:D4"/>
    <mergeCell ref="F4:H4"/>
    <mergeCell ref="J4:L4"/>
    <mergeCell ref="B5:D5"/>
    <mergeCell ref="F5:H5"/>
    <mergeCell ref="J5:L5"/>
    <mergeCell ref="B6:L6"/>
    <mergeCell ref="B9:D9"/>
    <mergeCell ref="F9:H9"/>
    <mergeCell ref="J9:L9"/>
    <mergeCell ref="C10:D10"/>
    <mergeCell ref="G10:H10"/>
    <mergeCell ref="K10:L10"/>
    <mergeCell ref="B13:D13"/>
    <mergeCell ref="F13:H13"/>
    <mergeCell ref="J13:L13"/>
    <mergeCell ref="B14:D14"/>
    <mergeCell ref="F14:H14"/>
    <mergeCell ref="J14:L14"/>
    <mergeCell ref="B17:D17"/>
    <mergeCell ref="F17:H17"/>
    <mergeCell ref="J17:L17"/>
    <mergeCell ref="B18:D18"/>
    <mergeCell ref="F18:H18"/>
    <mergeCell ref="J18:L18"/>
    <mergeCell ref="B20:D20"/>
    <mergeCell ref="F20:H20"/>
    <mergeCell ref="J20:L20"/>
    <mergeCell ref="C21:D21"/>
    <mergeCell ref="G21:H21"/>
    <mergeCell ref="K21:L21"/>
    <mergeCell ref="B24:D24"/>
    <mergeCell ref="F24:H24"/>
    <mergeCell ref="J24:L24"/>
    <mergeCell ref="B25:D25"/>
    <mergeCell ref="F25:H25"/>
    <mergeCell ref="J25:L25"/>
    <mergeCell ref="B28:D28"/>
    <mergeCell ref="F28:H28"/>
    <mergeCell ref="J28:L28"/>
    <mergeCell ref="B29:D29"/>
    <mergeCell ref="F29:H29"/>
    <mergeCell ref="J29:L29"/>
    <mergeCell ref="B31:D31"/>
    <mergeCell ref="F31:H31"/>
    <mergeCell ref="J31:L31"/>
    <mergeCell ref="C32:D32"/>
    <mergeCell ref="G32:H32"/>
    <mergeCell ref="K32:L32"/>
    <mergeCell ref="B35:D35"/>
    <mergeCell ref="F35:H35"/>
    <mergeCell ref="J35:L35"/>
    <mergeCell ref="B36:D36"/>
    <mergeCell ref="F36:H36"/>
    <mergeCell ref="J36:L36"/>
    <mergeCell ref="B39:D39"/>
    <mergeCell ref="F39:H39"/>
    <mergeCell ref="J39:L39"/>
    <mergeCell ref="B40:D40"/>
    <mergeCell ref="F40:H40"/>
    <mergeCell ref="J40:L40"/>
    <mergeCell ref="B42:D42"/>
    <mergeCell ref="F42:H42"/>
    <mergeCell ref="J42:L42"/>
    <mergeCell ref="C43:D43"/>
    <mergeCell ref="G43:H43"/>
    <mergeCell ref="K43:L43"/>
    <mergeCell ref="B46:D46"/>
    <mergeCell ref="F46:H46"/>
    <mergeCell ref="J46:L46"/>
    <mergeCell ref="B47:D47"/>
    <mergeCell ref="F47:H47"/>
    <mergeCell ref="J47:L47"/>
    <mergeCell ref="B50:D50"/>
    <mergeCell ref="F50:H50"/>
    <mergeCell ref="J50:L50"/>
    <mergeCell ref="B51:D51"/>
    <mergeCell ref="F51:H51"/>
    <mergeCell ref="J51:L51"/>
    <mergeCell ref="B53:D53"/>
    <mergeCell ref="F53:H53"/>
    <mergeCell ref="J53:L53"/>
    <mergeCell ref="C54:D54"/>
    <mergeCell ref="G54:H54"/>
    <mergeCell ref="K54:L54"/>
    <mergeCell ref="B57:D57"/>
    <mergeCell ref="F57:H57"/>
    <mergeCell ref="J57:L57"/>
    <mergeCell ref="B58:D58"/>
    <mergeCell ref="F58:H58"/>
    <mergeCell ref="J58:L58"/>
    <mergeCell ref="B61:D61"/>
    <mergeCell ref="F61:H61"/>
    <mergeCell ref="J61:L61"/>
    <mergeCell ref="B62:D62"/>
    <mergeCell ref="F62:H62"/>
    <mergeCell ref="J62:L62"/>
    <mergeCell ref="B64:D64"/>
    <mergeCell ref="F64:H64"/>
    <mergeCell ref="J64:L64"/>
    <mergeCell ref="C65:D65"/>
    <mergeCell ref="G65:H65"/>
    <mergeCell ref="K65:L65"/>
    <mergeCell ref="B68:D68"/>
    <mergeCell ref="F68:H68"/>
    <mergeCell ref="J68:L68"/>
    <mergeCell ref="B69:D69"/>
    <mergeCell ref="F69:H69"/>
    <mergeCell ref="J69:L69"/>
    <mergeCell ref="B72:D72"/>
    <mergeCell ref="F72:H72"/>
    <mergeCell ref="J72:L72"/>
    <mergeCell ref="B73:D73"/>
    <mergeCell ref="F73:H73"/>
    <mergeCell ref="J73:L73"/>
    <mergeCell ref="B75:D75"/>
    <mergeCell ref="F75:H75"/>
    <mergeCell ref="J75:L75"/>
    <mergeCell ref="C76:D76"/>
    <mergeCell ref="G76:H76"/>
    <mergeCell ref="K76:L76"/>
    <mergeCell ref="B79:D79"/>
    <mergeCell ref="F79:H79"/>
    <mergeCell ref="J79:L79"/>
    <mergeCell ref="B80:D80"/>
    <mergeCell ref="F80:H80"/>
    <mergeCell ref="J80:L80"/>
    <mergeCell ref="B83:D83"/>
    <mergeCell ref="F83:H83"/>
    <mergeCell ref="J83:L83"/>
    <mergeCell ref="B84:D84"/>
    <mergeCell ref="F84:H84"/>
    <mergeCell ref="J84:L84"/>
    <mergeCell ref="B86:D86"/>
    <mergeCell ref="F86:H86"/>
    <mergeCell ref="J86:L86"/>
    <mergeCell ref="C87:D87"/>
    <mergeCell ref="G87:H87"/>
    <mergeCell ref="K87:L87"/>
    <mergeCell ref="B90:D90"/>
    <mergeCell ref="F90:H90"/>
    <mergeCell ref="J90:L90"/>
    <mergeCell ref="B91:D91"/>
    <mergeCell ref="F91:H91"/>
    <mergeCell ref="J91:L91"/>
    <mergeCell ref="B94:D94"/>
    <mergeCell ref="F94:H94"/>
    <mergeCell ref="J94:L94"/>
    <mergeCell ref="B95:D95"/>
    <mergeCell ref="F95:H95"/>
    <mergeCell ref="J95:L95"/>
    <mergeCell ref="B97:D97"/>
    <mergeCell ref="F97:H97"/>
    <mergeCell ref="J97:L97"/>
    <mergeCell ref="C98:D98"/>
    <mergeCell ref="G98:H98"/>
    <mergeCell ref="K98:L98"/>
    <mergeCell ref="B101:D101"/>
    <mergeCell ref="F101:H101"/>
    <mergeCell ref="J101:L101"/>
    <mergeCell ref="B102:D102"/>
    <mergeCell ref="F102:H102"/>
    <mergeCell ref="J102:L102"/>
    <mergeCell ref="B105:D105"/>
    <mergeCell ref="F105:H105"/>
    <mergeCell ref="J105:L105"/>
    <mergeCell ref="B106:D106"/>
    <mergeCell ref="F106:H106"/>
    <mergeCell ref="J106:L106"/>
    <mergeCell ref="B108:D108"/>
    <mergeCell ref="F108:H108"/>
    <mergeCell ref="J108:L108"/>
    <mergeCell ref="C109:D109"/>
    <mergeCell ref="G109:H109"/>
    <mergeCell ref="K109:L109"/>
    <mergeCell ref="B112:D112"/>
    <mergeCell ref="F112:H112"/>
    <mergeCell ref="J112:L112"/>
    <mergeCell ref="B113:D113"/>
    <mergeCell ref="F113:H113"/>
    <mergeCell ref="J113:L113"/>
    <mergeCell ref="B116:D116"/>
    <mergeCell ref="F116:H116"/>
    <mergeCell ref="J116:L116"/>
    <mergeCell ref="B117:D117"/>
    <mergeCell ref="F117:H117"/>
    <mergeCell ref="J117:L117"/>
  </mergeCells>
  <conditionalFormatting sqref="B10 F10 J10 B21 F21 J21 B32 F32 J32 B43 F43 J43 B54 F54 J54 B65 F65 J65 B76 F76 J76 B87 F87 J87 B98 F98 J98 B109 F109 J109">
    <cfRule type="expression" dxfId="99" priority="4">
      <formula>INDEX($R$9:$R$38,(INT((ROW()-9)/11)*3+INT((COLUMN()-2)/4)+1))="ولد"</formula>
    </cfRule>
    <cfRule type="expression" dxfId="98"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97"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96" priority="2">
      <formula>INDEX($S$9:$S$38,(INT((ROW()-9)/11)*3+INT((COLUMN()-2)/4)+1))=5</formula>
    </cfRule>
    <cfRule type="expression" dxfId="95"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94"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93"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92"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91" priority="17">
      <formula>INDEX($S$9:$S$38,(INT((ROW()-9)/11)*3+INT((COLUMN()-2)/4)+1))=1</formula>
    </cfRule>
    <cfRule type="expression" dxfId="90" priority="18">
      <formula>INDEX($S$9:$S$38,(INT((ROW()-9)/11)*3+INT((COLUMN()-2)/4)+1))=2</formula>
    </cfRule>
    <cfRule type="expression" dxfId="89" priority="19">
      <formula>INDEX($S$9:$S$38,(INT((ROW()-9)/11)*3+INT((COLUMN()-2)/4)+1))=3</formula>
    </cfRule>
    <cfRule type="expression" dxfId="88" priority="20">
      <formula>INDEX($S$9:$S$38,(INT((ROW()-9)/11)*3+INT((COLUMN()-2)/4)+1))=4</formula>
    </cfRule>
    <cfRule type="expression" dxfId="87"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86"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85" priority="6">
      <formula>INDEX($Q$9:$Q$38,(INT((ROW()-9)/11)*3+INT((COLUMN()-2)/4)+1))&gt;0</formula>
    </cfRule>
  </conditionalFormatting>
  <conditionalFormatting sqref="D16 H16 L16 D27 H27 L27 D38 H38 L38 D49 H49 L49 D60 H60 L60 D71 H71 L71 D82 H82 L82 D93 H93 L93 D104 H104 L104 D115 H115 L115">
    <cfRule type="expression" dxfId="84" priority="13">
      <formula>INDEX($S$9:$S$38,(INT((ROW()-9)/11)*3+INT((COLUMN()-2)/4)+1))=1</formula>
    </cfRule>
    <cfRule type="expression" dxfId="83" priority="14">
      <formula>INDEX($S$9:$S$38,(INT((ROW()-9)/11)*3+INT((COLUMN()-2)/4)+1))=2</formula>
    </cfRule>
    <cfRule type="expression" dxfId="82" priority="15">
      <formula>OR(INDEX($S$9:$S$38,(INT((ROW()-9)/11)*3+INT((COLUMN()-2)/4)+1))=3,INDEX($S$9:$S$38,(INT((ROW()-9)/11)*3+INT((COLUMN()-2)/4)+1))=4)</formula>
    </cfRule>
    <cfRule type="expression" dxfId="81"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B1:S118"/>
  <sheetViews>
    <sheetView showGridLines="0" rightToLeft="1" zoomScale="90" zoomScaleNormal="90" workbookViewId="0">
      <pane ySplit="2" topLeftCell="A3" activePane="bottomLeft" state="frozen"/>
      <selection pane="bottomLeft"/>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4" t="str">
        <f>"🪪 كروت أطفال ملاك "&amp;الإعدادات!$B$7</f>
        <v>🪪 كروت أطفال ملاك ميخائيل</v>
      </c>
      <c r="C1" s="144"/>
      <c r="D1" s="144"/>
      <c r="E1" s="144"/>
      <c r="F1" s="144"/>
      <c r="G1" s="144"/>
      <c r="H1" s="144"/>
      <c r="I1" s="144"/>
      <c r="J1" s="144"/>
      <c r="K1" s="144"/>
      <c r="L1" s="144"/>
    </row>
    <row r="2" spans="2:19" ht="30" customHeight="1">
      <c r="B2" s="83" t="str">
        <f>HYPERLINK("#'الرئيسية'!A1","🏠 الرئيسية")</f>
        <v>🏠 الرئيسية</v>
      </c>
      <c r="C2" s="83"/>
      <c r="D2" s="84" t="str">
        <f>HYPERLINK("#'قاعدة البيانات'!C"&amp;MIN(305,6+COUNTA('قاعدة البيانات'!$C$6:$C$305)),"➕ إضافة طفل جديد")</f>
        <v>➕ إضافة طفل جديد</v>
      </c>
      <c r="E2" s="84"/>
      <c r="F2" s="84"/>
      <c r="G2" s="145" t="str">
        <f>HYPERLINK("#'حضور ميخائيل'!A1","📅 حضور الفصل")</f>
        <v>📅 حضور الفصل</v>
      </c>
      <c r="H2" s="145"/>
      <c r="J2" s="83" t="str">
        <f>HYPERLINK("#'الافتقاد'!A1","📞 الافتقاد")</f>
        <v>📞 الافتقاد</v>
      </c>
      <c r="K2" s="83"/>
      <c r="L2" s="5" t="str">
        <f>HYPERLINK("#'قاعدة البيانات'!A1","📋 القاعدة")</f>
        <v>📋 القاعدة</v>
      </c>
    </row>
    <row r="3" spans="2:19" ht="7.5" customHeight="1"/>
    <row r="4" spans="2:19" ht="19.5" customHeight="1">
      <c r="B4" s="146" t="s">
        <v>52</v>
      </c>
      <c r="C4" s="146"/>
      <c r="D4" s="146"/>
      <c r="F4" s="146" t="s">
        <v>53</v>
      </c>
      <c r="G4" s="146"/>
      <c r="H4" s="146"/>
      <c r="J4" s="146" t="s">
        <v>54</v>
      </c>
      <c r="K4" s="146"/>
      <c r="L4" s="146"/>
    </row>
    <row r="5" spans="2:19" ht="37.5" customHeight="1">
      <c r="B5" s="147">
        <f>COUNTIFS('قاعدة البيانات'!$F$6:$F$305,الإعدادات!$B$7,'قاعدة البيانات'!$C$6:$C$305,"&lt;&gt;",'قاعدة البيانات'!$M$6:$M$305,"&lt;&gt;غير نشط")</f>
        <v>20</v>
      </c>
      <c r="C5" s="147"/>
      <c r="D5" s="147"/>
      <c r="F5" s="148" t="str">
        <f>"👦 "&amp;COUNTIFS('قاعدة البيانات'!$F$6:$F$305,الإعدادات!$B$7,'قاعدة البيانات'!$D$6:$D$305,"ولد",'قاعدة البيانات'!$C$6:$C$305,"&lt;&gt;",'قاعدة البيانات'!$M$6:$M$305,"&lt;&gt;غير نشط")&amp;"    👧 "&amp;COUNTIFS('قاعدة البيانات'!$F$6:$F$305,الإعدادات!$B$7,'قاعدة البيانات'!$D$6:$D$305,"بنت",'قاعدة البيانات'!$C$6:$C$305,"&lt;&gt;",'قاعدة البيانات'!$M$6:$M$305,"&lt;&gt;غير نشط")</f>
        <v>👦 0    👧 0</v>
      </c>
      <c r="G5" s="148"/>
      <c r="H5" s="148"/>
      <c r="J5" s="149" t="str">
        <f>IFERROR(SUM('حضور ميخائيل'!C7:C36)/(SUM('حضور ميخائيل'!C7:C36)+SUM('حضور ميخائيل'!D7:D36)),"—")</f>
        <v>—</v>
      </c>
      <c r="K5" s="149"/>
      <c r="L5" s="149"/>
    </row>
    <row r="6" spans="2:19" ht="21.75" customHeight="1">
      <c r="B6" s="81" t="str">
        <f>"📅 جمع مسجلة: "&amp;COUNT('حضور ميخائيل'!J4:BJ4)&amp;"        ⚠️ محتاجين افتقاد: "&amp;(COUNTIFS('قاعدة البيانات'!$F$6:$F$305,الإعدادات!$B$7,'قاعدة البيانات'!$V$6:$V$305,3)+COUNTIFS('قاعدة البيانات'!$F$6:$F$305,الإعدادات!$B$7,'قاعدة البيانات'!$V$6:$V$305,4))&amp;"        🆓 أماكن فاضية: "&amp;(30-COUNTIFS('قاعدة البيانات'!$F$6:$F$305,الإعدادات!$B$7,'قاعدة البيانات'!$C$6:$C$305,"&lt;&gt;"))</f>
        <v>📅 جمع مسجلة: 0        ⚠️ محتاجين افتقاد: 0        🆓 أماكن فاضية: 10</v>
      </c>
      <c r="C6" s="81"/>
      <c r="D6" s="81"/>
      <c r="E6" s="81"/>
      <c r="F6" s="81"/>
      <c r="G6" s="81"/>
      <c r="H6" s="81"/>
      <c r="I6" s="81"/>
      <c r="J6" s="81"/>
      <c r="K6" s="81"/>
      <c r="L6" s="81"/>
    </row>
    <row r="7" spans="2:19" ht="7.5" customHeight="1"/>
    <row r="8" spans="2:19" ht="6" customHeight="1"/>
    <row r="9" spans="2:19" ht="30" customHeight="1">
      <c r="B9" s="78" t="str">
        <f>IF($Q$9=0,"",IF(INDEX('قاعدة البيانات'!$D$6:$D$305,$Q$9)="بنت","👧 ","👦 ")&amp;INDEX('قاعدة البيانات'!$C$6:$C$305,$Q$9))</f>
        <v xml:space="preserve">👦 ابانوب منير وديع </v>
      </c>
      <c r="C9" s="78"/>
      <c r="D9" s="78"/>
      <c r="F9" s="78" t="str">
        <f>IF($Q$10=0,"",IF(INDEX('قاعدة البيانات'!$D$6:$D$305,$Q$10)="بنت","👧 ","👦 ")&amp;INDEX('قاعدة البيانات'!$C$6:$C$305,$Q$10))</f>
        <v xml:space="preserve">👦 اماليا جون حلمى </v>
      </c>
      <c r="G9" s="78"/>
      <c r="H9" s="78"/>
      <c r="J9" s="78" t="str">
        <f>IF($Q$11=0,"",IF(INDEX('قاعدة البيانات'!$D$6:$D$305,$Q$11)="بنت","👧 ","👦 ")&amp;INDEX('قاعدة البيانات'!$C$6:$C$305,$Q$11))</f>
        <v xml:space="preserve">👦 ايفان رامى نجيب </v>
      </c>
      <c r="K9" s="78"/>
      <c r="L9" s="78"/>
      <c r="P9">
        <v>1</v>
      </c>
      <c r="Q9">
        <f>'حضور ميخائيل'!BL7</f>
        <v>49</v>
      </c>
      <c r="R9">
        <f>IF(Q9=0,"",INDEX('قاعدة البيانات'!$D$6:$D$305,Q9))</f>
        <v>0</v>
      </c>
      <c r="S9">
        <f>'حضور ميخائيل'!BM7</f>
        <v>0</v>
      </c>
    </row>
    <row r="10" spans="2:19" ht="108" customHeight="1">
      <c r="B10" s="24" t="str">
        <f>IF($Q$9=0,"",IF(ISBLANK(INDEX('قاعدة البيانات'!$K$6:$K$305,$Q$9)),LEFT(INDEX('قاعدة البيانات'!$C$6:$C$305,$Q$9),1),INDEX('قاعدة البيانات'!$K$6:$K$305,$Q$9)))</f>
        <v>ا</v>
      </c>
      <c r="C10" s="79"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B-049
🎓 سنة أولى
🚶 يروح لوحده: —
📝 مفيش ملاحظات</v>
      </c>
      <c r="D10" s="79"/>
      <c r="F10" s="24" t="str">
        <f>IF($Q$10=0,"",IF(ISBLANK(INDEX('قاعدة البيانات'!$K$6:$K$305,$Q$10)),LEFT(INDEX('قاعدة البيانات'!$C$6:$C$305,$Q$10),1),INDEX('قاعدة البيانات'!$K$6:$K$305,$Q$10)))</f>
        <v>ا</v>
      </c>
      <c r="G10" s="79"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B-050
🎓 سنة أولى
🚶 يروح لوحده: —
📝 مفيش ملاحظات</v>
      </c>
      <c r="H10" s="79"/>
      <c r="J10" s="24" t="str">
        <f>IF($Q$11=0,"",IF(ISBLANK(INDEX('قاعدة البيانات'!$K$6:$K$305,$Q$11)),LEFT(INDEX('قاعدة البيانات'!$C$6:$C$305,$Q$11),1),INDEX('قاعدة البيانات'!$K$6:$K$305,$Q$11)))</f>
        <v>ا</v>
      </c>
      <c r="K10" s="79"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B-051
🎓 سنة أولى
🚶 يروح لوحده: —
📝 مفيش ملاحظات</v>
      </c>
      <c r="L10" s="79"/>
      <c r="P10">
        <v>2</v>
      </c>
      <c r="Q10">
        <f>'حضور ميخائيل'!BL8</f>
        <v>50</v>
      </c>
      <c r="R10">
        <f>IF(Q10=0,"",INDEX('قاعدة البيانات'!$D$6:$D$305,Q10))</f>
        <v>0</v>
      </c>
      <c r="S10">
        <f>'حضور ميخائيل'!BM8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01212074732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01276233526</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01283805796</v>
      </c>
      <c r="L11" s="27" t="str">
        <f>IF(OR($Q$11=0,INDEX('قاعدة البيانات'!$H$6:$H$305,$Q$11)=""),"",HYPERLINK("https://wa.me/20"&amp;RIGHT(INDEX('قاعدة البيانات'!$H$6:$H$305,$Q$11),10),"💬 واتساب"))</f>
        <v>💬 واتساب</v>
      </c>
      <c r="P11">
        <v>3</v>
      </c>
      <c r="Q11">
        <f>'حضور ميخائيل'!BL9</f>
        <v>51</v>
      </c>
      <c r="R11">
        <f>IF(Q11=0,"",INDEX('قاعدة البيانات'!$D$6:$D$305,Q11))</f>
        <v>0</v>
      </c>
      <c r="S11">
        <f>'حضور ميخائيل'!BM9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01224151421</v>
      </c>
      <c r="L12" s="27" t="str">
        <f>IF(OR($Q$11=0,INDEX('قاعدة البيانات'!$I$6:$I$305,$Q$11)=""),"",HYPERLINK("https://wa.me/20"&amp;RIGHT(INDEX('قاعدة البيانات'!$I$6:$I$305,$Q$11),10),"💬 واتساب"))</f>
        <v>💬 واتساب</v>
      </c>
      <c r="P12">
        <v>4</v>
      </c>
      <c r="Q12">
        <f>'حضور ميخائيل'!BL10</f>
        <v>52</v>
      </c>
      <c r="R12">
        <f>IF(Q12=0,"",INDEX('قاعدة البيانات'!$D$6:$D$305,Q12))</f>
        <v>0</v>
      </c>
      <c r="S12">
        <f>'حضور ميخائيل'!BM10</f>
        <v>0</v>
      </c>
    </row>
    <row r="13" spans="2:19" ht="37.5" customHeight="1">
      <c r="B13" s="80" t="str">
        <f>IF($Q$9=0,"","📍 "&amp;IF(INDEX('قاعدة البيانات'!$J$6:$J$305,$Q$9)="","— مفيش عنوان —",INDEX('قاعدة البيانات'!$J$6:$J$305,$Q$9)))</f>
        <v>📍 11 شارع نصر الدين محمد  الدور 3</v>
      </c>
      <c r="C13" s="80"/>
      <c r="D13" s="80"/>
      <c r="F13" s="80" t="str">
        <f>IF($Q$10=0,"","📍 "&amp;IF(INDEX('قاعدة البيانات'!$J$6:$J$305,$Q$10)="","— مفيش عنوان —",INDEX('قاعدة البيانات'!$J$6:$J$305,$Q$10)))</f>
        <v xml:space="preserve">📍 19 شارع 6 اكتوبر متفرع من جمال عبد الناصر الحرفين </v>
      </c>
      <c r="G13" s="80"/>
      <c r="H13" s="80"/>
      <c r="J13" s="80" t="str">
        <f>IF($Q$11=0,"","📍 "&amp;IF(INDEX('قاعدة البيانات'!$J$6:$J$305,$Q$11)="","— مفيش عنوان —",INDEX('قاعدة البيانات'!$J$6:$J$305,$Q$11)))</f>
        <v>📍 89 شارع محمد البوصيري - النزهة شقة 1 دور 3</v>
      </c>
      <c r="K13" s="80"/>
      <c r="L13" s="80"/>
      <c r="P13">
        <v>5</v>
      </c>
      <c r="Q13">
        <f>'حضور ميخائيل'!BL11</f>
        <v>53</v>
      </c>
      <c r="R13">
        <f>IF(Q13=0,"",INDEX('قاعدة البيانات'!$D$6:$D$305,Q13))</f>
        <v>0</v>
      </c>
      <c r="S13">
        <f>'حضور ميخائيل'!BM11</f>
        <v>0</v>
      </c>
    </row>
    <row r="14" spans="2:19" ht="21.75" customHeight="1">
      <c r="B14" s="75" t="str">
        <f>IF($Q$9=0,"","📊 إحصائيات الحضور")</f>
        <v>📊 إحصائيات الحضور</v>
      </c>
      <c r="C14" s="75"/>
      <c r="D14" s="75"/>
      <c r="F14" s="75" t="str">
        <f>IF($Q$10=0,"","📊 إحصائيات الحضور")</f>
        <v>📊 إحصائيات الحضور</v>
      </c>
      <c r="G14" s="75"/>
      <c r="H14" s="75"/>
      <c r="J14" s="75" t="str">
        <f>IF($Q$11=0,"","📊 إحصائيات الحضور")</f>
        <v>📊 إحصائيات الحضور</v>
      </c>
      <c r="K14" s="75"/>
      <c r="L14" s="75"/>
      <c r="P14">
        <v>6</v>
      </c>
      <c r="Q14">
        <f>'حضور ميخائيل'!BL12</f>
        <v>54</v>
      </c>
      <c r="R14">
        <f>IF(Q14=0,"",INDEX('قاعدة البيانات'!$D$6:$D$305,Q14))</f>
        <v>0</v>
      </c>
      <c r="S14">
        <f>'حضور ميخائيل'!BM12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ميخائيل'!BL13</f>
        <v>55</v>
      </c>
      <c r="R15">
        <f>IF(Q15=0,"",INDEX('قاعدة البيانات'!$D$6:$D$305,Q15))</f>
        <v>0</v>
      </c>
      <c r="S15">
        <f>'حضور ميخائيل'!BM13</f>
        <v>0</v>
      </c>
    </row>
    <row r="16" spans="2:19" ht="33.75" customHeight="1">
      <c r="B16" s="29">
        <f>'حضور ميخائيل'!C7</f>
        <v>0</v>
      </c>
      <c r="C16" s="30">
        <f>'حضور ميخائيل'!D7</f>
        <v>0</v>
      </c>
      <c r="D16" s="31" t="str">
        <f>'حضور ميخائيل'!F7</f>
        <v/>
      </c>
      <c r="F16" s="29">
        <f>'حضور ميخائيل'!C8</f>
        <v>0</v>
      </c>
      <c r="G16" s="30">
        <f>'حضور ميخائيل'!D8</f>
        <v>0</v>
      </c>
      <c r="H16" s="31" t="str">
        <f>'حضور ميخائيل'!F8</f>
        <v/>
      </c>
      <c r="J16" s="29">
        <f>'حضور ميخائيل'!C9</f>
        <v>0</v>
      </c>
      <c r="K16" s="30">
        <f>'حضور ميخائيل'!D9</f>
        <v>0</v>
      </c>
      <c r="L16" s="31" t="str">
        <f>'حضور ميخائيل'!F9</f>
        <v/>
      </c>
      <c r="P16">
        <v>8</v>
      </c>
      <c r="Q16">
        <f>'حضور ميخائيل'!BL14</f>
        <v>56</v>
      </c>
      <c r="R16">
        <f>IF(Q16=0,"",INDEX('قاعدة البيانات'!$D$6:$D$305,Q16))</f>
        <v>0</v>
      </c>
      <c r="S16">
        <f>'حضور ميخائيل'!BM14</f>
        <v>0</v>
      </c>
    </row>
    <row r="17" spans="2:19" ht="24" customHeight="1">
      <c r="B17" s="76" t="str">
        <f>'حضور ميخائيل'!I7</f>
        <v>⏳ لسه مفيش حضور</v>
      </c>
      <c r="C17" s="76"/>
      <c r="D17" s="76"/>
      <c r="F17" s="76" t="str">
        <f>'حضور ميخائيل'!I8</f>
        <v>⏳ لسه مفيش حضور</v>
      </c>
      <c r="G17" s="76"/>
      <c r="H17" s="76"/>
      <c r="J17" s="76" t="str">
        <f>'حضور ميخائيل'!I9</f>
        <v>⏳ لسه مفيش حضور</v>
      </c>
      <c r="K17" s="76"/>
      <c r="L17" s="76"/>
      <c r="P17">
        <v>9</v>
      </c>
      <c r="Q17">
        <f>'حضور ميخائيل'!BL15</f>
        <v>57</v>
      </c>
      <c r="R17">
        <f>IF(Q17=0,"",INDEX('قاعدة البيانات'!$D$6:$D$305,Q17))</f>
        <v>0</v>
      </c>
      <c r="S17">
        <f>'حضور ميخائيل'!BM15</f>
        <v>0</v>
      </c>
    </row>
    <row r="18" spans="2:19" ht="19.5" customHeight="1">
      <c r="B18" s="77" t="str">
        <f>IF($Q$9=0,"","🗓️ آخر حضور: "&amp;IF(ISNUMBER('حضور ميخائيل'!H7),DAY('حضور ميخائيل'!H7)&amp;"/"&amp;MONTH('حضور ميخائيل'!H7)&amp;"/"&amp;YEAR('حضور ميخائيل'!H7),"—")&amp;"   •   غياب متتالي: "&amp;'حضور ميخائيل'!G7)</f>
        <v>🗓️ آخر حضور: —   •   غياب متتالي: 0</v>
      </c>
      <c r="C18" s="77"/>
      <c r="D18" s="77"/>
      <c r="F18" s="77" t="str">
        <f>IF($Q$10=0,"","🗓️ آخر حضور: "&amp;IF(ISNUMBER('حضور ميخائيل'!H8),DAY('حضور ميخائيل'!H8)&amp;"/"&amp;MONTH('حضور ميخائيل'!H8)&amp;"/"&amp;YEAR('حضور ميخائيل'!H8),"—")&amp;"   •   غياب متتالي: "&amp;'حضور ميخائيل'!G8)</f>
        <v>🗓️ آخر حضور: —   •   غياب متتالي: 0</v>
      </c>
      <c r="G18" s="77"/>
      <c r="H18" s="77"/>
      <c r="J18" s="77" t="str">
        <f>IF($Q$11=0,"","🗓️ آخر حضور: "&amp;IF(ISNUMBER('حضور ميخائيل'!H9),DAY('حضور ميخائيل'!H9)&amp;"/"&amp;MONTH('حضور ميخائيل'!H9)&amp;"/"&amp;YEAR('حضور ميخائيل'!H9),"—")&amp;"   •   غياب متتالي: "&amp;'حضور ميخائيل'!G9)</f>
        <v>🗓️ آخر حضور: —   •   غياب متتالي: 0</v>
      </c>
      <c r="K18" s="77"/>
      <c r="L18" s="77"/>
      <c r="P18">
        <v>10</v>
      </c>
      <c r="Q18">
        <f>'حضور ميخائيل'!BL16</f>
        <v>58</v>
      </c>
      <c r="R18">
        <f>IF(Q18=0,"",INDEX('قاعدة البيانات'!$D$6:$D$305,Q18))</f>
        <v>0</v>
      </c>
      <c r="S18">
        <f>'حضور ميخائيل'!BM16</f>
        <v>0</v>
      </c>
    </row>
    <row r="19" spans="2:19" ht="13.5" customHeight="1">
      <c r="P19">
        <v>11</v>
      </c>
      <c r="Q19">
        <f>'حضور ميخائيل'!BL17</f>
        <v>59</v>
      </c>
      <c r="R19">
        <f>IF(Q19=0,"",INDEX('قاعدة البيانات'!$D$6:$D$305,Q19))</f>
        <v>0</v>
      </c>
      <c r="S19">
        <f>'حضور ميخائيل'!BM17</f>
        <v>0</v>
      </c>
    </row>
    <row r="20" spans="2:19" ht="30" customHeight="1">
      <c r="B20" s="78" t="str">
        <f>IF($Q$12=0,"",IF(INDEX('قاعدة البيانات'!$D$6:$D$305,$Q$12)="بنت","👧 ","👦 ")&amp;INDEX('قاعدة البيانات'!$C$6:$C$305,$Q$12))</f>
        <v xml:space="preserve">👦 بتول سامح عطية </v>
      </c>
      <c r="C20" s="78"/>
      <c r="D20" s="78"/>
      <c r="F20" s="78" t="str">
        <f>IF($Q$13=0,"",IF(INDEX('قاعدة البيانات'!$D$6:$D$305,$Q$13)="بنت","👧 ","👦 ")&amp;INDEX('قاعدة البيانات'!$C$6:$C$305,$Q$13))</f>
        <v xml:space="preserve">👦 بولا ميلاد لبيب </v>
      </c>
      <c r="G20" s="78"/>
      <c r="H20" s="78"/>
      <c r="J20" s="78" t="str">
        <f>IF($Q$14=0,"",IF(INDEX('قاعدة البيانات'!$D$6:$D$305,$Q$14)="بنت","👧 ","👦 ")&amp;INDEX('قاعدة البيانات'!$C$6:$C$305,$Q$14))</f>
        <v xml:space="preserve">👦 جوناثان هانى مجدى </v>
      </c>
      <c r="K20" s="78"/>
      <c r="L20" s="78"/>
      <c r="P20">
        <v>12</v>
      </c>
      <c r="Q20">
        <f>'حضور ميخائيل'!BL18</f>
        <v>60</v>
      </c>
      <c r="R20">
        <f>IF(Q20=0,"",INDEX('قاعدة البيانات'!$D$6:$D$305,Q20))</f>
        <v>0</v>
      </c>
      <c r="S20">
        <f>'حضور ميخائيل'!BM18</f>
        <v>0</v>
      </c>
    </row>
    <row r="21" spans="2:19" ht="108" customHeight="1">
      <c r="B21" s="24" t="str">
        <f>IF($Q$12=0,"",IF(ISBLANK(INDEX('قاعدة البيانات'!$K$6:$K$305,$Q$12)),LEFT(INDEX('قاعدة البيانات'!$C$6:$C$305,$Q$12),1),INDEX('قاعدة البيانات'!$K$6:$K$305,$Q$12)))</f>
        <v>ب</v>
      </c>
      <c r="C21" s="79"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B-052
🎓 سنة أولى
🚶 يروح لوحده: —
📝 مفيش ملاحظات</v>
      </c>
      <c r="D21" s="79"/>
      <c r="F21" s="24" t="str">
        <f>IF($Q$13=0,"",IF(ISBLANK(INDEX('قاعدة البيانات'!$K$6:$K$305,$Q$13)),LEFT(INDEX('قاعدة البيانات'!$C$6:$C$305,$Q$13),1),INDEX('قاعدة البيانات'!$K$6:$K$305,$Q$13)))</f>
        <v>ب</v>
      </c>
      <c r="G21" s="79"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B-053
🎓 سنة أولى
🚶 يروح لوحده: —
📝 مفيش ملاحظات</v>
      </c>
      <c r="H21" s="79"/>
      <c r="J21" s="24" t="str">
        <f>IF($Q$14=0,"",IF(ISBLANK(INDEX('قاعدة البيانات'!$K$6:$K$305,$Q$14)),LEFT(INDEX('قاعدة البيانات'!$C$6:$C$305,$Q$14),1),INDEX('قاعدة البيانات'!$K$6:$K$305,$Q$14)))</f>
        <v>ج</v>
      </c>
      <c r="K21" s="79"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B-054
🎓 سنة أولى
🚶 يروح لوحده: —
📝 مفيش ملاحظات</v>
      </c>
      <c r="L21" s="79"/>
      <c r="P21">
        <v>13</v>
      </c>
      <c r="Q21">
        <f>'حضور ميخائيل'!BL19</f>
        <v>61</v>
      </c>
      <c r="R21">
        <f>IF(Q21=0,"",INDEX('قاعدة البيانات'!$D$6:$D$305,Q21))</f>
        <v>0</v>
      </c>
      <c r="S21">
        <f>'حضور ميخائيل'!BM19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01276651727</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01226092138</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مفيش رقم —</v>
      </c>
      <c r="L22" s="27" t="str">
        <f>IF(OR($Q$14=0,INDEX('قاعدة البيانات'!$H$6:$H$305,$Q$14)=""),"",HYPERLINK("https://wa.me/20"&amp;RIGHT(INDEX('قاعدة البيانات'!$H$6:$H$305,$Q$14),10),"💬 واتساب"))</f>
        <v/>
      </c>
      <c r="P22">
        <v>14</v>
      </c>
      <c r="Q22">
        <f>'حضور ميخائيل'!BL20</f>
        <v>62</v>
      </c>
      <c r="R22">
        <f>IF(Q22=0,"",INDEX('قاعدة البيانات'!$D$6:$D$305,Q22))</f>
        <v>0</v>
      </c>
      <c r="S22">
        <f>'حضور ميخائيل'!BM20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01226847429</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01271519003</v>
      </c>
      <c r="L23" s="27" t="str">
        <f>IF(OR($Q$14=0,INDEX('قاعدة البيانات'!$I$6:$I$305,$Q$14)=""),"",HYPERLINK("https://wa.me/20"&amp;RIGHT(INDEX('قاعدة البيانات'!$I$6:$I$305,$Q$14),10),"💬 واتساب"))</f>
        <v>💬 واتساب</v>
      </c>
      <c r="P23">
        <v>15</v>
      </c>
      <c r="Q23">
        <f>'حضور ميخائيل'!BL21</f>
        <v>63</v>
      </c>
      <c r="R23">
        <f>IF(Q23=0,"",INDEX('قاعدة البيانات'!$D$6:$D$305,Q23))</f>
        <v>0</v>
      </c>
      <c r="S23">
        <f>'حضور ميخائيل'!BM21</f>
        <v>0</v>
      </c>
    </row>
    <row r="24" spans="2:19" ht="37.5" customHeight="1">
      <c r="B24" s="80" t="str">
        <f>IF($Q$12=0,"","📍 "&amp;IF(INDEX('قاعدة البيانات'!$J$6:$J$305,$Q$12)="","— مفيش عنوان —",INDEX('قاعدة البيانات'!$J$6:$J$305,$Q$12)))</f>
        <v>📍 — مفيش عنوان —</v>
      </c>
      <c r="C24" s="80"/>
      <c r="D24" s="80"/>
      <c r="F24" s="80" t="str">
        <f>IF($Q$13=0,"","📍 "&amp;IF(INDEX('قاعدة البيانات'!$J$6:$J$305,$Q$13)="","— مفيش عنوان —",INDEX('قاعدة البيانات'!$J$6:$J$305,$Q$13)))</f>
        <v xml:space="preserve">📍 18 شارع زمزم متفرع من سيد حمادة الخصوص </v>
      </c>
      <c r="G24" s="80"/>
      <c r="H24" s="80"/>
      <c r="J24" s="80" t="str">
        <f>IF($Q$14=0,"","📍 "&amp;IF(INDEX('قاعدة البيانات'!$J$6:$J$305,$Q$14)="","— مفيش عنوان —",INDEX('قاعدة البيانات'!$J$6:$J$305,$Q$14)))</f>
        <v xml:space="preserve">📍 890 شارع بورسعيد المليحة شقة 6 دور 3 </v>
      </c>
      <c r="K24" s="80"/>
      <c r="L24" s="80"/>
      <c r="P24">
        <v>16</v>
      </c>
      <c r="Q24">
        <f>'حضور ميخائيل'!BL22</f>
        <v>64</v>
      </c>
      <c r="R24">
        <f>IF(Q24=0,"",INDEX('قاعدة البيانات'!$D$6:$D$305,Q24))</f>
        <v>0</v>
      </c>
      <c r="S24">
        <f>'حضور ميخائيل'!BM22</f>
        <v>0</v>
      </c>
    </row>
    <row r="25" spans="2:19" ht="21.75" customHeight="1">
      <c r="B25" s="75" t="str">
        <f>IF($Q$12=0,"","📊 إحصائيات الحضور")</f>
        <v>📊 إحصائيات الحضور</v>
      </c>
      <c r="C25" s="75"/>
      <c r="D25" s="75"/>
      <c r="F25" s="75" t="str">
        <f>IF($Q$13=0,"","📊 إحصائيات الحضور")</f>
        <v>📊 إحصائيات الحضور</v>
      </c>
      <c r="G25" s="75"/>
      <c r="H25" s="75"/>
      <c r="J25" s="75" t="str">
        <f>IF($Q$14=0,"","📊 إحصائيات الحضور")</f>
        <v>📊 إحصائيات الحضور</v>
      </c>
      <c r="K25" s="75"/>
      <c r="L25" s="75"/>
      <c r="P25">
        <v>17</v>
      </c>
      <c r="Q25">
        <f>'حضور ميخائيل'!BL23</f>
        <v>65</v>
      </c>
      <c r="R25">
        <f>IF(Q25=0,"",INDEX('قاعدة البيانات'!$D$6:$D$305,Q25))</f>
        <v>0</v>
      </c>
      <c r="S25">
        <f>'حضور ميخائيل'!BM23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ميخائيل'!BL24</f>
        <v>66</v>
      </c>
      <c r="R26">
        <f>IF(Q26=0,"",INDEX('قاعدة البيانات'!$D$6:$D$305,Q26))</f>
        <v>0</v>
      </c>
      <c r="S26">
        <f>'حضور ميخائيل'!BM24</f>
        <v>0</v>
      </c>
    </row>
    <row r="27" spans="2:19" ht="33.75" customHeight="1">
      <c r="B27" s="29">
        <f>'حضور ميخائيل'!C10</f>
        <v>0</v>
      </c>
      <c r="C27" s="30">
        <f>'حضور ميخائيل'!D10</f>
        <v>0</v>
      </c>
      <c r="D27" s="31" t="str">
        <f>'حضور ميخائيل'!F10</f>
        <v/>
      </c>
      <c r="F27" s="29">
        <f>'حضور ميخائيل'!C11</f>
        <v>0</v>
      </c>
      <c r="G27" s="30">
        <f>'حضور ميخائيل'!D11</f>
        <v>0</v>
      </c>
      <c r="H27" s="31" t="str">
        <f>'حضور ميخائيل'!F11</f>
        <v/>
      </c>
      <c r="J27" s="29">
        <f>'حضور ميخائيل'!C12</f>
        <v>0</v>
      </c>
      <c r="K27" s="30">
        <f>'حضور ميخائيل'!D12</f>
        <v>0</v>
      </c>
      <c r="L27" s="31" t="str">
        <f>'حضور ميخائيل'!F12</f>
        <v/>
      </c>
      <c r="P27">
        <v>19</v>
      </c>
      <c r="Q27">
        <f>'حضور ميخائيل'!BL25</f>
        <v>67</v>
      </c>
      <c r="R27">
        <f>IF(Q27=0,"",INDEX('قاعدة البيانات'!$D$6:$D$305,Q27))</f>
        <v>0</v>
      </c>
      <c r="S27">
        <f>'حضور ميخائيل'!BM25</f>
        <v>0</v>
      </c>
    </row>
    <row r="28" spans="2:19" ht="24" customHeight="1">
      <c r="B28" s="76" t="str">
        <f>'حضور ميخائيل'!I10</f>
        <v>⏳ لسه مفيش حضور</v>
      </c>
      <c r="C28" s="76"/>
      <c r="D28" s="76"/>
      <c r="F28" s="76" t="str">
        <f>'حضور ميخائيل'!I11</f>
        <v>⏳ لسه مفيش حضور</v>
      </c>
      <c r="G28" s="76"/>
      <c r="H28" s="76"/>
      <c r="J28" s="76" t="str">
        <f>'حضور ميخائيل'!I12</f>
        <v>⏳ لسه مفيش حضور</v>
      </c>
      <c r="K28" s="76"/>
      <c r="L28" s="76"/>
      <c r="P28">
        <v>20</v>
      </c>
      <c r="Q28">
        <f>'حضور ميخائيل'!BL26</f>
        <v>68</v>
      </c>
      <c r="R28">
        <f>IF(Q28=0,"",INDEX('قاعدة البيانات'!$D$6:$D$305,Q28))</f>
        <v>0</v>
      </c>
      <c r="S28">
        <f>'حضور ميخائيل'!BM26</f>
        <v>0</v>
      </c>
    </row>
    <row r="29" spans="2:19" ht="19.5" customHeight="1">
      <c r="B29" s="77" t="str">
        <f>IF($Q$12=0,"","🗓️ آخر حضور: "&amp;IF(ISNUMBER('حضور ميخائيل'!H10),DAY('حضور ميخائيل'!H10)&amp;"/"&amp;MONTH('حضور ميخائيل'!H10)&amp;"/"&amp;YEAR('حضور ميخائيل'!H10),"—")&amp;"   •   غياب متتالي: "&amp;'حضور ميخائيل'!G10)</f>
        <v>🗓️ آخر حضور: —   •   غياب متتالي: 0</v>
      </c>
      <c r="C29" s="77"/>
      <c r="D29" s="77"/>
      <c r="F29" s="77" t="str">
        <f>IF($Q$13=0,"","🗓️ آخر حضور: "&amp;IF(ISNUMBER('حضور ميخائيل'!H11),DAY('حضور ميخائيل'!H11)&amp;"/"&amp;MONTH('حضور ميخائيل'!H11)&amp;"/"&amp;YEAR('حضور ميخائيل'!H11),"—")&amp;"   •   غياب متتالي: "&amp;'حضور ميخائيل'!G11)</f>
        <v>🗓️ آخر حضور: —   •   غياب متتالي: 0</v>
      </c>
      <c r="G29" s="77"/>
      <c r="H29" s="77"/>
      <c r="J29" s="77" t="str">
        <f>IF($Q$14=0,"","🗓️ آخر حضور: "&amp;IF(ISNUMBER('حضور ميخائيل'!H12),DAY('حضور ميخائيل'!H12)&amp;"/"&amp;MONTH('حضور ميخائيل'!H12)&amp;"/"&amp;YEAR('حضور ميخائيل'!H12),"—")&amp;"   •   غياب متتالي: "&amp;'حضور ميخائيل'!G12)</f>
        <v>🗓️ آخر حضور: —   •   غياب متتالي: 0</v>
      </c>
      <c r="K29" s="77"/>
      <c r="L29" s="77"/>
      <c r="P29">
        <v>21</v>
      </c>
      <c r="Q29">
        <f>'حضور ميخائيل'!BL27</f>
        <v>0</v>
      </c>
      <c r="R29" t="str">
        <f>IF(Q29=0,"",INDEX('قاعدة البيانات'!$D$6:$D$305,Q29))</f>
        <v/>
      </c>
      <c r="S29">
        <f>'حضور ميخائيل'!BM27</f>
        <v>0</v>
      </c>
    </row>
    <row r="30" spans="2:19" ht="13.5" customHeight="1">
      <c r="P30">
        <v>22</v>
      </c>
      <c r="Q30">
        <f>'حضور ميخائيل'!BL28</f>
        <v>0</v>
      </c>
      <c r="R30" t="str">
        <f>IF(Q30=0,"",INDEX('قاعدة البيانات'!$D$6:$D$305,Q30))</f>
        <v/>
      </c>
      <c r="S30">
        <f>'حضور ميخائيل'!BM28</f>
        <v>0</v>
      </c>
    </row>
    <row r="31" spans="2:19" ht="30" customHeight="1">
      <c r="B31" s="78" t="str">
        <f>IF($Q$15=0,"",IF(INDEX('قاعدة البيانات'!$D$6:$D$305,$Q$15)="بنت","👧 ","👦 ")&amp;INDEX('قاعدة البيانات'!$C$6:$C$305,$Q$15))</f>
        <v>👦 جونيستا يوسف فرج</v>
      </c>
      <c r="C31" s="78"/>
      <c r="D31" s="78"/>
      <c r="F31" s="78" t="str">
        <f>IF($Q$16=0,"",IF(INDEX('قاعدة البيانات'!$D$6:$D$305,$Q$16)="بنت","👧 ","👦 ")&amp;INDEX('قاعدة البيانات'!$C$6:$C$305,$Q$16))</f>
        <v>👦 جيسي عصام اسعد</v>
      </c>
      <c r="G31" s="78"/>
      <c r="H31" s="78"/>
      <c r="J31" s="78" t="str">
        <f>IF($Q$17=0,"",IF(INDEX('قاعدة البيانات'!$D$6:$D$305,$Q$17)="بنت","👧 ","👦 ")&amp;INDEX('قاعدة البيانات'!$C$6:$C$305,$Q$17))</f>
        <v xml:space="preserve">👦 فيلومينا جون رزق الله </v>
      </c>
      <c r="K31" s="78"/>
      <c r="L31" s="78"/>
      <c r="P31">
        <v>23</v>
      </c>
      <c r="Q31">
        <f>'حضور ميخائيل'!BL29</f>
        <v>0</v>
      </c>
      <c r="R31" t="str">
        <f>IF(Q31=0,"",INDEX('قاعدة البيانات'!$D$6:$D$305,Q31))</f>
        <v/>
      </c>
      <c r="S31">
        <f>'حضور ميخائيل'!BM29</f>
        <v>0</v>
      </c>
    </row>
    <row r="32" spans="2:19" ht="108" customHeight="1">
      <c r="B32" s="24" t="str">
        <f>IF($Q$15=0,"",IF(ISBLANK(INDEX('قاعدة البيانات'!$K$6:$K$305,$Q$15)),LEFT(INDEX('قاعدة البيانات'!$C$6:$C$305,$Q$15),1),INDEX('قاعدة البيانات'!$K$6:$K$305,$Q$15)))</f>
        <v>ج</v>
      </c>
      <c r="C32" s="79"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B-055
🎓 سنة أولى
🚶 يروح لوحده: —
📝 مفيش ملاحظات</v>
      </c>
      <c r="D32" s="79"/>
      <c r="F32" s="24" t="str">
        <f>IF($Q$16=0,"",IF(ISBLANK(INDEX('قاعدة البيانات'!$K$6:$K$305,$Q$16)),LEFT(INDEX('قاعدة البيانات'!$C$6:$C$305,$Q$16),1),INDEX('قاعدة البيانات'!$K$6:$K$305,$Q$16)))</f>
        <v>ج</v>
      </c>
      <c r="G32" s="79"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B-056
🎓 سنة أولى
🚶 يروح لوحده: —
📝 مفيش ملاحظات</v>
      </c>
      <c r="H32" s="79"/>
      <c r="J32" s="24" t="str">
        <f>IF($Q$17=0,"",IF(ISBLANK(INDEX('قاعدة البيانات'!$K$6:$K$305,$Q$17)),LEFT(INDEX('قاعدة البيانات'!$C$6:$C$305,$Q$17),1),INDEX('قاعدة البيانات'!$K$6:$K$305,$Q$17)))</f>
        <v>ف</v>
      </c>
      <c r="K32" s="79"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B-057
🎓 سنة أولى
🚶 يروح لوحده: —
📝 مفيش ملاحظات</v>
      </c>
      <c r="L32" s="79"/>
      <c r="P32">
        <v>24</v>
      </c>
      <c r="Q32">
        <f>'حضور ميخائيل'!BL30</f>
        <v>0</v>
      </c>
      <c r="R32" t="str">
        <f>IF(Q32=0,"",INDEX('قاعدة البيانات'!$D$6:$D$305,Q32))</f>
        <v/>
      </c>
      <c r="S32">
        <f>'حضور ميخائيل'!BM30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01270011108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01063514009</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01287744580</v>
      </c>
      <c r="L33" s="27" t="str">
        <f>IF(OR($Q$17=0,INDEX('قاعدة البيانات'!$H$6:$H$305,$Q$17)=""),"",HYPERLINK("https://wa.me/20"&amp;RIGHT(INDEX('قاعدة البيانات'!$H$6:$H$305,$Q$17),10),"💬 واتساب"))</f>
        <v>💬 واتساب</v>
      </c>
      <c r="P33">
        <v>25</v>
      </c>
      <c r="Q33">
        <f>'حضور ميخائيل'!BL31</f>
        <v>0</v>
      </c>
      <c r="R33" t="str">
        <f>IF(Q33=0,"",INDEX('قاعدة البيانات'!$D$6:$D$305,Q33))</f>
        <v/>
      </c>
      <c r="S33">
        <f>'حضور ميخائيل'!BM31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0128388656</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ميخائيل'!BL32</f>
        <v>0</v>
      </c>
      <c r="R34" t="str">
        <f>IF(Q34=0,"",INDEX('قاعدة البيانات'!$D$6:$D$305,Q34))</f>
        <v/>
      </c>
      <c r="S34">
        <f>'حضور ميخائيل'!BM32</f>
        <v>0</v>
      </c>
    </row>
    <row r="35" spans="2:19" ht="37.5" customHeight="1">
      <c r="B35" s="80" t="str">
        <f>IF($Q$15=0,"","📍 "&amp;IF(INDEX('قاعدة البيانات'!$J$6:$J$305,$Q$15)="","— مفيش عنوان —",INDEX('قاعدة البيانات'!$J$6:$J$305,$Q$15)))</f>
        <v xml:space="preserve">📍 4 شارع روفائيل سليمان المليحة الدور 7 </v>
      </c>
      <c r="C35" s="80"/>
      <c r="D35" s="80"/>
      <c r="F35" s="80" t="str">
        <f>IF($Q$16=0,"","📍 "&amp;IF(INDEX('قاعدة البيانات'!$J$6:$J$305,$Q$16)="","— مفيش عنوان —",INDEX('قاعدة البيانات'!$J$6:$J$305,$Q$16)))</f>
        <v xml:space="preserve">📍 2 شارع ترعة حمزة </v>
      </c>
      <c r="G35" s="80"/>
      <c r="H35" s="80"/>
      <c r="J35" s="80" t="str">
        <f>IF($Q$17=0,"","📍 "&amp;IF(INDEX('قاعدة البيانات'!$J$6:$J$305,$Q$17)="","— مفيش عنوان —",INDEX('قاعدة البيانات'!$J$6:$J$305,$Q$17)))</f>
        <v xml:space="preserve">📍 26 شارع احمد رفاعى المليحة شقة 3 الدور 2 </v>
      </c>
      <c r="K35" s="80"/>
      <c r="L35" s="80"/>
      <c r="P35">
        <v>27</v>
      </c>
      <c r="Q35">
        <f>'حضور ميخائيل'!BL33</f>
        <v>0</v>
      </c>
      <c r="R35" t="str">
        <f>IF(Q35=0,"",INDEX('قاعدة البيانات'!$D$6:$D$305,Q35))</f>
        <v/>
      </c>
      <c r="S35">
        <f>'حضور ميخائيل'!BM33</f>
        <v>0</v>
      </c>
    </row>
    <row r="36" spans="2:19" ht="21.75" customHeight="1">
      <c r="B36" s="75" t="str">
        <f>IF($Q$15=0,"","📊 إحصائيات الحضور")</f>
        <v>📊 إحصائيات الحضور</v>
      </c>
      <c r="C36" s="75"/>
      <c r="D36" s="75"/>
      <c r="F36" s="75" t="str">
        <f>IF($Q$16=0,"","📊 إحصائيات الحضور")</f>
        <v>📊 إحصائيات الحضور</v>
      </c>
      <c r="G36" s="75"/>
      <c r="H36" s="75"/>
      <c r="J36" s="75" t="str">
        <f>IF($Q$17=0,"","📊 إحصائيات الحضور")</f>
        <v>📊 إحصائيات الحضور</v>
      </c>
      <c r="K36" s="75"/>
      <c r="L36" s="75"/>
      <c r="P36">
        <v>28</v>
      </c>
      <c r="Q36">
        <f>'حضور ميخائيل'!BL34</f>
        <v>0</v>
      </c>
      <c r="R36" t="str">
        <f>IF(Q36=0,"",INDEX('قاعدة البيانات'!$D$6:$D$305,Q36))</f>
        <v/>
      </c>
      <c r="S36">
        <f>'حضور ميخائيل'!BM34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ميخائيل'!BL35</f>
        <v>0</v>
      </c>
      <c r="R37" t="str">
        <f>IF(Q37=0,"",INDEX('قاعدة البيانات'!$D$6:$D$305,Q37))</f>
        <v/>
      </c>
      <c r="S37">
        <f>'حضور ميخائيل'!BM35</f>
        <v>0</v>
      </c>
    </row>
    <row r="38" spans="2:19" ht="33.75" customHeight="1">
      <c r="B38" s="29">
        <f>'حضور ميخائيل'!C13</f>
        <v>0</v>
      </c>
      <c r="C38" s="30">
        <f>'حضور ميخائيل'!D13</f>
        <v>0</v>
      </c>
      <c r="D38" s="31" t="str">
        <f>'حضور ميخائيل'!F13</f>
        <v/>
      </c>
      <c r="F38" s="29">
        <f>'حضور ميخائيل'!C14</f>
        <v>0</v>
      </c>
      <c r="G38" s="30">
        <f>'حضور ميخائيل'!D14</f>
        <v>0</v>
      </c>
      <c r="H38" s="31" t="str">
        <f>'حضور ميخائيل'!F14</f>
        <v/>
      </c>
      <c r="J38" s="29">
        <f>'حضور ميخائيل'!C15</f>
        <v>0</v>
      </c>
      <c r="K38" s="30">
        <f>'حضور ميخائيل'!D15</f>
        <v>0</v>
      </c>
      <c r="L38" s="31" t="str">
        <f>'حضور ميخائيل'!F15</f>
        <v/>
      </c>
      <c r="P38">
        <v>30</v>
      </c>
      <c r="Q38">
        <f>'حضور ميخائيل'!BL36</f>
        <v>0</v>
      </c>
      <c r="R38" t="str">
        <f>IF(Q38=0,"",INDEX('قاعدة البيانات'!$D$6:$D$305,Q38))</f>
        <v/>
      </c>
      <c r="S38">
        <f>'حضور ميخائيل'!BM36</f>
        <v>0</v>
      </c>
    </row>
    <row r="39" spans="2:19" ht="24" customHeight="1">
      <c r="B39" s="76" t="str">
        <f>'حضور ميخائيل'!I13</f>
        <v>⏳ لسه مفيش حضور</v>
      </c>
      <c r="C39" s="76"/>
      <c r="D39" s="76"/>
      <c r="F39" s="76" t="str">
        <f>'حضور ميخائيل'!I14</f>
        <v>⏳ لسه مفيش حضور</v>
      </c>
      <c r="G39" s="76"/>
      <c r="H39" s="76"/>
      <c r="J39" s="76" t="str">
        <f>'حضور ميخائيل'!I15</f>
        <v>⏳ لسه مفيش حضور</v>
      </c>
      <c r="K39" s="76"/>
      <c r="L39" s="76"/>
    </row>
    <row r="40" spans="2:19" ht="19.5" customHeight="1">
      <c r="B40" s="77" t="str">
        <f>IF($Q$15=0,"","🗓️ آخر حضور: "&amp;IF(ISNUMBER('حضور ميخائيل'!H13),DAY('حضور ميخائيل'!H13)&amp;"/"&amp;MONTH('حضور ميخائيل'!H13)&amp;"/"&amp;YEAR('حضور ميخائيل'!H13),"—")&amp;"   •   غياب متتالي: "&amp;'حضور ميخائيل'!G13)</f>
        <v>🗓️ آخر حضور: —   •   غياب متتالي: 0</v>
      </c>
      <c r="C40" s="77"/>
      <c r="D40" s="77"/>
      <c r="F40" s="77" t="str">
        <f>IF($Q$16=0,"","🗓️ آخر حضور: "&amp;IF(ISNUMBER('حضور ميخائيل'!H14),DAY('حضور ميخائيل'!H14)&amp;"/"&amp;MONTH('حضور ميخائيل'!H14)&amp;"/"&amp;YEAR('حضور ميخائيل'!H14),"—")&amp;"   •   غياب متتالي: "&amp;'حضور ميخائيل'!G14)</f>
        <v>🗓️ آخر حضور: —   •   غياب متتالي: 0</v>
      </c>
      <c r="G40" s="77"/>
      <c r="H40" s="77"/>
      <c r="J40" s="77" t="str">
        <f>IF($Q$17=0,"","🗓️ آخر حضور: "&amp;IF(ISNUMBER('حضور ميخائيل'!H15),DAY('حضور ميخائيل'!H15)&amp;"/"&amp;MONTH('حضور ميخائيل'!H15)&amp;"/"&amp;YEAR('حضور ميخائيل'!H15),"—")&amp;"   •   غياب متتالي: "&amp;'حضور ميخائيل'!G15)</f>
        <v>🗓️ آخر حضور: —   •   غياب متتالي: 0</v>
      </c>
      <c r="K40" s="77"/>
      <c r="L40" s="77"/>
    </row>
    <row r="41" spans="2:19" ht="13.5" customHeight="1"/>
    <row r="42" spans="2:19" ht="30" customHeight="1">
      <c r="B42" s="78" t="str">
        <f>IF($Q$18=0,"",IF(INDEX('قاعدة البيانات'!$D$6:$D$305,$Q$18)="بنت","👧 ","👦 ")&amp;INDEX('قاعدة البيانات'!$C$6:$C$305,$Q$18))</f>
        <v xml:space="preserve">👦 فيلومينا غطاس شوقى </v>
      </c>
      <c r="C42" s="78"/>
      <c r="D42" s="78"/>
      <c r="F42" s="78" t="str">
        <f>IF($Q$19=0,"",IF(INDEX('قاعدة البيانات'!$D$6:$D$305,$Q$19)="بنت","👧 ","👦 ")&amp;INDEX('قاعدة البيانات'!$C$6:$C$305,$Q$19))</f>
        <v xml:space="preserve">👦 كريس كرم فوزى </v>
      </c>
      <c r="G42" s="78"/>
      <c r="H42" s="78"/>
      <c r="J42" s="78" t="str">
        <f>IF($Q$20=0,"",IF(INDEX('قاعدة البيانات'!$D$6:$D$305,$Q$20)="بنت","👧 ","👦 ")&amp;INDEX('قاعدة البيانات'!$C$6:$C$305,$Q$20))</f>
        <v xml:space="preserve">👦 كيفين ابانوب هانى </v>
      </c>
      <c r="K42" s="78"/>
      <c r="L42" s="78"/>
    </row>
    <row r="43" spans="2:19" ht="108" customHeight="1">
      <c r="B43" s="24" t="str">
        <f>IF($Q$18=0,"",IF(ISBLANK(INDEX('قاعدة البيانات'!$K$6:$K$305,$Q$18)),LEFT(INDEX('قاعدة البيانات'!$C$6:$C$305,$Q$18),1),INDEX('قاعدة البيانات'!$K$6:$K$305,$Q$18)))</f>
        <v>ف</v>
      </c>
      <c r="C43" s="79"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B-058
🎓 سنة أولى
🚶 يروح لوحده: —
📝 مفيش ملاحظات</v>
      </c>
      <c r="D43" s="79"/>
      <c r="F43" s="24" t="str">
        <f>IF($Q$19=0,"",IF(ISBLANK(INDEX('قاعدة البيانات'!$K$6:$K$305,$Q$19)),LEFT(INDEX('قاعدة البيانات'!$C$6:$C$305,$Q$19),1),INDEX('قاعدة البيانات'!$K$6:$K$305,$Q$19)))</f>
        <v>ك</v>
      </c>
      <c r="G43" s="79"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B-059
🎓 سنة أولى
🚶 يروح لوحده: —
📝 مفيش ملاحظات</v>
      </c>
      <c r="H43" s="79"/>
      <c r="J43" s="24" t="str">
        <f>IF($Q$20=0,"",IF(ISBLANK(INDEX('قاعدة البيانات'!$K$6:$K$305,$Q$20)),LEFT(INDEX('قاعدة البيانات'!$C$6:$C$305,$Q$20),1),INDEX('قاعدة البيانات'!$K$6:$K$305,$Q$20)))</f>
        <v>ك</v>
      </c>
      <c r="K43" s="79"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B-060
🎓 سنة أولى
🚶 يروح لوحده: —
📝 مفيش ملاحظات</v>
      </c>
      <c r="L43" s="79"/>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01224646116</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01287423255</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01286925787</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01225582147</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80" t="str">
        <f>IF($Q$18=0,"","📍 "&amp;IF(INDEX('قاعدة البيانات'!$J$6:$J$305,$Q$18)="","— مفيش عنوان —",INDEX('قاعدة البيانات'!$J$6:$J$305,$Q$18)))</f>
        <v xml:space="preserve">📍 132 شارع الخليج المصري حدائق القبة </v>
      </c>
      <c r="C46" s="80"/>
      <c r="D46" s="80"/>
      <c r="F46" s="80" t="str">
        <f>IF($Q$19=0,"","📍 "&amp;IF(INDEX('قاعدة البيانات'!$J$6:$J$305,$Q$19)="","— مفيش عنوان —",INDEX('قاعدة البيانات'!$J$6:$J$305,$Q$19)))</f>
        <v xml:space="preserve">📍 14 شارع محمود سامى عامر حدائق القبة شقة 10 الدور 4 </v>
      </c>
      <c r="G46" s="80"/>
      <c r="H46" s="80"/>
      <c r="J46" s="80" t="str">
        <f>IF($Q$20=0,"","📍 "&amp;IF(INDEX('قاعدة البيانات'!$J$6:$J$305,$Q$20)="","— مفيش عنوان —",INDEX('قاعدة البيانات'!$J$6:$J$305,$Q$20)))</f>
        <v xml:space="preserve">📍 25 شارع صليب نخلة المليحة الدور 9 </v>
      </c>
      <c r="K46" s="80"/>
      <c r="L46" s="80"/>
    </row>
    <row r="47" spans="2:19" ht="21.75" customHeight="1">
      <c r="B47" s="75" t="str">
        <f>IF($Q$18=0,"","📊 إحصائيات الحضور")</f>
        <v>📊 إحصائيات الحضور</v>
      </c>
      <c r="C47" s="75"/>
      <c r="D47" s="75"/>
      <c r="F47" s="75" t="str">
        <f>IF($Q$19=0,"","📊 إحصائيات الحضور")</f>
        <v>📊 إحصائيات الحضور</v>
      </c>
      <c r="G47" s="75"/>
      <c r="H47" s="75"/>
      <c r="J47" s="75" t="str">
        <f>IF($Q$20=0,"","📊 إحصائيات الحضور")</f>
        <v>📊 إحصائيات الحضور</v>
      </c>
      <c r="K47" s="75"/>
      <c r="L47" s="75"/>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ميخائيل'!C16</f>
        <v>0</v>
      </c>
      <c r="C49" s="30">
        <f>'حضور ميخائيل'!D16</f>
        <v>0</v>
      </c>
      <c r="D49" s="31" t="str">
        <f>'حضور ميخائيل'!F16</f>
        <v/>
      </c>
      <c r="F49" s="29">
        <f>'حضور ميخائيل'!C17</f>
        <v>0</v>
      </c>
      <c r="G49" s="30">
        <f>'حضور ميخائيل'!D17</f>
        <v>0</v>
      </c>
      <c r="H49" s="31" t="str">
        <f>'حضور ميخائيل'!F17</f>
        <v/>
      </c>
      <c r="J49" s="29">
        <f>'حضور ميخائيل'!C18</f>
        <v>0</v>
      </c>
      <c r="K49" s="30">
        <f>'حضور ميخائيل'!D18</f>
        <v>0</v>
      </c>
      <c r="L49" s="31" t="str">
        <f>'حضور ميخائيل'!F18</f>
        <v/>
      </c>
    </row>
    <row r="50" spans="2:12" ht="24" customHeight="1">
      <c r="B50" s="76" t="str">
        <f>'حضور ميخائيل'!I16</f>
        <v>⏳ لسه مفيش حضور</v>
      </c>
      <c r="C50" s="76"/>
      <c r="D50" s="76"/>
      <c r="F50" s="76" t="str">
        <f>'حضور ميخائيل'!I17</f>
        <v>⏳ لسه مفيش حضور</v>
      </c>
      <c r="G50" s="76"/>
      <c r="H50" s="76"/>
      <c r="J50" s="76" t="str">
        <f>'حضور ميخائيل'!I18</f>
        <v>⏳ لسه مفيش حضور</v>
      </c>
      <c r="K50" s="76"/>
      <c r="L50" s="76"/>
    </row>
    <row r="51" spans="2:12" ht="19.5" customHeight="1">
      <c r="B51" s="77" t="str">
        <f>IF($Q$18=0,"","🗓️ آخر حضور: "&amp;IF(ISNUMBER('حضور ميخائيل'!H16),DAY('حضور ميخائيل'!H16)&amp;"/"&amp;MONTH('حضور ميخائيل'!H16)&amp;"/"&amp;YEAR('حضور ميخائيل'!H16),"—")&amp;"   •   غياب متتالي: "&amp;'حضور ميخائيل'!G16)</f>
        <v>🗓️ آخر حضور: —   •   غياب متتالي: 0</v>
      </c>
      <c r="C51" s="77"/>
      <c r="D51" s="77"/>
      <c r="F51" s="77" t="str">
        <f>IF($Q$19=0,"","🗓️ آخر حضور: "&amp;IF(ISNUMBER('حضور ميخائيل'!H17),DAY('حضور ميخائيل'!H17)&amp;"/"&amp;MONTH('حضور ميخائيل'!H17)&amp;"/"&amp;YEAR('حضور ميخائيل'!H17),"—")&amp;"   •   غياب متتالي: "&amp;'حضور ميخائيل'!G17)</f>
        <v>🗓️ آخر حضور: —   •   غياب متتالي: 0</v>
      </c>
      <c r="G51" s="77"/>
      <c r="H51" s="77"/>
      <c r="J51" s="77" t="str">
        <f>IF($Q$20=0,"","🗓️ آخر حضور: "&amp;IF(ISNUMBER('حضور ميخائيل'!H18),DAY('حضور ميخائيل'!H18)&amp;"/"&amp;MONTH('حضور ميخائيل'!H18)&amp;"/"&amp;YEAR('حضور ميخائيل'!H18),"—")&amp;"   •   غياب متتالي: "&amp;'حضور ميخائيل'!G18)</f>
        <v>🗓️ آخر حضور: —   •   غياب متتالي: 0</v>
      </c>
      <c r="K51" s="77"/>
      <c r="L51" s="77"/>
    </row>
    <row r="52" spans="2:12" ht="13.5" customHeight="1"/>
    <row r="53" spans="2:12" ht="30" customHeight="1">
      <c r="B53" s="78" t="str">
        <f>IF($Q$21=0,"",IF(INDEX('قاعدة البيانات'!$D$6:$D$305,$Q$21)="بنت","👧 ","👦 ")&amp;INDEX('قاعدة البيانات'!$C$6:$C$305,$Q$21))</f>
        <v xml:space="preserve">👦 مارتن وجيه عبد المسيح </v>
      </c>
      <c r="C53" s="78"/>
      <c r="D53" s="78"/>
      <c r="F53" s="78" t="str">
        <f>IF($Q$22=0,"",IF(INDEX('قاعدة البيانات'!$D$6:$D$305,$Q$22)="بنت","👧 ","👦 ")&amp;INDEX('قاعدة البيانات'!$C$6:$C$305,$Q$22))</f>
        <v xml:space="preserve">👦 ماروسكا عصام سمير </v>
      </c>
      <c r="G53" s="78"/>
      <c r="H53" s="78"/>
      <c r="J53" s="78" t="str">
        <f>IF($Q$23=0,"",IF(INDEX('قاعدة البيانات'!$D$6:$D$305,$Q$23)="بنت","👧 ","👦 ")&amp;INDEX('قاعدة البيانات'!$C$6:$C$305,$Q$23))</f>
        <v xml:space="preserve">👦 مارولا رومانى مسعد </v>
      </c>
      <c r="K53" s="78"/>
      <c r="L53" s="78"/>
    </row>
    <row r="54" spans="2:12" ht="108" customHeight="1">
      <c r="B54" s="24" t="str">
        <f>IF($Q$21=0,"",IF(ISBLANK(INDEX('قاعدة البيانات'!$K$6:$K$305,$Q$21)),LEFT(INDEX('قاعدة البيانات'!$C$6:$C$305,$Q$21),1),INDEX('قاعدة البيانات'!$K$6:$K$305,$Q$21)))</f>
        <v>م</v>
      </c>
      <c r="C54" s="79"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B-061
🎓 سنة أولى
🚶 يروح لوحده: —
📝 مفيش ملاحظات</v>
      </c>
      <c r="D54" s="79"/>
      <c r="F54" s="24" t="str">
        <f>IF($Q$22=0,"",IF(ISBLANK(INDEX('قاعدة البيانات'!$K$6:$K$305,$Q$22)),LEFT(INDEX('قاعدة البيانات'!$C$6:$C$305,$Q$22),1),INDEX('قاعدة البيانات'!$K$6:$K$305,$Q$22)))</f>
        <v>م</v>
      </c>
      <c r="G54" s="79"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B-062
🎓 سنة أولى
🚶 يروح لوحده: —
📝 مفيش ملاحظات</v>
      </c>
      <c r="H54" s="79"/>
      <c r="J54" s="24" t="str">
        <f>IF($Q$23=0,"",IF(ISBLANK(INDEX('قاعدة البيانات'!$K$6:$K$305,$Q$23)),LEFT(INDEX('قاعدة البيانات'!$C$6:$C$305,$Q$23),1),INDEX('قاعدة البيانات'!$K$6:$K$305,$Q$23)))</f>
        <v>م</v>
      </c>
      <c r="K54" s="79"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B-063
🎓 سنة أولى
🚶 يروح لوحده: —
📝 مفيش ملاحظات</v>
      </c>
      <c r="L54" s="79"/>
    </row>
    <row r="55" spans="2:12" ht="24" customHeight="1">
      <c r="B55" s="25" t="str">
        <f>IF($Q$21=0,"","👩 ماما")</f>
        <v>👩 ماما</v>
      </c>
      <c r="C55" s="26" t="str">
        <f>IF($Q$21=0,"",IF(INDEX('قاعدة البيانات'!$H$6:$H$305,$Q$21)="","— مفيش رقم —",HYPERLINK("tel:"&amp;INDEX('قاعدة البيانات'!$H$6:$H$305,$Q$21),"📞 "&amp;INDEX('قاعدة البيانات'!$H$6:$H$305,$Q$21))))</f>
        <v>📞 01555364080</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01276055302</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01207004037</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01221635450</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01275214848</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01288748731</v>
      </c>
      <c r="L56" s="27" t="str">
        <f>IF(OR($Q$23=0,INDEX('قاعدة البيانات'!$I$6:$I$305,$Q$23)=""),"",HYPERLINK("https://wa.me/20"&amp;RIGHT(INDEX('قاعدة البيانات'!$I$6:$I$305,$Q$23),10),"💬 واتساب"))</f>
        <v>💬 واتساب</v>
      </c>
    </row>
    <row r="57" spans="2:12" ht="37.5" customHeight="1">
      <c r="B57" s="80" t="str">
        <f>IF($Q$21=0,"","📍 "&amp;IF(INDEX('قاعدة البيانات'!$J$6:$J$305,$Q$21)="","— مفيش عنوان —",INDEX('قاعدة البيانات'!$J$6:$J$305,$Q$21)))</f>
        <v xml:space="preserve">📍 315 شارع الخليج المصرى المليحة شقة 904 الدور 9 </v>
      </c>
      <c r="C57" s="80"/>
      <c r="D57" s="80"/>
      <c r="F57" s="80" t="str">
        <f>IF($Q$22=0,"","📍 "&amp;IF(INDEX('قاعدة البيانات'!$J$6:$J$305,$Q$22)="","— مفيش عنوان —",INDEX('قاعدة البيانات'!$J$6:$J$305,$Q$22)))</f>
        <v xml:space="preserve">📍 25 شارع ناصر ابو النصر الخصوص </v>
      </c>
      <c r="G57" s="80"/>
      <c r="H57" s="80"/>
      <c r="J57" s="80" t="str">
        <f>IF($Q$23=0,"","📍 "&amp;IF(INDEX('قاعدة البيانات'!$J$6:$J$305,$Q$23)="","— مفيش عنوان —",INDEX('قاعدة البيانات'!$J$6:$J$305,$Q$23)))</f>
        <v xml:space="preserve">📍 8 شارع عبد الملاك حنين المليحة الدور 2 </v>
      </c>
      <c r="K57" s="80"/>
      <c r="L57" s="80"/>
    </row>
    <row r="58" spans="2:12" ht="21.75" customHeight="1">
      <c r="B58" s="75" t="str">
        <f>IF($Q$21=0,"","📊 إحصائيات الحضور")</f>
        <v>📊 إحصائيات الحضور</v>
      </c>
      <c r="C58" s="75"/>
      <c r="D58" s="75"/>
      <c r="F58" s="75" t="str">
        <f>IF($Q$22=0,"","📊 إحصائيات الحضور")</f>
        <v>📊 إحصائيات الحضور</v>
      </c>
      <c r="G58" s="75"/>
      <c r="H58" s="75"/>
      <c r="J58" s="75" t="str">
        <f>IF($Q$23=0,"","📊 إحصائيات الحضور")</f>
        <v>📊 إحصائيات الحضور</v>
      </c>
      <c r="K58" s="75"/>
      <c r="L58" s="75"/>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ميخائيل'!C19</f>
        <v>0</v>
      </c>
      <c r="C60" s="30">
        <f>'حضور ميخائيل'!D19</f>
        <v>0</v>
      </c>
      <c r="D60" s="31" t="str">
        <f>'حضور ميخائيل'!F19</f>
        <v/>
      </c>
      <c r="F60" s="29">
        <f>'حضور ميخائيل'!C20</f>
        <v>0</v>
      </c>
      <c r="G60" s="30">
        <f>'حضور ميخائيل'!D20</f>
        <v>0</v>
      </c>
      <c r="H60" s="31" t="str">
        <f>'حضور ميخائيل'!F20</f>
        <v/>
      </c>
      <c r="J60" s="29">
        <f>'حضور ميخائيل'!C21</f>
        <v>0</v>
      </c>
      <c r="K60" s="30">
        <f>'حضور ميخائيل'!D21</f>
        <v>0</v>
      </c>
      <c r="L60" s="31" t="str">
        <f>'حضور ميخائيل'!F21</f>
        <v/>
      </c>
    </row>
    <row r="61" spans="2:12" ht="24" customHeight="1">
      <c r="B61" s="76" t="str">
        <f>'حضور ميخائيل'!I19</f>
        <v>⏳ لسه مفيش حضور</v>
      </c>
      <c r="C61" s="76"/>
      <c r="D61" s="76"/>
      <c r="F61" s="76" t="str">
        <f>'حضور ميخائيل'!I20</f>
        <v>⏳ لسه مفيش حضور</v>
      </c>
      <c r="G61" s="76"/>
      <c r="H61" s="76"/>
      <c r="J61" s="76" t="str">
        <f>'حضور ميخائيل'!I21</f>
        <v>⏳ لسه مفيش حضور</v>
      </c>
      <c r="K61" s="76"/>
      <c r="L61" s="76"/>
    </row>
    <row r="62" spans="2:12" ht="19.5" customHeight="1">
      <c r="B62" s="77" t="str">
        <f>IF($Q$21=0,"","🗓️ آخر حضور: "&amp;IF(ISNUMBER('حضور ميخائيل'!H19),DAY('حضور ميخائيل'!H19)&amp;"/"&amp;MONTH('حضور ميخائيل'!H19)&amp;"/"&amp;YEAR('حضور ميخائيل'!H19),"—")&amp;"   •   غياب متتالي: "&amp;'حضور ميخائيل'!G19)</f>
        <v>🗓️ آخر حضور: —   •   غياب متتالي: 0</v>
      </c>
      <c r="C62" s="77"/>
      <c r="D62" s="77"/>
      <c r="F62" s="77" t="str">
        <f>IF($Q$22=0,"","🗓️ آخر حضور: "&amp;IF(ISNUMBER('حضور ميخائيل'!H20),DAY('حضور ميخائيل'!H20)&amp;"/"&amp;MONTH('حضور ميخائيل'!H20)&amp;"/"&amp;YEAR('حضور ميخائيل'!H20),"—")&amp;"   •   غياب متتالي: "&amp;'حضور ميخائيل'!G20)</f>
        <v>🗓️ آخر حضور: —   •   غياب متتالي: 0</v>
      </c>
      <c r="G62" s="77"/>
      <c r="H62" s="77"/>
      <c r="J62" s="77" t="str">
        <f>IF($Q$23=0,"","🗓️ آخر حضور: "&amp;IF(ISNUMBER('حضور ميخائيل'!H21),DAY('حضور ميخائيل'!H21)&amp;"/"&amp;MONTH('حضور ميخائيل'!H21)&amp;"/"&amp;YEAR('حضور ميخائيل'!H21),"—")&amp;"   •   غياب متتالي: "&amp;'حضور ميخائيل'!G21)</f>
        <v>🗓️ آخر حضور: —   •   غياب متتالي: 0</v>
      </c>
      <c r="K62" s="77"/>
      <c r="L62" s="77"/>
    </row>
    <row r="63" spans="2:12" ht="13.5" customHeight="1"/>
    <row r="64" spans="2:12" ht="30" customHeight="1">
      <c r="B64" s="78" t="str">
        <f>IF($Q$24=0,"",IF(INDEX('قاعدة البيانات'!$D$6:$D$305,$Q$24)="بنت","👧 ","👦 ")&amp;INDEX('قاعدة البيانات'!$C$6:$C$305,$Q$24))</f>
        <v xml:space="preserve">👦 ميخائيل ايهاب فوزى </v>
      </c>
      <c r="C64" s="78"/>
      <c r="D64" s="78"/>
      <c r="F64" s="78" t="str">
        <f>IF($Q$25=0,"",IF(INDEX('قاعدة البيانات'!$D$6:$D$305,$Q$25)="بنت","👧 ","👦 ")&amp;INDEX('قاعدة البيانات'!$C$6:$C$305,$Q$25))</f>
        <v xml:space="preserve">👦 ميلانيا ميشيل مختار </v>
      </c>
      <c r="G64" s="78"/>
      <c r="H64" s="78"/>
      <c r="J64" s="78" t="str">
        <f>IF($Q$26=0,"",IF(INDEX('قاعدة البيانات'!$D$6:$D$305,$Q$26)="بنت","👧 ","👦 ")&amp;INDEX('قاعدة البيانات'!$C$6:$C$305,$Q$26))</f>
        <v xml:space="preserve">👦 نوفير هانى شفيق </v>
      </c>
      <c r="K64" s="78"/>
      <c r="L64" s="78"/>
    </row>
    <row r="65" spans="2:12" ht="108" customHeight="1">
      <c r="B65" s="24" t="str">
        <f>IF($Q$24=0,"",IF(ISBLANK(INDEX('قاعدة البيانات'!$K$6:$K$305,$Q$24)),LEFT(INDEX('قاعدة البيانات'!$C$6:$C$305,$Q$24),1),INDEX('قاعدة البيانات'!$K$6:$K$305,$Q$24)))</f>
        <v>م</v>
      </c>
      <c r="C65" s="79"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B-064
🎓 سنة أولى
🚶 يروح لوحده: —
📝 مفيش ملاحظات</v>
      </c>
      <c r="D65" s="79"/>
      <c r="F65" s="24" t="str">
        <f>IF($Q$25=0,"",IF(ISBLANK(INDEX('قاعدة البيانات'!$K$6:$K$305,$Q$25)),LEFT(INDEX('قاعدة البيانات'!$C$6:$C$305,$Q$25),1),INDEX('قاعدة البيانات'!$K$6:$K$305,$Q$25)))</f>
        <v>م</v>
      </c>
      <c r="G65" s="79"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B-065
🎓 سنة أولى
🚶 يروح لوحده: —
📝 مفيش ملاحظات</v>
      </c>
      <c r="H65" s="79"/>
      <c r="J65" s="24" t="str">
        <f>IF($Q$26=0,"",IF(ISBLANK(INDEX('قاعدة البيانات'!$K$6:$K$305,$Q$26)),LEFT(INDEX('قاعدة البيانات'!$C$6:$C$305,$Q$26),1),INDEX('قاعدة البيانات'!$K$6:$K$305,$Q$26)))</f>
        <v>ن</v>
      </c>
      <c r="K65" s="79"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B-066
🎓 سنة أولى
🚶 يروح لوحده: —
📝 مفيش ملاحظات</v>
      </c>
      <c r="L65" s="79"/>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01280480097</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01278584725</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01225621953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01001172448</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01289923747</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01221372275</v>
      </c>
      <c r="L67" s="27" t="str">
        <f>IF(OR($Q$26=0,INDEX('قاعدة البيانات'!$I$6:$I$305,$Q$26)=""),"",HYPERLINK("https://wa.me/20"&amp;RIGHT(INDEX('قاعدة البيانات'!$I$6:$I$305,$Q$26),10),"💬 واتساب"))</f>
        <v>💬 واتساب</v>
      </c>
    </row>
    <row r="68" spans="2:12" ht="37.5" customHeight="1">
      <c r="B68" s="80" t="str">
        <f>IF($Q$24=0,"","📍 "&amp;IF(INDEX('قاعدة البيانات'!$J$6:$J$305,$Q$24)="","— مفيش عنوان —",INDEX('قاعدة البيانات'!$J$6:$J$305,$Q$24)))</f>
        <v xml:space="preserve">📍 15 شارع الازهار متفرع من السيد درويش القصيرين شقة 8 الدور 4 </v>
      </c>
      <c r="C68" s="80"/>
      <c r="D68" s="80"/>
      <c r="F68" s="80" t="str">
        <f>IF($Q$25=0,"","📍 "&amp;IF(INDEX('قاعدة البيانات'!$J$6:$J$305,$Q$25)="","— مفيش عنوان —",INDEX('قاعدة البيانات'!$J$6:$J$305,$Q$25)))</f>
        <v xml:space="preserve">📍 3 شارع العباسية شارع ماهر </v>
      </c>
      <c r="G68" s="80"/>
      <c r="H68" s="80"/>
      <c r="J68" s="80" t="str">
        <f>IF($Q$26=0,"","📍 "&amp;IF(INDEX('قاعدة البيانات'!$J$6:$J$305,$Q$26)="","— مفيش عنوان —",INDEX('قاعدة البيانات'!$J$6:$J$305,$Q$26)))</f>
        <v xml:space="preserve">📍 7 شارع عبد العاطى احمد عليوة المليحة شقة 7 دور 7 </v>
      </c>
      <c r="K68" s="80"/>
      <c r="L68" s="80"/>
    </row>
    <row r="69" spans="2:12" ht="21.75" customHeight="1">
      <c r="B69" s="75" t="str">
        <f>IF($Q$24=0,"","📊 إحصائيات الحضور")</f>
        <v>📊 إحصائيات الحضور</v>
      </c>
      <c r="C69" s="75"/>
      <c r="D69" s="75"/>
      <c r="F69" s="75" t="str">
        <f>IF($Q$25=0,"","📊 إحصائيات الحضور")</f>
        <v>📊 إحصائيات الحضور</v>
      </c>
      <c r="G69" s="75"/>
      <c r="H69" s="75"/>
      <c r="J69" s="75" t="str">
        <f>IF($Q$26=0,"","📊 إحصائيات الحضور")</f>
        <v>📊 إحصائيات الحضور</v>
      </c>
      <c r="K69" s="75"/>
      <c r="L69" s="75"/>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ميخائيل'!C22</f>
        <v>0</v>
      </c>
      <c r="C71" s="30">
        <f>'حضور ميخائيل'!D22</f>
        <v>0</v>
      </c>
      <c r="D71" s="31" t="str">
        <f>'حضور ميخائيل'!F22</f>
        <v/>
      </c>
      <c r="F71" s="29">
        <f>'حضور ميخائيل'!C23</f>
        <v>0</v>
      </c>
      <c r="G71" s="30">
        <f>'حضور ميخائيل'!D23</f>
        <v>0</v>
      </c>
      <c r="H71" s="31" t="str">
        <f>'حضور ميخائيل'!F23</f>
        <v/>
      </c>
      <c r="J71" s="29">
        <f>'حضور ميخائيل'!C24</f>
        <v>0</v>
      </c>
      <c r="K71" s="30">
        <f>'حضور ميخائيل'!D24</f>
        <v>0</v>
      </c>
      <c r="L71" s="31" t="str">
        <f>'حضور ميخائيل'!F24</f>
        <v/>
      </c>
    </row>
    <row r="72" spans="2:12" ht="24" customHeight="1">
      <c r="B72" s="76" t="str">
        <f>'حضور ميخائيل'!I22</f>
        <v>⏳ لسه مفيش حضور</v>
      </c>
      <c r="C72" s="76"/>
      <c r="D72" s="76"/>
      <c r="F72" s="76" t="str">
        <f>'حضور ميخائيل'!I23</f>
        <v>⏳ لسه مفيش حضور</v>
      </c>
      <c r="G72" s="76"/>
      <c r="H72" s="76"/>
      <c r="J72" s="76" t="str">
        <f>'حضور ميخائيل'!I24</f>
        <v>⏳ لسه مفيش حضور</v>
      </c>
      <c r="K72" s="76"/>
      <c r="L72" s="76"/>
    </row>
    <row r="73" spans="2:12" ht="19.5" customHeight="1">
      <c r="B73" s="77" t="str">
        <f>IF($Q$24=0,"","🗓️ آخر حضور: "&amp;IF(ISNUMBER('حضور ميخائيل'!H22),DAY('حضور ميخائيل'!H22)&amp;"/"&amp;MONTH('حضور ميخائيل'!H22)&amp;"/"&amp;YEAR('حضور ميخائيل'!H22),"—")&amp;"   •   غياب متتالي: "&amp;'حضور ميخائيل'!G22)</f>
        <v>🗓️ آخر حضور: —   •   غياب متتالي: 0</v>
      </c>
      <c r="C73" s="77"/>
      <c r="D73" s="77"/>
      <c r="F73" s="77" t="str">
        <f>IF($Q$25=0,"","🗓️ آخر حضور: "&amp;IF(ISNUMBER('حضور ميخائيل'!H23),DAY('حضور ميخائيل'!H23)&amp;"/"&amp;MONTH('حضور ميخائيل'!H23)&amp;"/"&amp;YEAR('حضور ميخائيل'!H23),"—")&amp;"   •   غياب متتالي: "&amp;'حضور ميخائيل'!G23)</f>
        <v>🗓️ آخر حضور: —   •   غياب متتالي: 0</v>
      </c>
      <c r="G73" s="77"/>
      <c r="H73" s="77"/>
      <c r="J73" s="77" t="str">
        <f>IF($Q$26=0,"","🗓️ آخر حضور: "&amp;IF(ISNUMBER('حضور ميخائيل'!H24),DAY('حضور ميخائيل'!H24)&amp;"/"&amp;MONTH('حضور ميخائيل'!H24)&amp;"/"&amp;YEAR('حضور ميخائيل'!H24),"—")&amp;"   •   غياب متتالي: "&amp;'حضور ميخائيل'!G24)</f>
        <v>🗓️ آخر حضور: —   •   غياب متتالي: 0</v>
      </c>
      <c r="K73" s="77"/>
      <c r="L73" s="77"/>
    </row>
    <row r="74" spans="2:12" ht="13.5" customHeight="1"/>
    <row r="75" spans="2:12" ht="30" customHeight="1">
      <c r="B75" s="78" t="str">
        <f>IF($Q$27=0,"",IF(INDEX('قاعدة البيانات'!$D$6:$D$305,$Q$27)="بنت","👧 ","👦 ")&amp;INDEX('قاعدة البيانات'!$C$6:$C$305,$Q$27))</f>
        <v xml:space="preserve">👦 نيروز سامى شحات </v>
      </c>
      <c r="C75" s="78"/>
      <c r="D75" s="78"/>
      <c r="F75" s="78" t="str">
        <f>IF($Q$28=0,"",IF(INDEX('قاعدة البيانات'!$D$6:$D$305,$Q$28)="بنت","👧 ","👦 ")&amp;INDEX('قاعدة البيانات'!$C$6:$C$305,$Q$28))</f>
        <v xml:space="preserve">👦 يوسف بيشوى مجدى </v>
      </c>
      <c r="G75" s="78"/>
      <c r="H75" s="78"/>
      <c r="J75" s="78" t="str">
        <f>IF($Q$29=0,"",IF(INDEX('قاعدة البيانات'!$D$6:$D$305,$Q$29)="بنت","👧 ","👦 ")&amp;INDEX('قاعدة البيانات'!$C$6:$C$305,$Q$29))</f>
        <v/>
      </c>
      <c r="K75" s="78"/>
      <c r="L75" s="78"/>
    </row>
    <row r="76" spans="2:12" ht="108" customHeight="1">
      <c r="B76" s="24" t="str">
        <f>IF($Q$27=0,"",IF(ISBLANK(INDEX('قاعدة البيانات'!$K$6:$K$305,$Q$27)),LEFT(INDEX('قاعدة البيانات'!$C$6:$C$305,$Q$27),1),INDEX('قاعدة البيانات'!$K$6:$K$305,$Q$27)))</f>
        <v>ن</v>
      </c>
      <c r="C76" s="79"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B-067
🎓 سنة أولى
🚶 يروح لوحده: —
📝 مفيش ملاحظات</v>
      </c>
      <c r="D76" s="79"/>
      <c r="F76" s="24" t="str">
        <f>IF($Q$28=0,"",IF(ISBLANK(INDEX('قاعدة البيانات'!$K$6:$K$305,$Q$28)),LEFT(INDEX('قاعدة البيانات'!$C$6:$C$305,$Q$28),1),INDEX('قاعدة البيانات'!$K$6:$K$305,$Q$28)))</f>
        <v>ي</v>
      </c>
      <c r="G76" s="79"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B-068
🎓 سنة أولى
🚶 يروح لوحده: —
📝 مفيش ملاحظات</v>
      </c>
      <c r="H76" s="79"/>
      <c r="J76" s="24" t="str">
        <f>IF($Q$29=0,"",IF(ISBLANK(INDEX('قاعدة البيانات'!$K$6:$K$305,$Q$29)),LEFT(INDEX('قاعدة البيانات'!$C$6:$C$305,$Q$29),1),INDEX('قاعدة البيانات'!$K$6:$K$305,$Q$29)))</f>
        <v/>
      </c>
      <c r="K76" s="79"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79"/>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01273356341</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01225121226</v>
      </c>
      <c r="H77" s="27" t="str">
        <f>IF(OR($Q$28=0,INDEX('قاعدة البيانات'!$H$6:$H$305,$Q$28)=""),"",HYPERLINK("https://wa.me/20"&amp;RIGHT(INDEX('قاعدة البيانات'!$H$6:$H$305,$Q$28),10),"💬 واتساب"))</f>
        <v>💬 واتساب</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01140935654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80" t="str">
        <f>IF($Q$27=0,"","📍 "&amp;IF(INDEX('قاعدة البيانات'!$J$6:$J$305,$Q$27)="","— مفيش عنوان —",INDEX('قاعدة البيانات'!$J$6:$J$305,$Q$27)))</f>
        <v xml:space="preserve">📍 4 شارع روفائيل سليمان المليحة الدور 3 </v>
      </c>
      <c r="C79" s="80"/>
      <c r="D79" s="80"/>
      <c r="F79" s="80" t="str">
        <f>IF($Q$28=0,"","📍 "&amp;IF(INDEX('قاعدة البيانات'!$J$6:$J$305,$Q$28)="","— مفيش عنوان —",INDEX('قاعدة البيانات'!$J$6:$J$305,$Q$28)))</f>
        <v>📍 6 شارع عبد الرحمن نصر من ترعة الجبل الزيتون شقة 14 الدور 4</v>
      </c>
      <c r="G79" s="80"/>
      <c r="H79" s="80"/>
      <c r="J79" s="80" t="str">
        <f>IF($Q$29=0,"","📍 "&amp;IF(INDEX('قاعدة البيانات'!$J$6:$J$305,$Q$29)="","— مفيش عنوان —",INDEX('قاعدة البيانات'!$J$6:$J$305,$Q$29)))</f>
        <v/>
      </c>
      <c r="K79" s="80"/>
      <c r="L79" s="80"/>
    </row>
    <row r="80" spans="2:12" ht="21.75" customHeight="1">
      <c r="B80" s="75" t="str">
        <f>IF($Q$27=0,"","📊 إحصائيات الحضور")</f>
        <v>📊 إحصائيات الحضور</v>
      </c>
      <c r="C80" s="75"/>
      <c r="D80" s="75"/>
      <c r="F80" s="75" t="str">
        <f>IF($Q$28=0,"","📊 إحصائيات الحضور")</f>
        <v>📊 إحصائيات الحضور</v>
      </c>
      <c r="G80" s="75"/>
      <c r="H80" s="75"/>
      <c r="J80" s="75" t="str">
        <f>IF($Q$29=0,"","📊 إحصائيات الحضور")</f>
        <v/>
      </c>
      <c r="K80" s="75"/>
      <c r="L80" s="75"/>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c>
      <c r="K81" s="28" t="str">
        <f>IF($Q$29=0,"","❌ غياب")</f>
        <v/>
      </c>
      <c r="L81" s="28" t="str">
        <f>IF($Q$29=0,"","📈 النسبة")</f>
        <v/>
      </c>
    </row>
    <row r="82" spans="2:12" ht="33.75" customHeight="1">
      <c r="B82" s="29">
        <f>'حضور ميخائيل'!C25</f>
        <v>0</v>
      </c>
      <c r="C82" s="30">
        <f>'حضور ميخائيل'!D25</f>
        <v>0</v>
      </c>
      <c r="D82" s="31" t="str">
        <f>'حضور ميخائيل'!F25</f>
        <v/>
      </c>
      <c r="F82" s="29">
        <f>'حضور ميخائيل'!C26</f>
        <v>0</v>
      </c>
      <c r="G82" s="30">
        <f>'حضور ميخائيل'!D26</f>
        <v>0</v>
      </c>
      <c r="H82" s="31" t="str">
        <f>'حضور ميخائيل'!F26</f>
        <v/>
      </c>
      <c r="J82" s="29" t="str">
        <f>'حضور ميخائيل'!C27</f>
        <v/>
      </c>
      <c r="K82" s="30" t="str">
        <f>'حضور ميخائيل'!D27</f>
        <v/>
      </c>
      <c r="L82" s="31" t="str">
        <f>'حضور ميخائيل'!F27</f>
        <v/>
      </c>
    </row>
    <row r="83" spans="2:12" ht="24" customHeight="1">
      <c r="B83" s="76" t="str">
        <f>'حضور ميخائيل'!I25</f>
        <v>⏳ لسه مفيش حضور</v>
      </c>
      <c r="C83" s="76"/>
      <c r="D83" s="76"/>
      <c r="F83" s="76" t="str">
        <f>'حضور ميخائيل'!I26</f>
        <v>⏳ لسه مفيش حضور</v>
      </c>
      <c r="G83" s="76"/>
      <c r="H83" s="76"/>
      <c r="J83" s="76" t="str">
        <f>'حضور ميخائيل'!I27</f>
        <v/>
      </c>
      <c r="K83" s="76"/>
      <c r="L83" s="76"/>
    </row>
    <row r="84" spans="2:12" ht="19.5" customHeight="1">
      <c r="B84" s="77" t="str">
        <f>IF($Q$27=0,"","🗓️ آخر حضور: "&amp;IF(ISNUMBER('حضور ميخائيل'!H25),DAY('حضور ميخائيل'!H25)&amp;"/"&amp;MONTH('حضور ميخائيل'!H25)&amp;"/"&amp;YEAR('حضور ميخائيل'!H25),"—")&amp;"   •   غياب متتالي: "&amp;'حضور ميخائيل'!G25)</f>
        <v>🗓️ آخر حضور: —   •   غياب متتالي: 0</v>
      </c>
      <c r="C84" s="77"/>
      <c r="D84" s="77"/>
      <c r="F84" s="77" t="str">
        <f>IF($Q$28=0,"","🗓️ آخر حضور: "&amp;IF(ISNUMBER('حضور ميخائيل'!H26),DAY('حضور ميخائيل'!H26)&amp;"/"&amp;MONTH('حضور ميخائيل'!H26)&amp;"/"&amp;YEAR('حضور ميخائيل'!H26),"—")&amp;"   •   غياب متتالي: "&amp;'حضور ميخائيل'!G26)</f>
        <v>🗓️ آخر حضور: —   •   غياب متتالي: 0</v>
      </c>
      <c r="G84" s="77"/>
      <c r="H84" s="77"/>
      <c r="J84" s="77" t="str">
        <f>IF($Q$29=0,"","🗓️ آخر حضور: "&amp;IF(ISNUMBER('حضور ميخائيل'!H27),DAY('حضور ميخائيل'!H27)&amp;"/"&amp;MONTH('حضور ميخائيل'!H27)&amp;"/"&amp;YEAR('حضور ميخائيل'!H27),"—")&amp;"   •   غياب متتالي: "&amp;'حضور ميخائيل'!G27)</f>
        <v/>
      </c>
      <c r="K84" s="77"/>
      <c r="L84" s="77"/>
    </row>
    <row r="85" spans="2:12" ht="13.5" customHeight="1"/>
    <row r="86" spans="2:12" ht="30" customHeight="1">
      <c r="B86" s="78" t="str">
        <f>IF($Q$30=0,"",IF(INDEX('قاعدة البيانات'!$D$6:$D$305,$Q$30)="بنت","👧 ","👦 ")&amp;INDEX('قاعدة البيانات'!$C$6:$C$305,$Q$30))</f>
        <v/>
      </c>
      <c r="C86" s="78"/>
      <c r="D86" s="78"/>
      <c r="F86" s="78" t="str">
        <f>IF($Q$31=0,"",IF(INDEX('قاعدة البيانات'!$D$6:$D$305,$Q$31)="بنت","👧 ","👦 ")&amp;INDEX('قاعدة البيانات'!$C$6:$C$305,$Q$31))</f>
        <v/>
      </c>
      <c r="G86" s="78"/>
      <c r="H86" s="78"/>
      <c r="J86" s="78" t="str">
        <f>IF($Q$32=0,"",IF(INDEX('قاعدة البيانات'!$D$6:$D$305,$Q$32)="بنت","👧 ","👦 ")&amp;INDEX('قاعدة البيانات'!$C$6:$C$305,$Q$32))</f>
        <v/>
      </c>
      <c r="K86" s="78"/>
      <c r="L86" s="78"/>
    </row>
    <row r="87" spans="2:12" ht="108" customHeight="1">
      <c r="B87" s="24" t="str">
        <f>IF($Q$30=0,"",IF(ISBLANK(INDEX('قاعدة البيانات'!$K$6:$K$305,$Q$30)),LEFT(INDEX('قاعدة البيانات'!$C$6:$C$305,$Q$30),1),INDEX('قاعدة البيانات'!$K$6:$K$305,$Q$30)))</f>
        <v/>
      </c>
      <c r="C87" s="79"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79"/>
      <c r="F87" s="24" t="str">
        <f>IF($Q$31=0,"",IF(ISBLANK(INDEX('قاعدة البيانات'!$K$6:$K$305,$Q$31)),LEFT(INDEX('قاعدة البيانات'!$C$6:$C$305,$Q$31),1),INDEX('قاعدة البيانات'!$K$6:$K$305,$Q$31)))</f>
        <v/>
      </c>
      <c r="G87" s="79"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79"/>
      <c r="J87" s="24" t="str">
        <f>IF($Q$32=0,"",IF(ISBLANK(INDEX('قاعدة البيانات'!$K$6:$K$305,$Q$32)),LEFT(INDEX('قاعدة البيانات'!$C$6:$C$305,$Q$32),1),INDEX('قاعدة البيانات'!$K$6:$K$305,$Q$32)))</f>
        <v/>
      </c>
      <c r="K87" s="79"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79"/>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80" t="str">
        <f>IF($Q$30=0,"","📍 "&amp;IF(INDEX('قاعدة البيانات'!$J$6:$J$305,$Q$30)="","— مفيش عنوان —",INDEX('قاعدة البيانات'!$J$6:$J$305,$Q$30)))</f>
        <v/>
      </c>
      <c r="C90" s="80"/>
      <c r="D90" s="80"/>
      <c r="F90" s="80" t="str">
        <f>IF($Q$31=0,"","📍 "&amp;IF(INDEX('قاعدة البيانات'!$J$6:$J$305,$Q$31)="","— مفيش عنوان —",INDEX('قاعدة البيانات'!$J$6:$J$305,$Q$31)))</f>
        <v/>
      </c>
      <c r="G90" s="80"/>
      <c r="H90" s="80"/>
      <c r="J90" s="80" t="str">
        <f>IF($Q$32=0,"","📍 "&amp;IF(INDEX('قاعدة البيانات'!$J$6:$J$305,$Q$32)="","— مفيش عنوان —",INDEX('قاعدة البيانات'!$J$6:$J$305,$Q$32)))</f>
        <v/>
      </c>
      <c r="K90" s="80"/>
      <c r="L90" s="80"/>
    </row>
    <row r="91" spans="2:12" ht="21.75" customHeight="1">
      <c r="B91" s="75" t="str">
        <f>IF($Q$30=0,"","📊 إحصائيات الحضور")</f>
        <v/>
      </c>
      <c r="C91" s="75"/>
      <c r="D91" s="75"/>
      <c r="F91" s="75" t="str">
        <f>IF($Q$31=0,"","📊 إحصائيات الحضور")</f>
        <v/>
      </c>
      <c r="G91" s="75"/>
      <c r="H91" s="75"/>
      <c r="J91" s="75" t="str">
        <f>IF($Q$32=0,"","📊 إحصائيات الحضور")</f>
        <v/>
      </c>
      <c r="K91" s="75"/>
      <c r="L91" s="75"/>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ميخائيل'!C28</f>
        <v/>
      </c>
      <c r="C93" s="30" t="str">
        <f>'حضور ميخائيل'!D28</f>
        <v/>
      </c>
      <c r="D93" s="31" t="str">
        <f>'حضور ميخائيل'!F28</f>
        <v/>
      </c>
      <c r="F93" s="29" t="str">
        <f>'حضور ميخائيل'!C29</f>
        <v/>
      </c>
      <c r="G93" s="30" t="str">
        <f>'حضور ميخائيل'!D29</f>
        <v/>
      </c>
      <c r="H93" s="31" t="str">
        <f>'حضور ميخائيل'!F29</f>
        <v/>
      </c>
      <c r="J93" s="29" t="str">
        <f>'حضور ميخائيل'!C30</f>
        <v/>
      </c>
      <c r="K93" s="30" t="str">
        <f>'حضور ميخائيل'!D30</f>
        <v/>
      </c>
      <c r="L93" s="31" t="str">
        <f>'حضور ميخائيل'!F30</f>
        <v/>
      </c>
    </row>
    <row r="94" spans="2:12" ht="24" customHeight="1">
      <c r="B94" s="76" t="str">
        <f>'حضور ميخائيل'!I28</f>
        <v/>
      </c>
      <c r="C94" s="76"/>
      <c r="D94" s="76"/>
      <c r="F94" s="76" t="str">
        <f>'حضور ميخائيل'!I29</f>
        <v/>
      </c>
      <c r="G94" s="76"/>
      <c r="H94" s="76"/>
      <c r="J94" s="76" t="str">
        <f>'حضور ميخائيل'!I30</f>
        <v/>
      </c>
      <c r="K94" s="76"/>
      <c r="L94" s="76"/>
    </row>
    <row r="95" spans="2:12" ht="19.5" customHeight="1">
      <c r="B95" s="77" t="str">
        <f>IF($Q$30=0,"","🗓️ آخر حضور: "&amp;IF(ISNUMBER('حضور ميخائيل'!H28),DAY('حضور ميخائيل'!H28)&amp;"/"&amp;MONTH('حضور ميخائيل'!H28)&amp;"/"&amp;YEAR('حضور ميخائيل'!H28),"—")&amp;"   •   غياب متتالي: "&amp;'حضور ميخائيل'!G28)</f>
        <v/>
      </c>
      <c r="C95" s="77"/>
      <c r="D95" s="77"/>
      <c r="F95" s="77" t="str">
        <f>IF($Q$31=0,"","🗓️ آخر حضور: "&amp;IF(ISNUMBER('حضور ميخائيل'!H29),DAY('حضور ميخائيل'!H29)&amp;"/"&amp;MONTH('حضور ميخائيل'!H29)&amp;"/"&amp;YEAR('حضور ميخائيل'!H29),"—")&amp;"   •   غياب متتالي: "&amp;'حضور ميخائيل'!G29)</f>
        <v/>
      </c>
      <c r="G95" s="77"/>
      <c r="H95" s="77"/>
      <c r="J95" s="77" t="str">
        <f>IF($Q$32=0,"","🗓️ آخر حضور: "&amp;IF(ISNUMBER('حضور ميخائيل'!H30),DAY('حضور ميخائيل'!H30)&amp;"/"&amp;MONTH('حضور ميخائيل'!H30)&amp;"/"&amp;YEAR('حضور ميخائيل'!H30),"—")&amp;"   •   غياب متتالي: "&amp;'حضور ميخائيل'!G30)</f>
        <v/>
      </c>
      <c r="K95" s="77"/>
      <c r="L95" s="77"/>
    </row>
    <row r="96" spans="2:12" ht="13.5" customHeight="1"/>
    <row r="97" spans="2:12" ht="30" customHeight="1">
      <c r="B97" s="78" t="str">
        <f>IF($Q$33=0,"",IF(INDEX('قاعدة البيانات'!$D$6:$D$305,$Q$33)="بنت","👧 ","👦 ")&amp;INDEX('قاعدة البيانات'!$C$6:$C$305,$Q$33))</f>
        <v/>
      </c>
      <c r="C97" s="78"/>
      <c r="D97" s="78"/>
      <c r="F97" s="78" t="str">
        <f>IF($Q$34=0,"",IF(INDEX('قاعدة البيانات'!$D$6:$D$305,$Q$34)="بنت","👧 ","👦 ")&amp;INDEX('قاعدة البيانات'!$C$6:$C$305,$Q$34))</f>
        <v/>
      </c>
      <c r="G97" s="78"/>
      <c r="H97" s="78"/>
      <c r="J97" s="78" t="str">
        <f>IF($Q$35=0,"",IF(INDEX('قاعدة البيانات'!$D$6:$D$305,$Q$35)="بنت","👧 ","👦 ")&amp;INDEX('قاعدة البيانات'!$C$6:$C$305,$Q$35))</f>
        <v/>
      </c>
      <c r="K97" s="78"/>
      <c r="L97" s="78"/>
    </row>
    <row r="98" spans="2:12" ht="108" customHeight="1">
      <c r="B98" s="24" t="str">
        <f>IF($Q$33=0,"",IF(ISBLANK(INDEX('قاعدة البيانات'!$K$6:$K$305,$Q$33)),LEFT(INDEX('قاعدة البيانات'!$C$6:$C$305,$Q$33),1),INDEX('قاعدة البيانات'!$K$6:$K$305,$Q$33)))</f>
        <v/>
      </c>
      <c r="C98" s="79"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79"/>
      <c r="F98" s="24" t="str">
        <f>IF($Q$34=0,"",IF(ISBLANK(INDEX('قاعدة البيانات'!$K$6:$K$305,$Q$34)),LEFT(INDEX('قاعدة البيانات'!$C$6:$C$305,$Q$34),1),INDEX('قاعدة البيانات'!$K$6:$K$305,$Q$34)))</f>
        <v/>
      </c>
      <c r="G98" s="79"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79"/>
      <c r="J98" s="24" t="str">
        <f>IF($Q$35=0,"",IF(ISBLANK(INDEX('قاعدة البيانات'!$K$6:$K$305,$Q$35)),LEFT(INDEX('قاعدة البيانات'!$C$6:$C$305,$Q$35),1),INDEX('قاعدة البيانات'!$K$6:$K$305,$Q$35)))</f>
        <v/>
      </c>
      <c r="K98" s="79"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79"/>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80" t="str">
        <f>IF($Q$33=0,"","📍 "&amp;IF(INDEX('قاعدة البيانات'!$J$6:$J$305,$Q$33)="","— مفيش عنوان —",INDEX('قاعدة البيانات'!$J$6:$J$305,$Q$33)))</f>
        <v/>
      </c>
      <c r="C101" s="80"/>
      <c r="D101" s="80"/>
      <c r="F101" s="80" t="str">
        <f>IF($Q$34=0,"","📍 "&amp;IF(INDEX('قاعدة البيانات'!$J$6:$J$305,$Q$34)="","— مفيش عنوان —",INDEX('قاعدة البيانات'!$J$6:$J$305,$Q$34)))</f>
        <v/>
      </c>
      <c r="G101" s="80"/>
      <c r="H101" s="80"/>
      <c r="J101" s="80" t="str">
        <f>IF($Q$35=0,"","📍 "&amp;IF(INDEX('قاعدة البيانات'!$J$6:$J$305,$Q$35)="","— مفيش عنوان —",INDEX('قاعدة البيانات'!$J$6:$J$305,$Q$35)))</f>
        <v/>
      </c>
      <c r="K101" s="80"/>
      <c r="L101" s="80"/>
    </row>
    <row r="102" spans="2:12" ht="21.75" customHeight="1">
      <c r="B102" s="75" t="str">
        <f>IF($Q$33=0,"","📊 إحصائيات الحضور")</f>
        <v/>
      </c>
      <c r="C102" s="75"/>
      <c r="D102" s="75"/>
      <c r="F102" s="75" t="str">
        <f>IF($Q$34=0,"","📊 إحصائيات الحضور")</f>
        <v/>
      </c>
      <c r="G102" s="75"/>
      <c r="H102" s="75"/>
      <c r="J102" s="75" t="str">
        <f>IF($Q$35=0,"","📊 إحصائيات الحضور")</f>
        <v/>
      </c>
      <c r="K102" s="75"/>
      <c r="L102" s="75"/>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ميخائيل'!C31</f>
        <v/>
      </c>
      <c r="C104" s="30" t="str">
        <f>'حضور ميخائيل'!D31</f>
        <v/>
      </c>
      <c r="D104" s="31" t="str">
        <f>'حضور ميخائيل'!F31</f>
        <v/>
      </c>
      <c r="F104" s="29" t="str">
        <f>'حضور ميخائيل'!C32</f>
        <v/>
      </c>
      <c r="G104" s="30" t="str">
        <f>'حضور ميخائيل'!D32</f>
        <v/>
      </c>
      <c r="H104" s="31" t="str">
        <f>'حضور ميخائيل'!F32</f>
        <v/>
      </c>
      <c r="J104" s="29" t="str">
        <f>'حضور ميخائيل'!C33</f>
        <v/>
      </c>
      <c r="K104" s="30" t="str">
        <f>'حضور ميخائيل'!D33</f>
        <v/>
      </c>
      <c r="L104" s="31" t="str">
        <f>'حضور ميخائيل'!F33</f>
        <v/>
      </c>
    </row>
    <row r="105" spans="2:12" ht="24" customHeight="1">
      <c r="B105" s="76" t="str">
        <f>'حضور ميخائيل'!I31</f>
        <v/>
      </c>
      <c r="C105" s="76"/>
      <c r="D105" s="76"/>
      <c r="F105" s="76" t="str">
        <f>'حضور ميخائيل'!I32</f>
        <v/>
      </c>
      <c r="G105" s="76"/>
      <c r="H105" s="76"/>
      <c r="J105" s="76" t="str">
        <f>'حضور ميخائيل'!I33</f>
        <v/>
      </c>
      <c r="K105" s="76"/>
      <c r="L105" s="76"/>
    </row>
    <row r="106" spans="2:12" ht="19.5" customHeight="1">
      <c r="B106" s="77" t="str">
        <f>IF($Q$33=0,"","🗓️ آخر حضور: "&amp;IF(ISNUMBER('حضور ميخائيل'!H31),DAY('حضور ميخائيل'!H31)&amp;"/"&amp;MONTH('حضور ميخائيل'!H31)&amp;"/"&amp;YEAR('حضور ميخائيل'!H31),"—")&amp;"   •   غياب متتالي: "&amp;'حضور ميخائيل'!G31)</f>
        <v/>
      </c>
      <c r="C106" s="77"/>
      <c r="D106" s="77"/>
      <c r="F106" s="77" t="str">
        <f>IF($Q$34=0,"","🗓️ آخر حضور: "&amp;IF(ISNUMBER('حضور ميخائيل'!H32),DAY('حضور ميخائيل'!H32)&amp;"/"&amp;MONTH('حضور ميخائيل'!H32)&amp;"/"&amp;YEAR('حضور ميخائيل'!H32),"—")&amp;"   •   غياب متتالي: "&amp;'حضور ميخائيل'!G32)</f>
        <v/>
      </c>
      <c r="G106" s="77"/>
      <c r="H106" s="77"/>
      <c r="J106" s="77" t="str">
        <f>IF($Q$35=0,"","🗓️ آخر حضور: "&amp;IF(ISNUMBER('حضور ميخائيل'!H33),DAY('حضور ميخائيل'!H33)&amp;"/"&amp;MONTH('حضور ميخائيل'!H33)&amp;"/"&amp;YEAR('حضور ميخائيل'!H33),"—")&amp;"   •   غياب متتالي: "&amp;'حضور ميخائيل'!G33)</f>
        <v/>
      </c>
      <c r="K106" s="77"/>
      <c r="L106" s="77"/>
    </row>
    <row r="107" spans="2:12" ht="13.5" customHeight="1"/>
    <row r="108" spans="2:12" ht="30" customHeight="1">
      <c r="B108" s="78" t="str">
        <f>IF($Q$36=0,"",IF(INDEX('قاعدة البيانات'!$D$6:$D$305,$Q$36)="بنت","👧 ","👦 ")&amp;INDEX('قاعدة البيانات'!$C$6:$C$305,$Q$36))</f>
        <v/>
      </c>
      <c r="C108" s="78"/>
      <c r="D108" s="78"/>
      <c r="F108" s="78" t="str">
        <f>IF($Q$37=0,"",IF(INDEX('قاعدة البيانات'!$D$6:$D$305,$Q$37)="بنت","👧 ","👦 ")&amp;INDEX('قاعدة البيانات'!$C$6:$C$305,$Q$37))</f>
        <v/>
      </c>
      <c r="G108" s="78"/>
      <c r="H108" s="78"/>
      <c r="J108" s="78" t="str">
        <f>IF($Q$38=0,"",IF(INDEX('قاعدة البيانات'!$D$6:$D$305,$Q$38)="بنت","👧 ","👦 ")&amp;INDEX('قاعدة البيانات'!$C$6:$C$305,$Q$38))</f>
        <v/>
      </c>
      <c r="K108" s="78"/>
      <c r="L108" s="78"/>
    </row>
    <row r="109" spans="2:12" ht="108" customHeight="1">
      <c r="B109" s="24" t="str">
        <f>IF($Q$36=0,"",IF(ISBLANK(INDEX('قاعدة البيانات'!$K$6:$K$305,$Q$36)),LEFT(INDEX('قاعدة البيانات'!$C$6:$C$305,$Q$36),1),INDEX('قاعدة البيانات'!$K$6:$K$305,$Q$36)))</f>
        <v/>
      </c>
      <c r="C109" s="79"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79"/>
      <c r="F109" s="24" t="str">
        <f>IF($Q$37=0,"",IF(ISBLANK(INDEX('قاعدة البيانات'!$K$6:$K$305,$Q$37)),LEFT(INDEX('قاعدة البيانات'!$C$6:$C$305,$Q$37),1),INDEX('قاعدة البيانات'!$K$6:$K$305,$Q$37)))</f>
        <v/>
      </c>
      <c r="G109" s="79"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79"/>
      <c r="J109" s="24" t="str">
        <f>IF($Q$38=0,"",IF(ISBLANK(INDEX('قاعدة البيانات'!$K$6:$K$305,$Q$38)),LEFT(INDEX('قاعدة البيانات'!$C$6:$C$305,$Q$38),1),INDEX('قاعدة البيانات'!$K$6:$K$305,$Q$38)))</f>
        <v/>
      </c>
      <c r="K109" s="79"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79"/>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80" t="str">
        <f>IF($Q$36=0,"","📍 "&amp;IF(INDEX('قاعدة البيانات'!$J$6:$J$305,$Q$36)="","— مفيش عنوان —",INDEX('قاعدة البيانات'!$J$6:$J$305,$Q$36)))</f>
        <v/>
      </c>
      <c r="C112" s="80"/>
      <c r="D112" s="80"/>
      <c r="F112" s="80" t="str">
        <f>IF($Q$37=0,"","📍 "&amp;IF(INDEX('قاعدة البيانات'!$J$6:$J$305,$Q$37)="","— مفيش عنوان —",INDEX('قاعدة البيانات'!$J$6:$J$305,$Q$37)))</f>
        <v/>
      </c>
      <c r="G112" s="80"/>
      <c r="H112" s="80"/>
      <c r="J112" s="80" t="str">
        <f>IF($Q$38=0,"","📍 "&amp;IF(INDEX('قاعدة البيانات'!$J$6:$J$305,$Q$38)="","— مفيش عنوان —",INDEX('قاعدة البيانات'!$J$6:$J$305,$Q$38)))</f>
        <v/>
      </c>
      <c r="K112" s="80"/>
      <c r="L112" s="80"/>
    </row>
    <row r="113" spans="2:12" ht="21.75" customHeight="1">
      <c r="B113" s="75" t="str">
        <f>IF($Q$36=0,"","📊 إحصائيات الحضور")</f>
        <v/>
      </c>
      <c r="C113" s="75"/>
      <c r="D113" s="75"/>
      <c r="F113" s="75" t="str">
        <f>IF($Q$37=0,"","📊 إحصائيات الحضور")</f>
        <v/>
      </c>
      <c r="G113" s="75"/>
      <c r="H113" s="75"/>
      <c r="J113" s="75" t="str">
        <f>IF($Q$38=0,"","📊 إحصائيات الحضور")</f>
        <v/>
      </c>
      <c r="K113" s="75"/>
      <c r="L113" s="75"/>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ميخائيل'!C34</f>
        <v/>
      </c>
      <c r="C115" s="30" t="str">
        <f>'حضور ميخائيل'!D34</f>
        <v/>
      </c>
      <c r="D115" s="31" t="str">
        <f>'حضور ميخائيل'!F34</f>
        <v/>
      </c>
      <c r="F115" s="29" t="str">
        <f>'حضور ميخائيل'!C35</f>
        <v/>
      </c>
      <c r="G115" s="30" t="str">
        <f>'حضور ميخائيل'!D35</f>
        <v/>
      </c>
      <c r="H115" s="31" t="str">
        <f>'حضور ميخائيل'!F35</f>
        <v/>
      </c>
      <c r="J115" s="29" t="str">
        <f>'حضور ميخائيل'!C36</f>
        <v/>
      </c>
      <c r="K115" s="30" t="str">
        <f>'حضور ميخائيل'!D36</f>
        <v/>
      </c>
      <c r="L115" s="31" t="str">
        <f>'حضور ميخائيل'!F36</f>
        <v/>
      </c>
    </row>
    <row r="116" spans="2:12" ht="24" customHeight="1">
      <c r="B116" s="76" t="str">
        <f>'حضور ميخائيل'!I34</f>
        <v/>
      </c>
      <c r="C116" s="76"/>
      <c r="D116" s="76"/>
      <c r="F116" s="76" t="str">
        <f>'حضور ميخائيل'!I35</f>
        <v/>
      </c>
      <c r="G116" s="76"/>
      <c r="H116" s="76"/>
      <c r="J116" s="76" t="str">
        <f>'حضور ميخائيل'!I36</f>
        <v/>
      </c>
      <c r="K116" s="76"/>
      <c r="L116" s="76"/>
    </row>
    <row r="117" spans="2:12" ht="19.5" customHeight="1">
      <c r="B117" s="77" t="str">
        <f>IF($Q$36=0,"","🗓️ آخر حضور: "&amp;IF(ISNUMBER('حضور ميخائيل'!H34),DAY('حضور ميخائيل'!H34)&amp;"/"&amp;MONTH('حضور ميخائيل'!H34)&amp;"/"&amp;YEAR('حضور ميخائيل'!H34),"—")&amp;"   •   غياب متتالي: "&amp;'حضور ميخائيل'!G34)</f>
        <v/>
      </c>
      <c r="C117" s="77"/>
      <c r="D117" s="77"/>
      <c r="F117" s="77" t="str">
        <f>IF($Q$37=0,"","🗓️ آخر حضور: "&amp;IF(ISNUMBER('حضور ميخائيل'!H35),DAY('حضور ميخائيل'!H35)&amp;"/"&amp;MONTH('حضور ميخائيل'!H35)&amp;"/"&amp;YEAR('حضور ميخائيل'!H35),"—")&amp;"   •   غياب متتالي: "&amp;'حضور ميخائيل'!G35)</f>
        <v/>
      </c>
      <c r="G117" s="77"/>
      <c r="H117" s="77"/>
      <c r="J117" s="77" t="str">
        <f>IF($Q$38=0,"","🗓️ آخر حضور: "&amp;IF(ISNUMBER('حضور ميخائيل'!H36),DAY('حضور ميخائيل'!H36)&amp;"/"&amp;MONTH('حضور ميخائيل'!H36)&amp;"/"&amp;YEAR('حضور ميخائيل'!H36),"—")&amp;"   •   غياب متتالي: "&amp;'حضور ميخائيل'!G36)</f>
        <v/>
      </c>
      <c r="K117" s="77"/>
      <c r="L117" s="77"/>
    </row>
    <row r="118" spans="2:12" ht="13.5" customHeight="1"/>
  </sheetData>
  <sheetProtection sheet="1"/>
  <mergeCells count="192">
    <mergeCell ref="B1:L1"/>
    <mergeCell ref="B2:C2"/>
    <mergeCell ref="D2:F2"/>
    <mergeCell ref="G2:H2"/>
    <mergeCell ref="J2:K2"/>
    <mergeCell ref="B4:D4"/>
    <mergeCell ref="F4:H4"/>
    <mergeCell ref="J4:L4"/>
    <mergeCell ref="B5:D5"/>
    <mergeCell ref="F5:H5"/>
    <mergeCell ref="J5:L5"/>
    <mergeCell ref="B6:L6"/>
    <mergeCell ref="B9:D9"/>
    <mergeCell ref="F9:H9"/>
    <mergeCell ref="J9:L9"/>
    <mergeCell ref="C10:D10"/>
    <mergeCell ref="G10:H10"/>
    <mergeCell ref="K10:L10"/>
    <mergeCell ref="B13:D13"/>
    <mergeCell ref="F13:H13"/>
    <mergeCell ref="J13:L13"/>
    <mergeCell ref="B14:D14"/>
    <mergeCell ref="F14:H14"/>
    <mergeCell ref="J14:L14"/>
    <mergeCell ref="B17:D17"/>
    <mergeCell ref="F17:H17"/>
    <mergeCell ref="J17:L17"/>
    <mergeCell ref="B18:D18"/>
    <mergeCell ref="F18:H18"/>
    <mergeCell ref="J18:L18"/>
    <mergeCell ref="B20:D20"/>
    <mergeCell ref="F20:H20"/>
    <mergeCell ref="J20:L20"/>
    <mergeCell ref="C21:D21"/>
    <mergeCell ref="G21:H21"/>
    <mergeCell ref="K21:L21"/>
    <mergeCell ref="B24:D24"/>
    <mergeCell ref="F24:H24"/>
    <mergeCell ref="J24:L24"/>
    <mergeCell ref="B25:D25"/>
    <mergeCell ref="F25:H25"/>
    <mergeCell ref="J25:L25"/>
    <mergeCell ref="B28:D28"/>
    <mergeCell ref="F28:H28"/>
    <mergeCell ref="J28:L28"/>
    <mergeCell ref="B29:D29"/>
    <mergeCell ref="F29:H29"/>
    <mergeCell ref="J29:L29"/>
    <mergeCell ref="B31:D31"/>
    <mergeCell ref="F31:H31"/>
    <mergeCell ref="J31:L31"/>
    <mergeCell ref="C32:D32"/>
    <mergeCell ref="G32:H32"/>
    <mergeCell ref="K32:L32"/>
    <mergeCell ref="B35:D35"/>
    <mergeCell ref="F35:H35"/>
    <mergeCell ref="J35:L35"/>
    <mergeCell ref="B36:D36"/>
    <mergeCell ref="F36:H36"/>
    <mergeCell ref="J36:L36"/>
    <mergeCell ref="B39:D39"/>
    <mergeCell ref="F39:H39"/>
    <mergeCell ref="J39:L39"/>
    <mergeCell ref="B40:D40"/>
    <mergeCell ref="F40:H40"/>
    <mergeCell ref="J40:L40"/>
    <mergeCell ref="B42:D42"/>
    <mergeCell ref="F42:H42"/>
    <mergeCell ref="J42:L42"/>
    <mergeCell ref="C43:D43"/>
    <mergeCell ref="G43:H43"/>
    <mergeCell ref="K43:L43"/>
    <mergeCell ref="B46:D46"/>
    <mergeCell ref="F46:H46"/>
    <mergeCell ref="J46:L46"/>
    <mergeCell ref="B47:D47"/>
    <mergeCell ref="F47:H47"/>
    <mergeCell ref="J47:L47"/>
    <mergeCell ref="B50:D50"/>
    <mergeCell ref="F50:H50"/>
    <mergeCell ref="J50:L50"/>
    <mergeCell ref="B51:D51"/>
    <mergeCell ref="F51:H51"/>
    <mergeCell ref="J51:L51"/>
    <mergeCell ref="B53:D53"/>
    <mergeCell ref="F53:H53"/>
    <mergeCell ref="J53:L53"/>
    <mergeCell ref="C54:D54"/>
    <mergeCell ref="G54:H54"/>
    <mergeCell ref="K54:L54"/>
    <mergeCell ref="B57:D57"/>
    <mergeCell ref="F57:H57"/>
    <mergeCell ref="J57:L57"/>
    <mergeCell ref="B58:D58"/>
    <mergeCell ref="F58:H58"/>
    <mergeCell ref="J58:L58"/>
    <mergeCell ref="B61:D61"/>
    <mergeCell ref="F61:H61"/>
    <mergeCell ref="J61:L61"/>
    <mergeCell ref="B62:D62"/>
    <mergeCell ref="F62:H62"/>
    <mergeCell ref="J62:L62"/>
    <mergeCell ref="B64:D64"/>
    <mergeCell ref="F64:H64"/>
    <mergeCell ref="J64:L64"/>
    <mergeCell ref="C65:D65"/>
    <mergeCell ref="G65:H65"/>
    <mergeCell ref="K65:L65"/>
    <mergeCell ref="B68:D68"/>
    <mergeCell ref="F68:H68"/>
    <mergeCell ref="J68:L68"/>
    <mergeCell ref="B69:D69"/>
    <mergeCell ref="F69:H69"/>
    <mergeCell ref="J69:L69"/>
    <mergeCell ref="B72:D72"/>
    <mergeCell ref="F72:H72"/>
    <mergeCell ref="J72:L72"/>
    <mergeCell ref="B73:D73"/>
    <mergeCell ref="F73:H73"/>
    <mergeCell ref="J73:L73"/>
    <mergeCell ref="B75:D75"/>
    <mergeCell ref="F75:H75"/>
    <mergeCell ref="J75:L75"/>
    <mergeCell ref="C76:D76"/>
    <mergeCell ref="G76:H76"/>
    <mergeCell ref="K76:L76"/>
    <mergeCell ref="B79:D79"/>
    <mergeCell ref="F79:H79"/>
    <mergeCell ref="J79:L79"/>
    <mergeCell ref="B80:D80"/>
    <mergeCell ref="F80:H80"/>
    <mergeCell ref="J80:L80"/>
    <mergeCell ref="B83:D83"/>
    <mergeCell ref="F83:H83"/>
    <mergeCell ref="J83:L83"/>
    <mergeCell ref="B84:D84"/>
    <mergeCell ref="F84:H84"/>
    <mergeCell ref="J84:L84"/>
    <mergeCell ref="B86:D86"/>
    <mergeCell ref="F86:H86"/>
    <mergeCell ref="J86:L86"/>
    <mergeCell ref="C87:D87"/>
    <mergeCell ref="G87:H87"/>
    <mergeCell ref="K87:L87"/>
    <mergeCell ref="B90:D90"/>
    <mergeCell ref="F90:H90"/>
    <mergeCell ref="J90:L90"/>
    <mergeCell ref="B91:D91"/>
    <mergeCell ref="F91:H91"/>
    <mergeCell ref="J91:L91"/>
    <mergeCell ref="B94:D94"/>
    <mergeCell ref="F94:H94"/>
    <mergeCell ref="J94:L94"/>
    <mergeCell ref="B95:D95"/>
    <mergeCell ref="F95:H95"/>
    <mergeCell ref="J95:L95"/>
    <mergeCell ref="B97:D97"/>
    <mergeCell ref="F97:H97"/>
    <mergeCell ref="J97:L97"/>
    <mergeCell ref="C98:D98"/>
    <mergeCell ref="G98:H98"/>
    <mergeCell ref="K98:L98"/>
    <mergeCell ref="B101:D101"/>
    <mergeCell ref="F101:H101"/>
    <mergeCell ref="J101:L101"/>
    <mergeCell ref="B102:D102"/>
    <mergeCell ref="F102:H102"/>
    <mergeCell ref="J102:L102"/>
    <mergeCell ref="B105:D105"/>
    <mergeCell ref="F105:H105"/>
    <mergeCell ref="J105:L105"/>
    <mergeCell ref="B106:D106"/>
    <mergeCell ref="F106:H106"/>
    <mergeCell ref="J106:L106"/>
    <mergeCell ref="B108:D108"/>
    <mergeCell ref="F108:H108"/>
    <mergeCell ref="J108:L108"/>
    <mergeCell ref="C109:D109"/>
    <mergeCell ref="G109:H109"/>
    <mergeCell ref="K109:L109"/>
    <mergeCell ref="B112:D112"/>
    <mergeCell ref="F112:H112"/>
    <mergeCell ref="J112:L112"/>
    <mergeCell ref="B113:D113"/>
    <mergeCell ref="F113:H113"/>
    <mergeCell ref="J113:L113"/>
    <mergeCell ref="B116:D116"/>
    <mergeCell ref="F116:H116"/>
    <mergeCell ref="J116:L116"/>
    <mergeCell ref="B117:D117"/>
    <mergeCell ref="F117:H117"/>
    <mergeCell ref="J117:L117"/>
  </mergeCells>
  <conditionalFormatting sqref="B10 F10 J10 B21 F21 J21 B32 F32 J32 B43 F43 J43 B54 F54 J54 B65 F65 J65 B76 F76 J76 B87 F87 J87 B98 F98 J98 B109 F109 J109">
    <cfRule type="expression" dxfId="80" priority="4">
      <formula>INDEX($R$9:$R$38,(INT((ROW()-9)/11)*3+INT((COLUMN()-2)/4)+1))="ولد"</formula>
    </cfRule>
    <cfRule type="expression" dxfId="79"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78"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77" priority="2">
      <formula>INDEX($S$9:$S$38,(INT((ROW()-9)/11)*3+INT((COLUMN()-2)/4)+1))=5</formula>
    </cfRule>
    <cfRule type="expression" dxfId="76"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75"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74"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73"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72" priority="17">
      <formula>INDEX($S$9:$S$38,(INT((ROW()-9)/11)*3+INT((COLUMN()-2)/4)+1))=1</formula>
    </cfRule>
    <cfRule type="expression" dxfId="71" priority="18">
      <formula>INDEX($S$9:$S$38,(INT((ROW()-9)/11)*3+INT((COLUMN()-2)/4)+1))=2</formula>
    </cfRule>
    <cfRule type="expression" dxfId="70" priority="19">
      <formula>INDEX($S$9:$S$38,(INT((ROW()-9)/11)*3+INT((COLUMN()-2)/4)+1))=3</formula>
    </cfRule>
    <cfRule type="expression" dxfId="69" priority="20">
      <formula>INDEX($S$9:$S$38,(INT((ROW()-9)/11)*3+INT((COLUMN()-2)/4)+1))=4</formula>
    </cfRule>
    <cfRule type="expression" dxfId="68"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67"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66" priority="6">
      <formula>INDEX($Q$9:$Q$38,(INT((ROW()-9)/11)*3+INT((COLUMN()-2)/4)+1))&gt;0</formula>
    </cfRule>
  </conditionalFormatting>
  <conditionalFormatting sqref="D16 H16 L16 D27 H27 L27 D38 H38 L38 D49 H49 L49 D60 H60 L60 D71 H71 L71 D82 H82 L82 D93 H93 L93 D104 H104 L104 D115 H115 L115">
    <cfRule type="expression" dxfId="65" priority="13">
      <formula>INDEX($S$9:$S$38,(INT((ROW()-9)/11)*3+INT((COLUMN()-2)/4)+1))=1</formula>
    </cfRule>
    <cfRule type="expression" dxfId="64" priority="14">
      <formula>INDEX($S$9:$S$38,(INT((ROW()-9)/11)*3+INT((COLUMN()-2)/4)+1))=2</formula>
    </cfRule>
    <cfRule type="expression" dxfId="63" priority="15">
      <formula>OR(INDEX($S$9:$S$38,(INT((ROW()-9)/11)*3+INT((COLUMN()-2)/4)+1))=3,INDEX($S$9:$S$38,(INT((ROW()-9)/11)*3+INT((COLUMN()-2)/4)+1))=4)</formula>
    </cfRule>
    <cfRule type="expression" dxfId="62"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4" t="str">
        <f>"📅 قايمة حضور ملاك "&amp;الإعدادات!$B$4</f>
        <v>📅 قايمة حضور ملاك سوريال</v>
      </c>
      <c r="B1" s="154"/>
      <c r="C1" s="154"/>
      <c r="D1" s="154"/>
      <c r="E1" s="154"/>
      <c r="F1" s="154"/>
      <c r="G1" s="154"/>
      <c r="H1" s="154"/>
      <c r="I1" s="154"/>
      <c r="J1" s="154"/>
      <c r="K1" s="154"/>
      <c r="L1" s="154"/>
      <c r="M1" s="154"/>
      <c r="N1" s="154"/>
      <c r="O1" s="154"/>
      <c r="P1" s="154"/>
      <c r="Q1" s="154"/>
      <c r="R1" s="154"/>
    </row>
    <row r="2" spans="1:65" ht="27.75" customHeight="1">
      <c r="A2" s="83" t="str">
        <f>HYPERLINK("#'الرئيسية'!A1","🏠 الرئيسية")</f>
        <v>🏠 الرئيسية</v>
      </c>
      <c r="B2" s="83"/>
      <c r="C2" s="85" t="str">
        <f>HYPERLINK("#'فصل سوريال'!A1","🪪 كروت الفصل")</f>
        <v>🪪 كروت الفصل</v>
      </c>
      <c r="D2" s="85"/>
      <c r="E2" s="85"/>
      <c r="F2" s="85"/>
      <c r="G2" s="84" t="str">
        <f>HYPERLINK("#'قاعدة البيانات'!C"&amp;MIN(305,6+COUNTA('قاعدة البيانات'!$C$6:$C$305)),"➕ إضافة طفل")</f>
        <v>➕ إضافة طفل</v>
      </c>
      <c r="H2" s="84"/>
      <c r="I2" s="84"/>
      <c r="J2" s="83" t="str">
        <f>HYPERLINK("#'الافتقاد'!A1","📞 الافتقاد")</f>
        <v>📞 الافتقاد</v>
      </c>
      <c r="K2" s="83"/>
      <c r="L2" s="83"/>
      <c r="M2" s="83"/>
      <c r="N2" s="83"/>
      <c r="O2" s="83"/>
      <c r="P2" s="83" t="str">
        <f>HYPERLINK("#'قاعدة البيانات'!A1","📋 القاعدة")</f>
        <v>📋 القاعدة</v>
      </c>
      <c r="Q2" s="83"/>
      <c r="R2" s="83"/>
      <c r="S2" s="83"/>
      <c r="T2" s="83"/>
      <c r="U2" s="83"/>
      <c r="V2" s="83"/>
    </row>
    <row r="3" spans="1:65" ht="25.5" customHeight="1">
      <c r="A3" s="150" t="str">
        <f>"📅 جمع مسجلة: "&amp;COUNT(J4:BJ4)&amp;"  |  📊 "&amp;IFERROR(ROUND(SUM(C7:C36)/(SUM(C7:C36)+SUM(D7:D36))*100,0)&amp;"%","—")</f>
        <v>📅 جمع مسجلة: 0  |  📊 —</v>
      </c>
      <c r="B3" s="150"/>
      <c r="C3" s="151" t="s">
        <v>55</v>
      </c>
      <c r="D3" s="151"/>
      <c r="E3" s="151"/>
      <c r="F3" s="151"/>
      <c r="G3" s="151"/>
      <c r="H3" s="151"/>
      <c r="I3" s="151"/>
      <c r="J3" s="152" t="s">
        <v>56</v>
      </c>
      <c r="K3" s="152"/>
      <c r="L3" s="152"/>
      <c r="M3" s="152"/>
      <c r="N3" s="152"/>
      <c r="O3" s="152"/>
      <c r="P3" s="152"/>
      <c r="Q3" s="152"/>
      <c r="R3" s="152"/>
      <c r="S3" s="152"/>
      <c r="T3" s="152"/>
      <c r="U3" s="152"/>
      <c r="V3" s="152"/>
      <c r="W3" s="152"/>
      <c r="X3" s="152"/>
      <c r="Y3" s="152"/>
      <c r="Z3" s="152"/>
      <c r="AA3" s="152"/>
      <c r="AB3" s="152"/>
      <c r="AC3" s="152"/>
      <c r="AD3" s="152"/>
      <c r="AE3" s="152"/>
      <c r="AF3" s="152"/>
      <c r="AG3" s="152"/>
      <c r="AH3" s="152"/>
      <c r="AI3" s="152"/>
      <c r="AJ3" s="152"/>
      <c r="AK3" s="152"/>
      <c r="AL3" s="152"/>
      <c r="AM3" s="152"/>
      <c r="AN3" s="152"/>
      <c r="AO3" s="152"/>
      <c r="AP3" s="152"/>
      <c r="AQ3" s="152"/>
      <c r="AR3" s="152"/>
      <c r="AS3" s="152"/>
      <c r="AT3" s="152"/>
      <c r="AU3" s="152"/>
      <c r="AV3" s="152"/>
      <c r="AW3" s="152"/>
      <c r="AX3" s="152"/>
      <c r="AY3" s="152"/>
      <c r="AZ3" s="152"/>
      <c r="BA3" s="152"/>
      <c r="BB3" s="152"/>
      <c r="BC3" s="152"/>
      <c r="BD3" s="152"/>
      <c r="BE3" s="152"/>
      <c r="BF3" s="152"/>
      <c r="BG3" s="152"/>
      <c r="BH3" s="152"/>
      <c r="BI3" s="152"/>
      <c r="BJ3" s="152"/>
    </row>
    <row r="4" spans="1:65" ht="21.75" customHeight="1">
      <c r="A4" s="153" t="s">
        <v>57</v>
      </c>
      <c r="B4" s="153"/>
      <c r="C4" s="153"/>
      <c r="D4" s="153"/>
      <c r="E4" s="153"/>
      <c r="F4" s="153"/>
      <c r="G4" s="153"/>
      <c r="H4" s="153"/>
      <c r="I4" s="153"/>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3" t="s">
        <v>58</v>
      </c>
      <c r="B5" s="153"/>
      <c r="C5" s="153"/>
      <c r="D5" s="153"/>
      <c r="E5" s="153"/>
      <c r="F5" s="153"/>
      <c r="G5" s="153"/>
      <c r="H5" s="153"/>
      <c r="I5" s="153"/>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34" t="s">
        <v>20</v>
      </c>
      <c r="B6" s="34" t="s">
        <v>22</v>
      </c>
      <c r="C6" s="34" t="s">
        <v>35</v>
      </c>
      <c r="D6" s="34" t="s">
        <v>36</v>
      </c>
      <c r="E6" s="34" t="s">
        <v>59</v>
      </c>
      <c r="F6" s="34" t="s">
        <v>37</v>
      </c>
      <c r="G6" s="34" t="s">
        <v>38</v>
      </c>
      <c r="H6" s="34" t="s">
        <v>39</v>
      </c>
      <c r="I6" s="34" t="s">
        <v>32</v>
      </c>
      <c r="J6" s="35">
        <f>IF(الإعدادات!$B$14&lt;=الإعدادات!$B$11,الإعدادات!$B$14,"")</f>
        <v>46297</v>
      </c>
      <c r="K6" s="35">
        <f>IF(J6="","",IF(J6+7&lt;=الإعدادات!$B$11,J6+7,""))</f>
        <v>46304</v>
      </c>
      <c r="L6" s="35">
        <f>IF(K6="","",IF(K6+7&lt;=الإعدادات!$B$11,K6+7,""))</f>
        <v>46311</v>
      </c>
      <c r="M6" s="35">
        <f>IF(L6="","",IF(L6+7&lt;=الإعدادات!$B$11,L6+7,""))</f>
        <v>46318</v>
      </c>
      <c r="N6" s="35">
        <f>IF(M6="","",IF(M6+7&lt;=الإعدادات!$B$11,M6+7,""))</f>
        <v>46325</v>
      </c>
      <c r="O6" s="35">
        <f>IF(N6="","",IF(N6+7&lt;=الإعدادات!$B$11,N6+7,""))</f>
        <v>46332</v>
      </c>
      <c r="P6" s="35">
        <f>IF(O6="","",IF(O6+7&lt;=الإعدادات!$B$11,O6+7,""))</f>
        <v>46339</v>
      </c>
      <c r="Q6" s="35">
        <f>IF(P6="","",IF(P6+7&lt;=الإعدادات!$B$11,P6+7,""))</f>
        <v>46346</v>
      </c>
      <c r="R6" s="35">
        <f>IF(Q6="","",IF(Q6+7&lt;=الإعدادات!$B$11,Q6+7,""))</f>
        <v>46353</v>
      </c>
      <c r="S6" s="35">
        <f>IF(R6="","",IF(R6+7&lt;=الإعدادات!$B$11,R6+7,""))</f>
        <v>46360</v>
      </c>
      <c r="T6" s="35">
        <f>IF(S6="","",IF(S6+7&lt;=الإعدادات!$B$11,S6+7,""))</f>
        <v>46367</v>
      </c>
      <c r="U6" s="35">
        <f>IF(T6="","",IF(T6+7&lt;=الإعدادات!$B$11,T6+7,""))</f>
        <v>46374</v>
      </c>
      <c r="V6" s="35">
        <f>IF(U6="","",IF(U6+7&lt;=الإعدادات!$B$11,U6+7,""))</f>
        <v>46381</v>
      </c>
      <c r="W6" s="35">
        <f>IF(V6="","",IF(V6+7&lt;=الإعدادات!$B$11,V6+7,""))</f>
        <v>46388</v>
      </c>
      <c r="X6" s="35">
        <f>IF(W6="","",IF(W6+7&lt;=الإعدادات!$B$11,W6+7,""))</f>
        <v>46395</v>
      </c>
      <c r="Y6" s="35">
        <f>IF(X6="","",IF(X6+7&lt;=الإعدادات!$B$11,X6+7,""))</f>
        <v>46402</v>
      </c>
      <c r="Z6" s="35">
        <f>IF(Y6="","",IF(Y6+7&lt;=الإعدادات!$B$11,Y6+7,""))</f>
        <v>46409</v>
      </c>
      <c r="AA6" s="35">
        <f>IF(Z6="","",IF(Z6+7&lt;=الإعدادات!$B$11,Z6+7,""))</f>
        <v>46416</v>
      </c>
      <c r="AB6" s="35">
        <f>IF(AA6="","",IF(AA6+7&lt;=الإعدادات!$B$11,AA6+7,""))</f>
        <v>46423</v>
      </c>
      <c r="AC6" s="35">
        <f>IF(AB6="","",IF(AB6+7&lt;=الإعدادات!$B$11,AB6+7,""))</f>
        <v>46430</v>
      </c>
      <c r="AD6" s="35">
        <f>IF(AC6="","",IF(AC6+7&lt;=الإعدادات!$B$11,AC6+7,""))</f>
        <v>46437</v>
      </c>
      <c r="AE6" s="35">
        <f>IF(AD6="","",IF(AD6+7&lt;=الإعدادات!$B$11,AD6+7,""))</f>
        <v>46444</v>
      </c>
      <c r="AF6" s="35">
        <f>IF(AE6="","",IF(AE6+7&lt;=الإعدادات!$B$11,AE6+7,""))</f>
        <v>46451</v>
      </c>
      <c r="AG6" s="35">
        <f>IF(AF6="","",IF(AF6+7&lt;=الإعدادات!$B$11,AF6+7,""))</f>
        <v>46458</v>
      </c>
      <c r="AH6" s="35">
        <f>IF(AG6="","",IF(AG6+7&lt;=الإعدادات!$B$11,AG6+7,""))</f>
        <v>46465</v>
      </c>
      <c r="AI6" s="35">
        <f>IF(AH6="","",IF(AH6+7&lt;=الإعدادات!$B$11,AH6+7,""))</f>
        <v>46472</v>
      </c>
      <c r="AJ6" s="35">
        <f>IF(AI6="","",IF(AI6+7&lt;=الإعدادات!$B$11,AI6+7,""))</f>
        <v>46479</v>
      </c>
      <c r="AK6" s="35">
        <f>IF(AJ6="","",IF(AJ6+7&lt;=الإعدادات!$B$11,AJ6+7,""))</f>
        <v>46486</v>
      </c>
      <c r="AL6" s="35">
        <f>IF(AK6="","",IF(AK6+7&lt;=الإعدادات!$B$11,AK6+7,""))</f>
        <v>46493</v>
      </c>
      <c r="AM6" s="35">
        <f>IF(AL6="","",IF(AL6+7&lt;=الإعدادات!$B$11,AL6+7,""))</f>
        <v>46500</v>
      </c>
      <c r="AN6" s="35">
        <f>IF(AM6="","",IF(AM6+7&lt;=الإعدادات!$B$11,AM6+7,""))</f>
        <v>46507</v>
      </c>
      <c r="AO6" s="35">
        <f>IF(AN6="","",IF(AN6+7&lt;=الإعدادات!$B$11,AN6+7,""))</f>
        <v>46514</v>
      </c>
      <c r="AP6" s="35">
        <f>IF(AO6="","",IF(AO6+7&lt;=الإعدادات!$B$11,AO6+7,""))</f>
        <v>46521</v>
      </c>
      <c r="AQ6" s="35">
        <f>IF(AP6="","",IF(AP6+7&lt;=الإعدادات!$B$11,AP6+7,""))</f>
        <v>46528</v>
      </c>
      <c r="AR6" s="35">
        <f>IF(AQ6="","",IF(AQ6+7&lt;=الإعدادات!$B$11,AQ6+7,""))</f>
        <v>46535</v>
      </c>
      <c r="AS6" s="35">
        <f>IF(AR6="","",IF(AR6+7&lt;=الإعدادات!$B$11,AR6+7,""))</f>
        <v>46542</v>
      </c>
      <c r="AT6" s="35">
        <f>IF(AS6="","",IF(AS6+7&lt;=الإعدادات!$B$11,AS6+7,""))</f>
        <v>46549</v>
      </c>
      <c r="AU6" s="35">
        <f>IF(AT6="","",IF(AT6+7&lt;=الإعدادات!$B$11,AT6+7,""))</f>
        <v>46556</v>
      </c>
      <c r="AV6" s="35">
        <f>IF(AU6="","",IF(AU6+7&lt;=الإعدادات!$B$11,AU6+7,""))</f>
        <v>46563</v>
      </c>
      <c r="AW6" s="35">
        <f>IF(AV6="","",IF(AV6+7&lt;=الإعدادات!$B$11,AV6+7,""))</f>
        <v>46570</v>
      </c>
      <c r="AX6" s="35">
        <f>IF(AW6="","",IF(AW6+7&lt;=الإعدادات!$B$11,AW6+7,""))</f>
        <v>46577</v>
      </c>
      <c r="AY6" s="35">
        <f>IF(AX6="","",IF(AX6+7&lt;=الإعدادات!$B$11,AX6+7,""))</f>
        <v>46584</v>
      </c>
      <c r="AZ6" s="35">
        <f>IF(AY6="","",IF(AY6+7&lt;=الإعدادات!$B$11,AY6+7,""))</f>
        <v>46591</v>
      </c>
      <c r="BA6" s="35">
        <f>IF(AZ6="","",IF(AZ6+7&lt;=الإعدادات!$B$11,AZ6+7,""))</f>
        <v>46598</v>
      </c>
      <c r="BB6" s="35">
        <f>IF(BA6="","",IF(BA6+7&lt;=الإعدادات!$B$11,BA6+7,""))</f>
        <v>46605</v>
      </c>
      <c r="BC6" s="35">
        <f>IF(BB6="","",IF(BB6+7&lt;=الإعدادات!$B$11,BB6+7,""))</f>
        <v>46612</v>
      </c>
      <c r="BD6" s="35">
        <f>IF(BC6="","",IF(BC6+7&lt;=الإعدادات!$B$11,BC6+7,""))</f>
        <v>46619</v>
      </c>
      <c r="BE6" s="35">
        <f>IF(BD6="","",IF(BD6+7&lt;=الإعدادات!$B$11,BD6+7,""))</f>
        <v>46626</v>
      </c>
      <c r="BF6" s="35">
        <f>IF(BE6="","",IF(BE6+7&lt;=الإعدادات!$B$11,BE6+7,""))</f>
        <v>46633</v>
      </c>
      <c r="BG6" s="35">
        <f>IF(BF6="","",IF(BF6+7&lt;=الإعدادات!$B$11,BF6+7,""))</f>
        <v>46640</v>
      </c>
      <c r="BH6" s="35">
        <f>IF(BG6="","",IF(BG6+7&lt;=الإعدادات!$B$11,BG6+7,""))</f>
        <v>46647</v>
      </c>
      <c r="BI6" s="35">
        <f>IF(BH6="","",IF(BH6+7&lt;=الإعدادات!$B$11,BH6+7,""))</f>
        <v>46654</v>
      </c>
      <c r="BJ6" s="35">
        <f>IF(BI6="","",IF(BI6+7&lt;=الإعدادات!$B$11,BI6+7,""))</f>
        <v>46661</v>
      </c>
    </row>
    <row r="7" spans="1:65" ht="21.75" customHeight="1">
      <c r="A7" s="36">
        <f>IF($BL7=0,"",1)</f>
        <v>1</v>
      </c>
      <c r="B7" s="37" t="str">
        <f>IF($BL7=0,"",INDEX('قاعدة البيانات'!$C$6:$C$305,$BL7))</f>
        <v>بارثينيا اسحق جرجس نادى</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IFERROR(MATCH(الإعدادات!$B$4&amp;"|"&amp;1,'قاعدة البيانات'!$N$6:$N$305,0),0)</f>
        <v>25</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ادم يوسف يعقوب فهمى عزيز</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IFERROR(MATCH(الإعدادات!$B$4&amp;"|"&amp;2,'قاعدة البيانات'!$N$6:$N$305,0),0)</f>
        <v>26</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ميرا هاني ظريف فوزى</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IFERROR(MATCH(الإعدادات!$B$4&amp;"|"&amp;3,'قاعدة البيانات'!$N$6:$N$305,0),0)</f>
        <v>27</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ماريا هانى مكرم نصيف</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IFERROR(MATCH(الإعدادات!$B$4&amp;"|"&amp;4,'قاعدة البيانات'!$N$6:$N$305,0),0)</f>
        <v>28</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بافلى سلامه سليمان</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IFERROR(MATCH(الإعدادات!$B$4&amp;"|"&amp;5,'قاعدة البيانات'!$N$6:$N$305,0),0)</f>
        <v>29</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سامي سامح سامي جاد الله</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IFERROR(MATCH(الإعدادات!$B$4&amp;"|"&amp;6,'قاعدة البيانات'!$N$6:$N$305,0),0)</f>
        <v>30</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فيرينا مينا عجايبي يوسف سعد</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IFERROR(MATCH(الإعدادات!$B$4&amp;"|"&amp;7,'قاعدة البيانات'!$N$6:$N$305,0),0)</f>
        <v>31</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بافلى بيشوى جرجس جندى</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IFERROR(MATCH(الإعدادات!$B$4&amp;"|"&amp;8,'قاعدة البيانات'!$N$6:$N$305,0),0)</f>
        <v>32</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يؤانا دميان جمال</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IFERROR(MATCH(الإعدادات!$B$4&amp;"|"&amp;9,'قاعدة البيانات'!$N$6:$N$305,0),0)</f>
        <v>33</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مارسيلينو جرجس روماني حبيب</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IFERROR(MATCH(الإعدادات!$B$4&amp;"|"&amp;10,'قاعدة البيانات'!$N$6:$N$305,0),0)</f>
        <v>34</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جاسيكا صموئيل شكر الله</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IFERROR(MATCH(الإعدادات!$B$4&amp;"|"&amp;11,'قاعدة البيانات'!$N$6:$N$305,0),0)</f>
        <v>35</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باتريك بولا عطا الله</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IFERROR(MATCH(الإعدادات!$B$4&amp;"|"&amp;12,'قاعدة البيانات'!$N$6:$N$305,0),0)</f>
        <v>36</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كنده بيشوي سامي</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IFERROR(MATCH(الإعدادات!$B$4&amp;"|"&amp;13,'قاعدة البيانات'!$N$6:$N$305,0),0)</f>
        <v>37</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إيلاريا أمير رسمي مراد</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IFERROR(MATCH(الإعدادات!$B$4&amp;"|"&amp;14,'قاعدة البيانات'!$N$6:$N$305,0),0)</f>
        <v>38</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بولا ميشيل رزق يوسف</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IFERROR(MATCH(الإعدادات!$B$4&amp;"|"&amp;15,'قاعدة البيانات'!$N$6:$N$305,0),0)</f>
        <v>39</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كريس فيكتور الشحات</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IFERROR(MATCH(الإعدادات!$B$4&amp;"|"&amp;16,'قاعدة البيانات'!$N$6:$N$305,0),0)</f>
        <v>40</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مريم نادر امين يعقوب حنا</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IFERROR(MATCH(الإعدادات!$B$4&amp;"|"&amp;17,'قاعدة البيانات'!$N$6:$N$305,0),0)</f>
        <v>41</v>
      </c>
      <c r="BM23">
        <f>IF($BL23=0,0,IF(INDEX('قاعدة البيانات'!$M$6:$M$305,$BL23)="غير نشط",5,IF($F23="",0,IF($G23&gt;=الإعدادات!$B$18,4,IF($F23&gt;=الإعدادات!$B$16,1,IF($F23&gt;=الإعدادات!$B$17,2,3))))))</f>
        <v>0</v>
      </c>
    </row>
    <row r="24" spans="1:65" ht="21.75" customHeight="1">
      <c r="A24" s="36">
        <f>IF($BL24=0,"",18)</f>
        <v>18</v>
      </c>
      <c r="B24" s="37" t="str">
        <f>IF($BL24=0,"",INDEX('قاعدة البيانات'!$C$6:$C$305,$BL24))</f>
        <v>كيريا مدحت كمال قاعود</v>
      </c>
      <c r="C24" s="38">
        <f t="shared" si="4"/>
        <v>0</v>
      </c>
      <c r="D24" s="39">
        <f t="shared" si="5"/>
        <v>0</v>
      </c>
      <c r="E24" s="40">
        <f t="shared" si="6"/>
        <v>0</v>
      </c>
      <c r="F24" s="41" t="str">
        <f t="shared" si="7"/>
        <v/>
      </c>
      <c r="G24" s="42">
        <f t="shared" si="8"/>
        <v>0</v>
      </c>
      <c r="H24" s="43" t="str">
        <f t="shared" si="9"/>
        <v>—</v>
      </c>
      <c r="I24" s="44" t="str">
        <f t="shared" si="10"/>
        <v>⏳ لسه مفيش حضور</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IFERROR(MATCH(الإعدادات!$B$4&amp;"|"&amp;18,'قاعدة البيانات'!$N$6:$N$305,0),0)</f>
        <v>42</v>
      </c>
      <c r="BM24">
        <f>IF($BL24=0,0,IF(INDEX('قاعدة البيانات'!$M$6:$M$305,$BL24)="غير نشط",5,IF($F24="",0,IF($G24&gt;=الإعدادات!$B$18,4,IF($F24&gt;=الإعدادات!$B$16,1,IF($F24&gt;=الإعدادات!$B$17,2,3))))))</f>
        <v>0</v>
      </c>
    </row>
    <row r="25" spans="1:65" ht="21.75" customHeight="1">
      <c r="A25" s="36">
        <f>IF($BL25=0,"",19)</f>
        <v>19</v>
      </c>
      <c r="B25" s="37" t="str">
        <f>IF($BL25=0,"",INDEX('قاعدة البيانات'!$C$6:$C$305,$BL25))</f>
        <v>تونی رومانی فخرى فرهود</v>
      </c>
      <c r="C25" s="38">
        <f t="shared" si="4"/>
        <v>0</v>
      </c>
      <c r="D25" s="39">
        <f t="shared" si="5"/>
        <v>0</v>
      </c>
      <c r="E25" s="40">
        <f t="shared" si="6"/>
        <v>0</v>
      </c>
      <c r="F25" s="41" t="str">
        <f t="shared" si="7"/>
        <v/>
      </c>
      <c r="G25" s="42">
        <f t="shared" si="8"/>
        <v>0</v>
      </c>
      <c r="H25" s="43" t="str">
        <f t="shared" si="9"/>
        <v>—</v>
      </c>
      <c r="I25" s="44" t="str">
        <f t="shared" si="10"/>
        <v>⏳ لسه مفيش حضور</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IFERROR(MATCH(الإعدادات!$B$4&amp;"|"&amp;19,'قاعدة البيانات'!$N$6:$N$305,0),0)</f>
        <v>43</v>
      </c>
      <c r="BM25">
        <f>IF($BL25=0,0,IF(INDEX('قاعدة البيانات'!$M$6:$M$305,$BL25)="غير نشط",5,IF($F25="",0,IF($G25&gt;=الإعدادات!$B$18,4,IF($F25&gt;=الإعدادات!$B$16,1,IF($F25&gt;=الإعدادات!$B$17,2,3))))))</f>
        <v>0</v>
      </c>
    </row>
    <row r="26" spans="1:65" ht="21.75" customHeight="1">
      <c r="A26" s="36">
        <f>IF($BL26=0,"",20)</f>
        <v>20</v>
      </c>
      <c r="B26" s="37" t="str">
        <f>IF($BL26=0,"",INDEX('قاعدة البيانات'!$C$6:$C$305,$BL26))</f>
        <v>مارتسيا سامح ميلاد</v>
      </c>
      <c r="C26" s="38">
        <f t="shared" si="4"/>
        <v>0</v>
      </c>
      <c r="D26" s="39">
        <f t="shared" si="5"/>
        <v>0</v>
      </c>
      <c r="E26" s="40">
        <f t="shared" si="6"/>
        <v>0</v>
      </c>
      <c r="F26" s="41" t="str">
        <f t="shared" si="7"/>
        <v/>
      </c>
      <c r="G26" s="42">
        <f t="shared" si="8"/>
        <v>0</v>
      </c>
      <c r="H26" s="43" t="str">
        <f t="shared" si="9"/>
        <v>—</v>
      </c>
      <c r="I26" s="44" t="str">
        <f t="shared" si="10"/>
        <v>⏳ لسه مفيش حضور</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IFERROR(MATCH(الإعدادات!$B$4&amp;"|"&amp;20,'قاعدة البيانات'!$N$6:$N$305,0),0)</f>
        <v>44</v>
      </c>
      <c r="BM26">
        <f>IF($BL26=0,0,IF(INDEX('قاعدة البيانات'!$M$6:$M$305,$BL26)="غير نشط",5,IF($F26="",0,IF($G26&gt;=الإعدادات!$B$18,4,IF($F26&gt;=الإعدادات!$B$16,1,IF($F26&gt;=الإعدادات!$B$17,2,3))))))</f>
        <v>0</v>
      </c>
    </row>
    <row r="27" spans="1:65" ht="21.75" customHeight="1">
      <c r="A27" s="36">
        <f>IF($BL27=0,"",21)</f>
        <v>21</v>
      </c>
      <c r="B27" s="37" t="str">
        <f>IF($BL27=0,"",INDEX('قاعدة البيانات'!$C$6:$C$305,$BL27))</f>
        <v>ماثيو مينا مجدى</v>
      </c>
      <c r="C27" s="38">
        <f t="shared" si="4"/>
        <v>0</v>
      </c>
      <c r="D27" s="39">
        <f t="shared" si="5"/>
        <v>0</v>
      </c>
      <c r="E27" s="40">
        <f t="shared" si="6"/>
        <v>0</v>
      </c>
      <c r="F27" s="41" t="str">
        <f t="shared" si="7"/>
        <v/>
      </c>
      <c r="G27" s="42">
        <f t="shared" si="8"/>
        <v>0</v>
      </c>
      <c r="H27" s="43" t="str">
        <f t="shared" si="9"/>
        <v>—</v>
      </c>
      <c r="I27" s="44" t="str">
        <f t="shared" si="10"/>
        <v>⏳ لسه مفيش حضور</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IFERROR(MATCH(الإعدادات!$B$4&amp;"|"&amp;21,'قاعدة البيانات'!$N$6:$N$305,0),0)</f>
        <v>45</v>
      </c>
      <c r="BM27">
        <f>IF($BL27=0,0,IF(INDEX('قاعدة البيانات'!$M$6:$M$305,$BL27)="غير نشط",5,IF($F27="",0,IF($G27&gt;=الإعدادات!$B$18,4,IF($F27&gt;=الإعدادات!$B$16,1,IF($F27&gt;=الإعدادات!$B$17,2,3))))))</f>
        <v>0</v>
      </c>
    </row>
    <row r="28" spans="1:65" ht="21.75" customHeight="1">
      <c r="A28" s="36">
        <f>IF($BL28=0,"",22)</f>
        <v>22</v>
      </c>
      <c r="B28" s="37" t="str">
        <f>IF($BL28=0,"",INDEX('قاعدة البيانات'!$C$6:$C$305,$BL28))</f>
        <v>كاراس سمير توفيق شفيق</v>
      </c>
      <c r="C28" s="38">
        <f t="shared" si="4"/>
        <v>0</v>
      </c>
      <c r="D28" s="39">
        <f t="shared" si="5"/>
        <v>0</v>
      </c>
      <c r="E28" s="40">
        <f t="shared" si="6"/>
        <v>0</v>
      </c>
      <c r="F28" s="41" t="str">
        <f t="shared" si="7"/>
        <v/>
      </c>
      <c r="G28" s="42">
        <f t="shared" si="8"/>
        <v>0</v>
      </c>
      <c r="H28" s="43" t="str">
        <f t="shared" si="9"/>
        <v>—</v>
      </c>
      <c r="I28" s="44" t="str">
        <f t="shared" si="10"/>
        <v>⏳ لسه مفيش حضور</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IFERROR(MATCH(الإعدادات!$B$4&amp;"|"&amp;22,'قاعدة البيانات'!$N$6:$N$305,0),0)</f>
        <v>46</v>
      </c>
      <c r="BM28">
        <f>IF($BL28=0,0,IF(INDEX('قاعدة البيانات'!$M$6:$M$305,$BL28)="غير نشط",5,IF($F28="",0,IF($G28&gt;=الإعدادات!$B$18,4,IF($F28&gt;=الإعدادات!$B$16,1,IF($F28&gt;=الإعدادات!$B$17,2,3))))))</f>
        <v>0</v>
      </c>
    </row>
    <row r="29" spans="1:65" ht="21.75" customHeight="1">
      <c r="A29" s="36">
        <f>IF($BL29=0,"",23)</f>
        <v>23</v>
      </c>
      <c r="B29" s="37" t="str">
        <f>IF($BL29=0,"",INDEX('قاعدة البيانات'!$C$6:$C$305,$BL29))</f>
        <v>روفانيو مينا ناجى</v>
      </c>
      <c r="C29" s="38">
        <f t="shared" si="4"/>
        <v>0</v>
      </c>
      <c r="D29" s="39">
        <f t="shared" si="5"/>
        <v>0</v>
      </c>
      <c r="E29" s="40">
        <f t="shared" si="6"/>
        <v>0</v>
      </c>
      <c r="F29" s="41" t="str">
        <f t="shared" si="7"/>
        <v/>
      </c>
      <c r="G29" s="42">
        <f t="shared" si="8"/>
        <v>0</v>
      </c>
      <c r="H29" s="43" t="str">
        <f t="shared" si="9"/>
        <v>—</v>
      </c>
      <c r="I29" s="44" t="str">
        <f t="shared" si="10"/>
        <v>⏳ لسه مفيش حضور</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IFERROR(MATCH(الإعدادات!$B$4&amp;"|"&amp;23,'قاعدة البيانات'!$N$6:$N$305,0),0)</f>
        <v>47</v>
      </c>
      <c r="BM29">
        <f>IF($BL29=0,0,IF(INDEX('قاعدة البيانات'!$M$6:$M$305,$BL29)="غير نشط",5,IF($F29="",0,IF($G29&gt;=الإعدادات!$B$18,4,IF($F29&gt;=الإعدادات!$B$16,1,IF($F29&gt;=الإعدادات!$B$17,2,3))))))</f>
        <v>0</v>
      </c>
    </row>
    <row r="30" spans="1:65" ht="21.75" customHeight="1">
      <c r="A30" s="36">
        <f>IF($BL30=0,"",24)</f>
        <v>24</v>
      </c>
      <c r="B30" s="37" t="str">
        <f>IF($BL30=0,"",INDEX('قاعدة البيانات'!$C$6:$C$305,$BL30))</f>
        <v>مارك مايكل نبيل نجيب</v>
      </c>
      <c r="C30" s="38">
        <f t="shared" si="4"/>
        <v>0</v>
      </c>
      <c r="D30" s="39">
        <f t="shared" si="5"/>
        <v>0</v>
      </c>
      <c r="E30" s="40">
        <f t="shared" si="6"/>
        <v>0</v>
      </c>
      <c r="F30" s="41" t="str">
        <f t="shared" si="7"/>
        <v/>
      </c>
      <c r="G30" s="42">
        <f t="shared" si="8"/>
        <v>0</v>
      </c>
      <c r="H30" s="43" t="str">
        <f t="shared" si="9"/>
        <v>—</v>
      </c>
      <c r="I30" s="44" t="str">
        <f t="shared" si="10"/>
        <v>⏳ لسه مفيش حضور</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IFERROR(MATCH(الإعدادات!$B$4&amp;"|"&amp;24,'قاعدة البيانات'!$N$6:$N$305,0),0)</f>
        <v>48</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IFERROR(MATCH(الإعدادات!$B$4&amp;"|"&amp;25,'قاعدة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IFERROR(MATCH(الإعدادات!$B$4&amp;"|"&amp;26,'قاعدة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IFERROR(MATCH(الإعدادات!$B$4&amp;"|"&amp;27,'قاعدة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IFERROR(MATCH(الإعدادات!$B$4&amp;"|"&amp;28,'قاعدة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IFERROR(MATCH(الإعدادات!$B$4&amp;"|"&amp;29,'قاعدة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IFERROR(MATCH(الإعدادات!$B$4&amp;"|"&amp;30,'قاعدة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1:R1"/>
    <mergeCell ref="A2:B2"/>
    <mergeCell ref="C2:F2"/>
    <mergeCell ref="G2:I2"/>
    <mergeCell ref="J2:O2"/>
    <mergeCell ref="P2:V2"/>
    <mergeCell ref="A3:B3"/>
    <mergeCell ref="C3:I3"/>
    <mergeCell ref="J3:BJ3"/>
    <mergeCell ref="A4:I4"/>
    <mergeCell ref="A5:I5"/>
  </mergeCells>
  <conditionalFormatting sqref="A7:BJ36">
    <cfRule type="expression" dxfId="61" priority="2">
      <formula>$BL7=0</formula>
    </cfRule>
  </conditionalFormatting>
  <conditionalFormatting sqref="F7:F36">
    <cfRule type="expression" dxfId="60" priority="9">
      <formula>$BM7=1</formula>
    </cfRule>
    <cfRule type="expression" dxfId="59" priority="10">
      <formula>$BM7=2</formula>
    </cfRule>
    <cfRule type="expression" dxfId="58" priority="11">
      <formula>OR($BM7=3,$BM7=4)</formula>
    </cfRule>
  </conditionalFormatting>
  <conditionalFormatting sqref="I7:I36">
    <cfRule type="expression" dxfId="56" priority="12">
      <formula>$BM7=1</formula>
    </cfRule>
    <cfRule type="expression" dxfId="55" priority="13">
      <formula>$BM7=2</formula>
    </cfRule>
    <cfRule type="expression" dxfId="54" priority="14">
      <formula>$BM7=3</formula>
    </cfRule>
    <cfRule type="expression" dxfId="53" priority="15">
      <formula>$BM7=4</formula>
    </cfRule>
  </conditionalFormatting>
  <conditionalFormatting sqref="J6:BJ6">
    <cfRule type="expression" dxfId="52" priority="7">
      <formula>AND(J$6&lt;&gt;"",J$6&lt;=TODAY(),J$6+7&gt;TODAY())</formula>
    </cfRule>
    <cfRule type="expression" dxfId="51" priority="8">
      <formula>MOD(MONTH(J$6),2)=0</formula>
    </cfRule>
  </conditionalFormatting>
  <conditionalFormatting sqref="J7:BJ36">
    <cfRule type="expression" dxfId="50" priority="3">
      <formula>J7="ح"</formula>
    </cfRule>
    <cfRule type="expression" dxfId="49" priority="4">
      <formula>J7="غ"</formula>
    </cfRule>
    <cfRule type="expression" dxfId="48" priority="5">
      <formula>J7="ع"</formula>
    </cfRule>
    <cfRule type="expression" dxfId="47" priority="6">
      <formula>AND(J$6&lt;&gt;"",J$6&lt;=TODAY(),J$6+7&gt;TODAY())</formula>
    </cfRule>
  </conditionalFormatting>
  <dataValidations count="1">
    <dataValidation type="list" allowBlank="1" showErrorMessage="1" errorTitle="حضور" error="اختار ح أو غ أو ع." sqref="J7:BJ36" xr:uid="{00000000-0002-0000-06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6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activeCell="C2" sqref="C2:F2"/>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6" t="str">
        <f>"📅 قايمة حضور ملاك "&amp;الإعدادات!$B$5</f>
        <v>📅 قايمة حضور ملاك غبريال</v>
      </c>
      <c r="B1" s="156"/>
      <c r="C1" s="156"/>
      <c r="D1" s="156"/>
      <c r="E1" s="156"/>
      <c r="F1" s="156"/>
      <c r="G1" s="156"/>
      <c r="H1" s="156"/>
      <c r="I1" s="156"/>
      <c r="J1" s="156"/>
      <c r="K1" s="156"/>
      <c r="L1" s="156"/>
      <c r="M1" s="156"/>
      <c r="N1" s="156"/>
      <c r="O1" s="156"/>
      <c r="P1" s="156"/>
      <c r="Q1" s="156"/>
      <c r="R1" s="156"/>
    </row>
    <row r="2" spans="1:65" ht="27.75" customHeight="1">
      <c r="A2" s="83" t="str">
        <f>HYPERLINK("#'الرئيسية'!A1","🏠 الرئيسية")</f>
        <v>🏠 الرئيسية</v>
      </c>
      <c r="B2" s="83"/>
      <c r="C2" s="133" t="str">
        <f>HYPERLINK("#'فصل غبريال'!A1","🪪 كروت الفصل")</f>
        <v>🪪 كروت الفصل</v>
      </c>
      <c r="D2" s="133"/>
      <c r="E2" s="133"/>
      <c r="F2" s="133"/>
      <c r="G2" s="84" t="str">
        <f>HYPERLINK("#'قاعدة البيانات'!C"&amp;MIN(305,6+COUNTA('قاعدة البيانات'!$C$6:$C$305)),"➕ إضافة طفل")</f>
        <v>➕ إضافة طفل</v>
      </c>
      <c r="H2" s="84"/>
      <c r="I2" s="84"/>
      <c r="J2" s="83" t="str">
        <f>HYPERLINK("#'الافتقاد'!A1","📞 الافتقاد")</f>
        <v>📞 الافتقاد</v>
      </c>
      <c r="K2" s="83"/>
      <c r="L2" s="83"/>
      <c r="M2" s="83"/>
      <c r="N2" s="83"/>
      <c r="O2" s="83"/>
      <c r="P2" s="83" t="str">
        <f>HYPERLINK("#'قاعدة البيانات'!A1","📋 القاعدة")</f>
        <v>📋 القاعدة</v>
      </c>
      <c r="Q2" s="83"/>
      <c r="R2" s="83"/>
      <c r="S2" s="83"/>
      <c r="T2" s="83"/>
      <c r="U2" s="83"/>
      <c r="V2" s="83"/>
    </row>
    <row r="3" spans="1:65" ht="25.5" customHeight="1">
      <c r="A3" s="155" t="str">
        <f>"📅 جمع مسجلة: "&amp;COUNT(J4:BJ4)&amp;"  |  📊 "&amp;IFERROR(ROUND(SUM(C7:C36)/(SUM(C7:C36)+SUM(D7:D36))*100,0)&amp;"%","—")</f>
        <v>📅 جمع مسجلة: 0  |  📊 —</v>
      </c>
      <c r="B3" s="155"/>
      <c r="C3" s="151" t="s">
        <v>55</v>
      </c>
      <c r="D3" s="151"/>
      <c r="E3" s="151"/>
      <c r="F3" s="151"/>
      <c r="G3" s="151"/>
      <c r="H3" s="151"/>
      <c r="I3" s="151"/>
      <c r="J3" s="152" t="s">
        <v>56</v>
      </c>
      <c r="K3" s="152"/>
      <c r="L3" s="152"/>
      <c r="M3" s="152"/>
      <c r="N3" s="152"/>
      <c r="O3" s="152"/>
      <c r="P3" s="152"/>
      <c r="Q3" s="152"/>
      <c r="R3" s="152"/>
      <c r="S3" s="152"/>
      <c r="T3" s="152"/>
      <c r="U3" s="152"/>
      <c r="V3" s="152"/>
      <c r="W3" s="152"/>
      <c r="X3" s="152"/>
      <c r="Y3" s="152"/>
      <c r="Z3" s="152"/>
      <c r="AA3" s="152"/>
      <c r="AB3" s="152"/>
      <c r="AC3" s="152"/>
      <c r="AD3" s="152"/>
      <c r="AE3" s="152"/>
      <c r="AF3" s="152"/>
      <c r="AG3" s="152"/>
      <c r="AH3" s="152"/>
      <c r="AI3" s="152"/>
      <c r="AJ3" s="152"/>
      <c r="AK3" s="152"/>
      <c r="AL3" s="152"/>
      <c r="AM3" s="152"/>
      <c r="AN3" s="152"/>
      <c r="AO3" s="152"/>
      <c r="AP3" s="152"/>
      <c r="AQ3" s="152"/>
      <c r="AR3" s="152"/>
      <c r="AS3" s="152"/>
      <c r="AT3" s="152"/>
      <c r="AU3" s="152"/>
      <c r="AV3" s="152"/>
      <c r="AW3" s="152"/>
      <c r="AX3" s="152"/>
      <c r="AY3" s="152"/>
      <c r="AZ3" s="152"/>
      <c r="BA3" s="152"/>
      <c r="BB3" s="152"/>
      <c r="BC3" s="152"/>
      <c r="BD3" s="152"/>
      <c r="BE3" s="152"/>
      <c r="BF3" s="152"/>
      <c r="BG3" s="152"/>
      <c r="BH3" s="152"/>
      <c r="BI3" s="152"/>
      <c r="BJ3" s="152"/>
    </row>
    <row r="4" spans="1:65" ht="21.75" customHeight="1">
      <c r="A4" s="153" t="s">
        <v>57</v>
      </c>
      <c r="B4" s="153"/>
      <c r="C4" s="153"/>
      <c r="D4" s="153"/>
      <c r="E4" s="153"/>
      <c r="F4" s="153"/>
      <c r="G4" s="153"/>
      <c r="H4" s="153"/>
      <c r="I4" s="153"/>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3" t="s">
        <v>58</v>
      </c>
      <c r="B5" s="153"/>
      <c r="C5" s="153"/>
      <c r="D5" s="153"/>
      <c r="E5" s="153"/>
      <c r="F5" s="153"/>
      <c r="G5" s="153"/>
      <c r="H5" s="153"/>
      <c r="I5" s="153"/>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6" t="s">
        <v>20</v>
      </c>
      <c r="B6" s="46" t="s">
        <v>22</v>
      </c>
      <c r="C6" s="46" t="s">
        <v>35</v>
      </c>
      <c r="D6" s="46" t="s">
        <v>36</v>
      </c>
      <c r="E6" s="46" t="s">
        <v>59</v>
      </c>
      <c r="F6" s="46" t="s">
        <v>37</v>
      </c>
      <c r="G6" s="46" t="s">
        <v>38</v>
      </c>
      <c r="H6" s="46" t="s">
        <v>39</v>
      </c>
      <c r="I6" s="46" t="s">
        <v>32</v>
      </c>
      <c r="J6" s="47">
        <f>IF(الإعدادات!$B$14&lt;=الإعدادات!$B$11,الإعدادات!$B$14,"")</f>
        <v>46297</v>
      </c>
      <c r="K6" s="47">
        <f>IF(J6="","",IF(J6+7&lt;=الإعدادات!$B$11,J6+7,""))</f>
        <v>46304</v>
      </c>
      <c r="L6" s="47">
        <f>IF(K6="","",IF(K6+7&lt;=الإعدادات!$B$11,K6+7,""))</f>
        <v>46311</v>
      </c>
      <c r="M6" s="47">
        <f>IF(L6="","",IF(L6+7&lt;=الإعدادات!$B$11,L6+7,""))</f>
        <v>46318</v>
      </c>
      <c r="N6" s="47">
        <f>IF(M6="","",IF(M6+7&lt;=الإعدادات!$B$11,M6+7,""))</f>
        <v>46325</v>
      </c>
      <c r="O6" s="47">
        <f>IF(N6="","",IF(N6+7&lt;=الإعدادات!$B$11,N6+7,""))</f>
        <v>46332</v>
      </c>
      <c r="P6" s="47">
        <f>IF(O6="","",IF(O6+7&lt;=الإعدادات!$B$11,O6+7,""))</f>
        <v>46339</v>
      </c>
      <c r="Q6" s="47">
        <f>IF(P6="","",IF(P6+7&lt;=الإعدادات!$B$11,P6+7,""))</f>
        <v>46346</v>
      </c>
      <c r="R6" s="47">
        <f>IF(Q6="","",IF(Q6+7&lt;=الإعدادات!$B$11,Q6+7,""))</f>
        <v>46353</v>
      </c>
      <c r="S6" s="47">
        <f>IF(R6="","",IF(R6+7&lt;=الإعدادات!$B$11,R6+7,""))</f>
        <v>46360</v>
      </c>
      <c r="T6" s="47">
        <f>IF(S6="","",IF(S6+7&lt;=الإعدادات!$B$11,S6+7,""))</f>
        <v>46367</v>
      </c>
      <c r="U6" s="47">
        <f>IF(T6="","",IF(T6+7&lt;=الإعدادات!$B$11,T6+7,""))</f>
        <v>46374</v>
      </c>
      <c r="V6" s="47">
        <f>IF(U6="","",IF(U6+7&lt;=الإعدادات!$B$11,U6+7,""))</f>
        <v>46381</v>
      </c>
      <c r="W6" s="47">
        <f>IF(V6="","",IF(V6+7&lt;=الإعدادات!$B$11,V6+7,""))</f>
        <v>46388</v>
      </c>
      <c r="X6" s="47">
        <f>IF(W6="","",IF(W6+7&lt;=الإعدادات!$B$11,W6+7,""))</f>
        <v>46395</v>
      </c>
      <c r="Y6" s="47">
        <f>IF(X6="","",IF(X6+7&lt;=الإعدادات!$B$11,X6+7,""))</f>
        <v>46402</v>
      </c>
      <c r="Z6" s="47">
        <f>IF(Y6="","",IF(Y6+7&lt;=الإعدادات!$B$11,Y6+7,""))</f>
        <v>46409</v>
      </c>
      <c r="AA6" s="47">
        <f>IF(Z6="","",IF(Z6+7&lt;=الإعدادات!$B$11,Z6+7,""))</f>
        <v>46416</v>
      </c>
      <c r="AB6" s="47">
        <f>IF(AA6="","",IF(AA6+7&lt;=الإعدادات!$B$11,AA6+7,""))</f>
        <v>46423</v>
      </c>
      <c r="AC6" s="47">
        <f>IF(AB6="","",IF(AB6+7&lt;=الإعدادات!$B$11,AB6+7,""))</f>
        <v>46430</v>
      </c>
      <c r="AD6" s="47">
        <f>IF(AC6="","",IF(AC6+7&lt;=الإعدادات!$B$11,AC6+7,""))</f>
        <v>46437</v>
      </c>
      <c r="AE6" s="47">
        <f>IF(AD6="","",IF(AD6+7&lt;=الإعدادات!$B$11,AD6+7,""))</f>
        <v>46444</v>
      </c>
      <c r="AF6" s="47">
        <f>IF(AE6="","",IF(AE6+7&lt;=الإعدادات!$B$11,AE6+7,""))</f>
        <v>46451</v>
      </c>
      <c r="AG6" s="47">
        <f>IF(AF6="","",IF(AF6+7&lt;=الإعدادات!$B$11,AF6+7,""))</f>
        <v>46458</v>
      </c>
      <c r="AH6" s="47">
        <f>IF(AG6="","",IF(AG6+7&lt;=الإعدادات!$B$11,AG6+7,""))</f>
        <v>46465</v>
      </c>
      <c r="AI6" s="47">
        <f>IF(AH6="","",IF(AH6+7&lt;=الإعدادات!$B$11,AH6+7,""))</f>
        <v>46472</v>
      </c>
      <c r="AJ6" s="47">
        <f>IF(AI6="","",IF(AI6+7&lt;=الإعدادات!$B$11,AI6+7,""))</f>
        <v>46479</v>
      </c>
      <c r="AK6" s="47">
        <f>IF(AJ6="","",IF(AJ6+7&lt;=الإعدادات!$B$11,AJ6+7,""))</f>
        <v>46486</v>
      </c>
      <c r="AL6" s="47">
        <f>IF(AK6="","",IF(AK6+7&lt;=الإعدادات!$B$11,AK6+7,""))</f>
        <v>46493</v>
      </c>
      <c r="AM6" s="47">
        <f>IF(AL6="","",IF(AL6+7&lt;=الإعدادات!$B$11,AL6+7,""))</f>
        <v>46500</v>
      </c>
      <c r="AN6" s="47">
        <f>IF(AM6="","",IF(AM6+7&lt;=الإعدادات!$B$11,AM6+7,""))</f>
        <v>46507</v>
      </c>
      <c r="AO6" s="47">
        <f>IF(AN6="","",IF(AN6+7&lt;=الإعدادات!$B$11,AN6+7,""))</f>
        <v>46514</v>
      </c>
      <c r="AP6" s="47">
        <f>IF(AO6="","",IF(AO6+7&lt;=الإعدادات!$B$11,AO6+7,""))</f>
        <v>46521</v>
      </c>
      <c r="AQ6" s="47">
        <f>IF(AP6="","",IF(AP6+7&lt;=الإعدادات!$B$11,AP6+7,""))</f>
        <v>46528</v>
      </c>
      <c r="AR6" s="47">
        <f>IF(AQ6="","",IF(AQ6+7&lt;=الإعدادات!$B$11,AQ6+7,""))</f>
        <v>46535</v>
      </c>
      <c r="AS6" s="47">
        <f>IF(AR6="","",IF(AR6+7&lt;=الإعدادات!$B$11,AR6+7,""))</f>
        <v>46542</v>
      </c>
      <c r="AT6" s="47">
        <f>IF(AS6="","",IF(AS6+7&lt;=الإعدادات!$B$11,AS6+7,""))</f>
        <v>46549</v>
      </c>
      <c r="AU6" s="47">
        <f>IF(AT6="","",IF(AT6+7&lt;=الإعدادات!$B$11,AT6+7,""))</f>
        <v>46556</v>
      </c>
      <c r="AV6" s="47">
        <f>IF(AU6="","",IF(AU6+7&lt;=الإعدادات!$B$11,AU6+7,""))</f>
        <v>46563</v>
      </c>
      <c r="AW6" s="47">
        <f>IF(AV6="","",IF(AV6+7&lt;=الإعدادات!$B$11,AV6+7,""))</f>
        <v>46570</v>
      </c>
      <c r="AX6" s="47">
        <f>IF(AW6="","",IF(AW6+7&lt;=الإعدادات!$B$11,AW6+7,""))</f>
        <v>46577</v>
      </c>
      <c r="AY6" s="47">
        <f>IF(AX6="","",IF(AX6+7&lt;=الإعدادات!$B$11,AX6+7,""))</f>
        <v>46584</v>
      </c>
      <c r="AZ6" s="47">
        <f>IF(AY6="","",IF(AY6+7&lt;=الإعدادات!$B$11,AY6+7,""))</f>
        <v>46591</v>
      </c>
      <c r="BA6" s="47">
        <f>IF(AZ6="","",IF(AZ6+7&lt;=الإعدادات!$B$11,AZ6+7,""))</f>
        <v>46598</v>
      </c>
      <c r="BB6" s="47">
        <f>IF(BA6="","",IF(BA6+7&lt;=الإعدادات!$B$11,BA6+7,""))</f>
        <v>46605</v>
      </c>
      <c r="BC6" s="47">
        <f>IF(BB6="","",IF(BB6+7&lt;=الإعدادات!$B$11,BB6+7,""))</f>
        <v>46612</v>
      </c>
      <c r="BD6" s="47">
        <f>IF(BC6="","",IF(BC6+7&lt;=الإعدادات!$B$11,BC6+7,""))</f>
        <v>46619</v>
      </c>
      <c r="BE6" s="47">
        <f>IF(BD6="","",IF(BD6+7&lt;=الإعدادات!$B$11,BD6+7,""))</f>
        <v>46626</v>
      </c>
      <c r="BF6" s="47">
        <f>IF(BE6="","",IF(BE6+7&lt;=الإعدادات!$B$11,BE6+7,""))</f>
        <v>46633</v>
      </c>
      <c r="BG6" s="47">
        <f>IF(BF6="","",IF(BF6+7&lt;=الإعدادات!$B$11,BF6+7,""))</f>
        <v>46640</v>
      </c>
      <c r="BH6" s="47">
        <f>IF(BG6="","",IF(BG6+7&lt;=الإعدادات!$B$11,BG6+7,""))</f>
        <v>46647</v>
      </c>
      <c r="BI6" s="47">
        <f>IF(BH6="","",IF(BH6+7&lt;=الإعدادات!$B$11,BH6+7,""))</f>
        <v>46654</v>
      </c>
      <c r="BJ6" s="47">
        <f>IF(BI6="","",IF(BI6+7&lt;=الإعدادات!$B$11,BI6+7,""))</f>
        <v>46661</v>
      </c>
    </row>
    <row r="7" spans="1:65" ht="21.75" customHeight="1">
      <c r="A7" s="36">
        <f>IF($BL7=0,"",1)</f>
        <v>1</v>
      </c>
      <c r="B7" s="37" t="str">
        <f>IF($BL7=0,"",INDEX('قاعدة البيانات'!$C$6:$C$305,$BL7))</f>
        <v>توماس صابر صبحى</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IFERROR(MATCH(الإعدادات!$B$5&amp;"|"&amp;1,'قاعدة البيانات'!$N$6:$N$305,0),0)</f>
        <v>1</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سيلينا رامي رومانى</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IFERROR(MATCH(الإعدادات!$B$5&amp;"|"&amp;2,'قاعدة البيانات'!$N$6:$N$305,0),0)</f>
        <v>2</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روبن عبد المسيح رافت</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IFERROR(MATCH(الإعدادات!$B$5&amp;"|"&amp;3,'قاعدة البيانات'!$N$6:$N$305,0),0)</f>
        <v>3</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جوى جورج ثابت</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IFERROR(MATCH(الإعدادات!$B$5&amp;"|"&amp;4,'قاعدة البيانات'!$N$6:$N$305,0),0)</f>
        <v>4</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بارثينيا رامز منير شفيق</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IFERROR(MATCH(الإعدادات!$B$5&amp;"|"&amp;5,'قاعدة البيانات'!$N$6:$N$305,0),0)</f>
        <v>5</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مينا رفيق زكريا عبد الشهيد</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IFERROR(MATCH(الإعدادات!$B$5&amp;"|"&amp;6,'قاعدة البيانات'!$N$6:$N$305,0),0)</f>
        <v>6</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بولا غالى توفيق</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IFERROR(MATCH(الإعدادات!$B$5&amp;"|"&amp;7,'قاعدة البيانات'!$N$6:$N$305,0),0)</f>
        <v>7</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ماري جرجس اسحق عطا الله</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IFERROR(MATCH(الإعدادات!$B$5&amp;"|"&amp;8,'قاعدة البيانات'!$N$6:$N$305,0),0)</f>
        <v>8</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بيشوى سمير ميخائيل فيلته</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IFERROR(MATCH(الإعدادات!$B$5&amp;"|"&amp;9,'قاعدة البيانات'!$N$6:$N$305,0),0)</f>
        <v>9</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دانييلا توفيق شوقي</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IFERROR(MATCH(الإعدادات!$B$5&amp;"|"&amp;10,'قاعدة البيانات'!$N$6:$N$305,0),0)</f>
        <v>10</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بولا ابانوب كرم شلبى</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IFERROR(MATCH(الإعدادات!$B$5&amp;"|"&amp;11,'قاعدة البيانات'!$N$6:$N$305,0),0)</f>
        <v>11</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دولوريس جوزيف رزق الله</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IFERROR(MATCH(الإعدادات!$B$5&amp;"|"&amp;12,'قاعدة البيانات'!$N$6:$N$305,0),0)</f>
        <v>12</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جاستن مينا عبد السيد عطيه</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IFERROR(MATCH(الإعدادات!$B$5&amp;"|"&amp;13,'قاعدة البيانات'!$N$6:$N$305,0),0)</f>
        <v>13</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جانا عبادى يوسف عبادى</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IFERROR(MATCH(الإعدادات!$B$5&amp;"|"&amp;14,'قاعدة البيانات'!$N$6:$N$305,0),0)</f>
        <v>14</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يوسف ميلاد رسمى بقطر</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IFERROR(MATCH(الإعدادات!$B$5&amp;"|"&amp;15,'قاعدة البيانات'!$N$6:$N$305,0),0)</f>
        <v>15</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ايرينى ريمون حنا</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IFERROR(MATCH(الإعدادات!$B$5&amp;"|"&amp;16,'قاعدة البيانات'!$N$6:$N$305,0),0)</f>
        <v>16</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يوستينا سامي عريان سامى فرج</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IFERROR(MATCH(الإعدادات!$B$5&amp;"|"&amp;17,'قاعدة البيانات'!$N$6:$N$305,0),0)</f>
        <v>17</v>
      </c>
      <c r="BM23">
        <f>IF($BL23=0,0,IF(INDEX('قاعدة البيانات'!$M$6:$M$305,$BL23)="غير نشط",5,IF($F23="",0,IF($G23&gt;=الإعدادات!$B$18,4,IF($F23&gt;=الإعدادات!$B$16,1,IF($F23&gt;=الإعدادات!$B$17,2,3))))))</f>
        <v>0</v>
      </c>
    </row>
    <row r="24" spans="1:65" ht="21.75" customHeight="1">
      <c r="A24" s="36">
        <f>IF($BL24=0,"",18)</f>
        <v>18</v>
      </c>
      <c r="B24" s="37" t="str">
        <f>IF($BL24=0,"",INDEX('قاعدة البيانات'!$C$6:$C$305,$BL24))</f>
        <v>مارتينوس مايكل ميشيل</v>
      </c>
      <c r="C24" s="38">
        <f t="shared" si="4"/>
        <v>0</v>
      </c>
      <c r="D24" s="39">
        <f t="shared" si="5"/>
        <v>0</v>
      </c>
      <c r="E24" s="40">
        <f t="shared" si="6"/>
        <v>0</v>
      </c>
      <c r="F24" s="41" t="str">
        <f t="shared" si="7"/>
        <v/>
      </c>
      <c r="G24" s="42">
        <f t="shared" si="8"/>
        <v>0</v>
      </c>
      <c r="H24" s="43" t="str">
        <f t="shared" si="9"/>
        <v>—</v>
      </c>
      <c r="I24" s="44" t="str">
        <f t="shared" si="10"/>
        <v>⏳ لسه مفيش حضور</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IFERROR(MATCH(الإعدادات!$B$5&amp;"|"&amp;18,'قاعدة البيانات'!$N$6:$N$305,0),0)</f>
        <v>18</v>
      </c>
      <c r="BM24">
        <f>IF($BL24=0,0,IF(INDEX('قاعدة البيانات'!$M$6:$M$305,$BL24)="غير نشط",5,IF($F24="",0,IF($G24&gt;=الإعدادات!$B$18,4,IF($F24&gt;=الإعدادات!$B$16,1,IF($F24&gt;=الإعدادات!$B$17,2,3))))))</f>
        <v>0</v>
      </c>
    </row>
    <row r="25" spans="1:65" ht="21.75" customHeight="1">
      <c r="A25" s="36">
        <f>IF($BL25=0,"",19)</f>
        <v>19</v>
      </c>
      <c r="B25" s="37" t="str">
        <f>IF($BL25=0,"",INDEX('قاعدة البيانات'!$C$6:$C$305,$BL25))</f>
        <v>جونير بسام نصرى مكرم</v>
      </c>
      <c r="C25" s="38">
        <f t="shared" si="4"/>
        <v>0</v>
      </c>
      <c r="D25" s="39">
        <f t="shared" si="5"/>
        <v>0</v>
      </c>
      <c r="E25" s="40">
        <f t="shared" si="6"/>
        <v>0</v>
      </c>
      <c r="F25" s="41" t="str">
        <f t="shared" si="7"/>
        <v/>
      </c>
      <c r="G25" s="42">
        <f t="shared" si="8"/>
        <v>0</v>
      </c>
      <c r="H25" s="43" t="str">
        <f t="shared" si="9"/>
        <v>—</v>
      </c>
      <c r="I25" s="44" t="str">
        <f t="shared" si="10"/>
        <v>⏳ لسه مفيش حضور</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IFERROR(MATCH(الإعدادات!$B$5&amp;"|"&amp;19,'قاعدة البيانات'!$N$6:$N$305,0),0)</f>
        <v>19</v>
      </c>
      <c r="BM25">
        <f>IF($BL25=0,0,IF(INDEX('قاعدة البيانات'!$M$6:$M$305,$BL25)="غير نشط",5,IF($F25="",0,IF($G25&gt;=الإعدادات!$B$18,4,IF($F25&gt;=الإعدادات!$B$16,1,IF($F25&gt;=الإعدادات!$B$17,2,3))))))</f>
        <v>0</v>
      </c>
    </row>
    <row r="26" spans="1:65" ht="21.75" customHeight="1">
      <c r="A26" s="36">
        <f>IF($BL26=0,"",20)</f>
        <v>20</v>
      </c>
      <c r="B26" s="37" t="str">
        <f>IF($BL26=0,"",INDEX('قاعدة البيانات'!$C$6:$C$305,$BL26))</f>
        <v>مريم عماد زارع</v>
      </c>
      <c r="C26" s="38">
        <f t="shared" si="4"/>
        <v>0</v>
      </c>
      <c r="D26" s="39">
        <f t="shared" si="5"/>
        <v>0</v>
      </c>
      <c r="E26" s="40">
        <f t="shared" si="6"/>
        <v>0</v>
      </c>
      <c r="F26" s="41" t="str">
        <f t="shared" si="7"/>
        <v/>
      </c>
      <c r="G26" s="42">
        <f t="shared" si="8"/>
        <v>0</v>
      </c>
      <c r="H26" s="43" t="str">
        <f t="shared" si="9"/>
        <v>—</v>
      </c>
      <c r="I26" s="44" t="str">
        <f t="shared" si="10"/>
        <v>⏳ لسه مفيش حضور</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IFERROR(MATCH(الإعدادات!$B$5&amp;"|"&amp;20,'قاعدة البيانات'!$N$6:$N$305,0),0)</f>
        <v>20</v>
      </c>
      <c r="BM26">
        <f>IF($BL26=0,0,IF(INDEX('قاعدة البيانات'!$M$6:$M$305,$BL26)="غير نشط",5,IF($F26="",0,IF($G26&gt;=الإعدادات!$B$18,4,IF($F26&gt;=الإعدادات!$B$16,1,IF($F26&gt;=الإعدادات!$B$17,2,3))))))</f>
        <v>0</v>
      </c>
    </row>
    <row r="27" spans="1:65" ht="21.75" customHeight="1">
      <c r="A27" s="36">
        <f>IF($BL27=0,"",21)</f>
        <v>21</v>
      </c>
      <c r="B27" s="37" t="str">
        <f>IF($BL27=0,"",INDEX('قاعدة البيانات'!$C$6:$C$305,$BL27))</f>
        <v>ماروسكا ميشيل ثروت</v>
      </c>
      <c r="C27" s="38">
        <f t="shared" si="4"/>
        <v>0</v>
      </c>
      <c r="D27" s="39">
        <f t="shared" si="5"/>
        <v>0</v>
      </c>
      <c r="E27" s="40">
        <f t="shared" si="6"/>
        <v>0</v>
      </c>
      <c r="F27" s="41" t="str">
        <f t="shared" si="7"/>
        <v/>
      </c>
      <c r="G27" s="42">
        <f t="shared" si="8"/>
        <v>0</v>
      </c>
      <c r="H27" s="43" t="str">
        <f t="shared" si="9"/>
        <v>—</v>
      </c>
      <c r="I27" s="44" t="str">
        <f t="shared" si="10"/>
        <v>⏳ لسه مفيش حضور</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IFERROR(MATCH(الإعدادات!$B$5&amp;"|"&amp;21,'قاعدة البيانات'!$N$6:$N$305,0),0)</f>
        <v>21</v>
      </c>
      <c r="BM27">
        <f>IF($BL27=0,0,IF(INDEX('قاعدة البيانات'!$M$6:$M$305,$BL27)="غير نشط",5,IF($F27="",0,IF($G27&gt;=الإعدادات!$B$18,4,IF($F27&gt;=الإعدادات!$B$16,1,IF($F27&gt;=الإعدادات!$B$17,2,3))))))</f>
        <v>0</v>
      </c>
    </row>
    <row r="28" spans="1:65" ht="21.75" customHeight="1">
      <c r="A28" s="36">
        <f>IF($BL28=0,"",22)</f>
        <v>22</v>
      </c>
      <c r="B28" s="37" t="str">
        <f>IF($BL28=0,"",INDEX('قاعدة البيانات'!$C$6:$C$305,$BL28))</f>
        <v>بيرلا مايكل خليل</v>
      </c>
      <c r="C28" s="38">
        <f t="shared" si="4"/>
        <v>0</v>
      </c>
      <c r="D28" s="39">
        <f t="shared" si="5"/>
        <v>0</v>
      </c>
      <c r="E28" s="40">
        <f t="shared" si="6"/>
        <v>0</v>
      </c>
      <c r="F28" s="41" t="str">
        <f t="shared" si="7"/>
        <v/>
      </c>
      <c r="G28" s="42">
        <f t="shared" si="8"/>
        <v>0</v>
      </c>
      <c r="H28" s="43" t="str">
        <f t="shared" si="9"/>
        <v>—</v>
      </c>
      <c r="I28" s="44" t="str">
        <f t="shared" si="10"/>
        <v>⏳ لسه مفيش حضور</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IFERROR(MATCH(الإعدادات!$B$5&amp;"|"&amp;22,'قاعدة البيانات'!$N$6:$N$305,0),0)</f>
        <v>22</v>
      </c>
      <c r="BM28">
        <f>IF($BL28=0,0,IF(INDEX('قاعدة البيانات'!$M$6:$M$305,$BL28)="غير نشط",5,IF($F28="",0,IF($G28&gt;=الإعدادات!$B$18,4,IF($F28&gt;=الإعدادات!$B$16,1,IF($F28&gt;=الإعدادات!$B$17,2,3))))))</f>
        <v>0</v>
      </c>
    </row>
    <row r="29" spans="1:65" ht="21.75" customHeight="1">
      <c r="A29" s="36">
        <f>IF($BL29=0,"",23)</f>
        <v>23</v>
      </c>
      <c r="B29" s="37" t="str">
        <f>IF($BL29=0,"",INDEX('قاعدة البيانات'!$C$6:$C$305,$BL29))</f>
        <v>مورين مينا عوض</v>
      </c>
      <c r="C29" s="38">
        <f t="shared" si="4"/>
        <v>0</v>
      </c>
      <c r="D29" s="39">
        <f t="shared" si="5"/>
        <v>0</v>
      </c>
      <c r="E29" s="40">
        <f t="shared" si="6"/>
        <v>0</v>
      </c>
      <c r="F29" s="41" t="str">
        <f t="shared" si="7"/>
        <v/>
      </c>
      <c r="G29" s="42">
        <f t="shared" si="8"/>
        <v>0</v>
      </c>
      <c r="H29" s="43" t="str">
        <f t="shared" si="9"/>
        <v>—</v>
      </c>
      <c r="I29" s="44" t="str">
        <f t="shared" si="10"/>
        <v>⏳ لسه مفيش حضور</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IFERROR(MATCH(الإعدادات!$B$5&amp;"|"&amp;23,'قاعدة البيانات'!$N$6:$N$305,0),0)</f>
        <v>23</v>
      </c>
      <c r="BM29">
        <f>IF($BL29=0,0,IF(INDEX('قاعدة البيانات'!$M$6:$M$305,$BL29)="غير نشط",5,IF($F29="",0,IF($G29&gt;=الإعدادات!$B$18,4,IF($F29&gt;=الإعدادات!$B$16,1,IF($F29&gt;=الإعدادات!$B$17,2,3))))))</f>
        <v>0</v>
      </c>
    </row>
    <row r="30" spans="1:65" ht="21.75" customHeight="1">
      <c r="A30" s="36">
        <f>IF($BL30=0,"",24)</f>
        <v>24</v>
      </c>
      <c r="B30" s="37" t="str">
        <f>IF($BL30=0,"",INDEX('قاعدة البيانات'!$C$6:$C$305,$BL30))</f>
        <v>كارين وليم منير</v>
      </c>
      <c r="C30" s="38">
        <f t="shared" si="4"/>
        <v>0</v>
      </c>
      <c r="D30" s="39">
        <f t="shared" si="5"/>
        <v>0</v>
      </c>
      <c r="E30" s="40">
        <f t="shared" si="6"/>
        <v>0</v>
      </c>
      <c r="F30" s="41" t="str">
        <f t="shared" si="7"/>
        <v/>
      </c>
      <c r="G30" s="42">
        <f t="shared" si="8"/>
        <v>0</v>
      </c>
      <c r="H30" s="43" t="str">
        <f t="shared" si="9"/>
        <v>—</v>
      </c>
      <c r="I30" s="44" t="str">
        <f t="shared" si="10"/>
        <v>⏳ لسه مفيش حضور</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IFERROR(MATCH(الإعدادات!$B$5&amp;"|"&amp;24,'قاعدة البيانات'!$N$6:$N$305,0),0)</f>
        <v>24</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IFERROR(MATCH(الإعدادات!$B$5&amp;"|"&amp;25,'قاعدة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IFERROR(MATCH(الإعدادات!$B$5&amp;"|"&amp;26,'قاعدة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IFERROR(MATCH(الإعدادات!$B$5&amp;"|"&amp;27,'قاعدة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IFERROR(MATCH(الإعدادات!$B$5&amp;"|"&amp;28,'قاعدة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IFERROR(MATCH(الإعدادات!$B$5&amp;"|"&amp;29,'قاعدة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IFERROR(MATCH(الإعدادات!$B$5&amp;"|"&amp;30,'قاعدة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1:R1"/>
    <mergeCell ref="A2:B2"/>
    <mergeCell ref="C2:F2"/>
    <mergeCell ref="G2:I2"/>
    <mergeCell ref="J2:O2"/>
    <mergeCell ref="P2:V2"/>
    <mergeCell ref="A3:B3"/>
    <mergeCell ref="C3:I3"/>
    <mergeCell ref="J3:BJ3"/>
    <mergeCell ref="A4:I4"/>
    <mergeCell ref="A5:I5"/>
  </mergeCells>
  <conditionalFormatting sqref="A7:BJ36">
    <cfRule type="expression" dxfId="46" priority="2">
      <formula>$BL7=0</formula>
    </cfRule>
  </conditionalFormatting>
  <conditionalFormatting sqref="F7:F36">
    <cfRule type="expression" dxfId="45" priority="9">
      <formula>$BM7=1</formula>
    </cfRule>
    <cfRule type="expression" dxfId="44" priority="10">
      <formula>$BM7=2</formula>
    </cfRule>
    <cfRule type="expression" dxfId="43" priority="11">
      <formula>OR($BM7=3,$BM7=4)</formula>
    </cfRule>
  </conditionalFormatting>
  <conditionalFormatting sqref="I7:I36">
    <cfRule type="expression" dxfId="41" priority="12">
      <formula>$BM7=1</formula>
    </cfRule>
    <cfRule type="expression" dxfId="40" priority="13">
      <formula>$BM7=2</formula>
    </cfRule>
    <cfRule type="expression" dxfId="39" priority="14">
      <formula>$BM7=3</formula>
    </cfRule>
    <cfRule type="expression" dxfId="38" priority="15">
      <formula>$BM7=4</formula>
    </cfRule>
  </conditionalFormatting>
  <conditionalFormatting sqref="J6:BJ6">
    <cfRule type="expression" dxfId="37" priority="7">
      <formula>AND(J$6&lt;&gt;"",J$6&lt;=TODAY(),J$6+7&gt;TODAY())</formula>
    </cfRule>
    <cfRule type="expression" dxfId="36" priority="8">
      <formula>MOD(MONTH(J$6),2)=0</formula>
    </cfRule>
  </conditionalFormatting>
  <conditionalFormatting sqref="J7:BJ36">
    <cfRule type="expression" dxfId="35" priority="3">
      <formula>J7="ح"</formula>
    </cfRule>
    <cfRule type="expression" dxfId="34" priority="4">
      <formula>J7="غ"</formula>
    </cfRule>
    <cfRule type="expression" dxfId="33" priority="5">
      <formula>J7="ع"</formula>
    </cfRule>
    <cfRule type="expression" dxfId="32" priority="6">
      <formula>AND(J$6&lt;&gt;"",J$6&lt;=TODAY(),J$6+7&gt;TODAY())</formula>
    </cfRule>
  </conditionalFormatting>
  <dataValidations count="1">
    <dataValidation type="list" allowBlank="1" showErrorMessage="1" errorTitle="حضور" error="اختار ح أو غ أو ع." sqref="J7:BJ36" xr:uid="{00000000-0002-0000-07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7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qref="A1:R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8" t="str">
        <f>"📅 قايمة حضور ملاك "&amp;الإعدادات!$B$6</f>
        <v>📅 قايمة حضور ملاك رفائيل</v>
      </c>
      <c r="B1" s="158"/>
      <c r="C1" s="158"/>
      <c r="D1" s="158"/>
      <c r="E1" s="158"/>
      <c r="F1" s="158"/>
      <c r="G1" s="158"/>
      <c r="H1" s="158"/>
      <c r="I1" s="158"/>
      <c r="J1" s="158"/>
      <c r="K1" s="158"/>
      <c r="L1" s="158"/>
      <c r="M1" s="158"/>
      <c r="N1" s="158"/>
      <c r="O1" s="158"/>
      <c r="P1" s="158"/>
      <c r="Q1" s="158"/>
      <c r="R1" s="158"/>
    </row>
    <row r="2" spans="1:65" ht="27.75" customHeight="1">
      <c r="A2" s="83" t="str">
        <f>HYPERLINK("#'الرئيسية'!A1","🏠 الرئيسية")</f>
        <v>🏠 الرئيسية</v>
      </c>
      <c r="B2" s="83"/>
      <c r="C2" s="139" t="str">
        <f>HYPERLINK("#'فصل رفائيل'!A1","🪪 كروت الفصل")</f>
        <v>🪪 كروت الفصل</v>
      </c>
      <c r="D2" s="139"/>
      <c r="E2" s="139"/>
      <c r="F2" s="139"/>
      <c r="G2" s="84" t="str">
        <f>HYPERLINK("#'قاعدة البيانات'!C"&amp;MIN(305,6+COUNTA('قاعدة البيانات'!$C$6:$C$305)),"➕ إضافة طفل")</f>
        <v>➕ إضافة طفل</v>
      </c>
      <c r="H2" s="84"/>
      <c r="I2" s="84"/>
      <c r="J2" s="83" t="str">
        <f>HYPERLINK("#'الافتقاد'!A1","📞 الافتقاد")</f>
        <v>📞 الافتقاد</v>
      </c>
      <c r="K2" s="83"/>
      <c r="L2" s="83"/>
      <c r="M2" s="83"/>
      <c r="N2" s="83"/>
      <c r="O2" s="83"/>
      <c r="P2" s="83" t="str">
        <f>HYPERLINK("#'قاعدة البيانات'!A1","📋 القاعدة")</f>
        <v>📋 القاعدة</v>
      </c>
      <c r="Q2" s="83"/>
      <c r="R2" s="83"/>
      <c r="S2" s="83"/>
      <c r="T2" s="83"/>
      <c r="U2" s="83"/>
      <c r="V2" s="83"/>
    </row>
    <row r="3" spans="1:65" ht="25.5" customHeight="1">
      <c r="A3" s="157" t="str">
        <f>"📅 جمع مسجلة: "&amp;COUNT(J4:BJ4)&amp;"  |  📊 "&amp;IFERROR(ROUND(SUM(C7:C36)/(SUM(C7:C36)+SUM(D7:D36))*100,0)&amp;"%","—")</f>
        <v>📅 جمع مسجلة: 0  |  📊 —</v>
      </c>
      <c r="B3" s="157"/>
      <c r="C3" s="151" t="s">
        <v>55</v>
      </c>
      <c r="D3" s="151"/>
      <c r="E3" s="151"/>
      <c r="F3" s="151"/>
      <c r="G3" s="151"/>
      <c r="H3" s="151"/>
      <c r="I3" s="151"/>
      <c r="J3" s="152" t="s">
        <v>56</v>
      </c>
      <c r="K3" s="152"/>
      <c r="L3" s="152"/>
      <c r="M3" s="152"/>
      <c r="N3" s="152"/>
      <c r="O3" s="152"/>
      <c r="P3" s="152"/>
      <c r="Q3" s="152"/>
      <c r="R3" s="152"/>
      <c r="S3" s="152"/>
      <c r="T3" s="152"/>
      <c r="U3" s="152"/>
      <c r="V3" s="152"/>
      <c r="W3" s="152"/>
      <c r="X3" s="152"/>
      <c r="Y3" s="152"/>
      <c r="Z3" s="152"/>
      <c r="AA3" s="152"/>
      <c r="AB3" s="152"/>
      <c r="AC3" s="152"/>
      <c r="AD3" s="152"/>
      <c r="AE3" s="152"/>
      <c r="AF3" s="152"/>
      <c r="AG3" s="152"/>
      <c r="AH3" s="152"/>
      <c r="AI3" s="152"/>
      <c r="AJ3" s="152"/>
      <c r="AK3" s="152"/>
      <c r="AL3" s="152"/>
      <c r="AM3" s="152"/>
      <c r="AN3" s="152"/>
      <c r="AO3" s="152"/>
      <c r="AP3" s="152"/>
      <c r="AQ3" s="152"/>
      <c r="AR3" s="152"/>
      <c r="AS3" s="152"/>
      <c r="AT3" s="152"/>
      <c r="AU3" s="152"/>
      <c r="AV3" s="152"/>
      <c r="AW3" s="152"/>
      <c r="AX3" s="152"/>
      <c r="AY3" s="152"/>
      <c r="AZ3" s="152"/>
      <c r="BA3" s="152"/>
      <c r="BB3" s="152"/>
      <c r="BC3" s="152"/>
      <c r="BD3" s="152"/>
      <c r="BE3" s="152"/>
      <c r="BF3" s="152"/>
      <c r="BG3" s="152"/>
      <c r="BH3" s="152"/>
      <c r="BI3" s="152"/>
      <c r="BJ3" s="152"/>
    </row>
    <row r="4" spans="1:65" ht="21.75" customHeight="1">
      <c r="A4" s="153" t="s">
        <v>57</v>
      </c>
      <c r="B4" s="153"/>
      <c r="C4" s="153"/>
      <c r="D4" s="153"/>
      <c r="E4" s="153"/>
      <c r="F4" s="153"/>
      <c r="G4" s="153"/>
      <c r="H4" s="153"/>
      <c r="I4" s="153"/>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3" t="s">
        <v>58</v>
      </c>
      <c r="B5" s="153"/>
      <c r="C5" s="153"/>
      <c r="D5" s="153"/>
      <c r="E5" s="153"/>
      <c r="F5" s="153"/>
      <c r="G5" s="153"/>
      <c r="H5" s="153"/>
      <c r="I5" s="153"/>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8" t="s">
        <v>20</v>
      </c>
      <c r="B6" s="48" t="s">
        <v>22</v>
      </c>
      <c r="C6" s="48" t="s">
        <v>35</v>
      </c>
      <c r="D6" s="48" t="s">
        <v>36</v>
      </c>
      <c r="E6" s="48" t="s">
        <v>59</v>
      </c>
      <c r="F6" s="48" t="s">
        <v>37</v>
      </c>
      <c r="G6" s="48" t="s">
        <v>38</v>
      </c>
      <c r="H6" s="48" t="s">
        <v>39</v>
      </c>
      <c r="I6" s="48" t="s">
        <v>32</v>
      </c>
      <c r="J6" s="49">
        <f>IF(الإعدادات!$B$14&lt;=الإعدادات!$B$11,الإعدادات!$B$14,"")</f>
        <v>46297</v>
      </c>
      <c r="K6" s="49">
        <f>IF(J6="","",IF(J6+7&lt;=الإعدادات!$B$11,J6+7,""))</f>
        <v>46304</v>
      </c>
      <c r="L6" s="49">
        <f>IF(K6="","",IF(K6+7&lt;=الإعدادات!$B$11,K6+7,""))</f>
        <v>46311</v>
      </c>
      <c r="M6" s="49">
        <f>IF(L6="","",IF(L6+7&lt;=الإعدادات!$B$11,L6+7,""))</f>
        <v>46318</v>
      </c>
      <c r="N6" s="49">
        <f>IF(M6="","",IF(M6+7&lt;=الإعدادات!$B$11,M6+7,""))</f>
        <v>46325</v>
      </c>
      <c r="O6" s="49">
        <f>IF(N6="","",IF(N6+7&lt;=الإعدادات!$B$11,N6+7,""))</f>
        <v>46332</v>
      </c>
      <c r="P6" s="49">
        <f>IF(O6="","",IF(O6+7&lt;=الإعدادات!$B$11,O6+7,""))</f>
        <v>46339</v>
      </c>
      <c r="Q6" s="49">
        <f>IF(P6="","",IF(P6+7&lt;=الإعدادات!$B$11,P6+7,""))</f>
        <v>46346</v>
      </c>
      <c r="R6" s="49">
        <f>IF(Q6="","",IF(Q6+7&lt;=الإعدادات!$B$11,Q6+7,""))</f>
        <v>46353</v>
      </c>
      <c r="S6" s="49">
        <f>IF(R6="","",IF(R6+7&lt;=الإعدادات!$B$11,R6+7,""))</f>
        <v>46360</v>
      </c>
      <c r="T6" s="49">
        <f>IF(S6="","",IF(S6+7&lt;=الإعدادات!$B$11,S6+7,""))</f>
        <v>46367</v>
      </c>
      <c r="U6" s="49">
        <f>IF(T6="","",IF(T6+7&lt;=الإعدادات!$B$11,T6+7,""))</f>
        <v>46374</v>
      </c>
      <c r="V6" s="49">
        <f>IF(U6="","",IF(U6+7&lt;=الإعدادات!$B$11,U6+7,""))</f>
        <v>46381</v>
      </c>
      <c r="W6" s="49">
        <f>IF(V6="","",IF(V6+7&lt;=الإعدادات!$B$11,V6+7,""))</f>
        <v>46388</v>
      </c>
      <c r="X6" s="49">
        <f>IF(W6="","",IF(W6+7&lt;=الإعدادات!$B$11,W6+7,""))</f>
        <v>46395</v>
      </c>
      <c r="Y6" s="49">
        <f>IF(X6="","",IF(X6+7&lt;=الإعدادات!$B$11,X6+7,""))</f>
        <v>46402</v>
      </c>
      <c r="Z6" s="49">
        <f>IF(Y6="","",IF(Y6+7&lt;=الإعدادات!$B$11,Y6+7,""))</f>
        <v>46409</v>
      </c>
      <c r="AA6" s="49">
        <f>IF(Z6="","",IF(Z6+7&lt;=الإعدادات!$B$11,Z6+7,""))</f>
        <v>46416</v>
      </c>
      <c r="AB6" s="49">
        <f>IF(AA6="","",IF(AA6+7&lt;=الإعدادات!$B$11,AA6+7,""))</f>
        <v>46423</v>
      </c>
      <c r="AC6" s="49">
        <f>IF(AB6="","",IF(AB6+7&lt;=الإعدادات!$B$11,AB6+7,""))</f>
        <v>46430</v>
      </c>
      <c r="AD6" s="49">
        <f>IF(AC6="","",IF(AC6+7&lt;=الإعدادات!$B$11,AC6+7,""))</f>
        <v>46437</v>
      </c>
      <c r="AE6" s="49">
        <f>IF(AD6="","",IF(AD6+7&lt;=الإعدادات!$B$11,AD6+7,""))</f>
        <v>46444</v>
      </c>
      <c r="AF6" s="49">
        <f>IF(AE6="","",IF(AE6+7&lt;=الإعدادات!$B$11,AE6+7,""))</f>
        <v>46451</v>
      </c>
      <c r="AG6" s="49">
        <f>IF(AF6="","",IF(AF6+7&lt;=الإعدادات!$B$11,AF6+7,""))</f>
        <v>46458</v>
      </c>
      <c r="AH6" s="49">
        <f>IF(AG6="","",IF(AG6+7&lt;=الإعدادات!$B$11,AG6+7,""))</f>
        <v>46465</v>
      </c>
      <c r="AI6" s="49">
        <f>IF(AH6="","",IF(AH6+7&lt;=الإعدادات!$B$11,AH6+7,""))</f>
        <v>46472</v>
      </c>
      <c r="AJ6" s="49">
        <f>IF(AI6="","",IF(AI6+7&lt;=الإعدادات!$B$11,AI6+7,""))</f>
        <v>46479</v>
      </c>
      <c r="AK6" s="49">
        <f>IF(AJ6="","",IF(AJ6+7&lt;=الإعدادات!$B$11,AJ6+7,""))</f>
        <v>46486</v>
      </c>
      <c r="AL6" s="49">
        <f>IF(AK6="","",IF(AK6+7&lt;=الإعدادات!$B$11,AK6+7,""))</f>
        <v>46493</v>
      </c>
      <c r="AM6" s="49">
        <f>IF(AL6="","",IF(AL6+7&lt;=الإعدادات!$B$11,AL6+7,""))</f>
        <v>46500</v>
      </c>
      <c r="AN6" s="49">
        <f>IF(AM6="","",IF(AM6+7&lt;=الإعدادات!$B$11,AM6+7,""))</f>
        <v>46507</v>
      </c>
      <c r="AO6" s="49">
        <f>IF(AN6="","",IF(AN6+7&lt;=الإعدادات!$B$11,AN6+7,""))</f>
        <v>46514</v>
      </c>
      <c r="AP6" s="49">
        <f>IF(AO6="","",IF(AO6+7&lt;=الإعدادات!$B$11,AO6+7,""))</f>
        <v>46521</v>
      </c>
      <c r="AQ6" s="49">
        <f>IF(AP6="","",IF(AP6+7&lt;=الإعدادات!$B$11,AP6+7,""))</f>
        <v>46528</v>
      </c>
      <c r="AR6" s="49">
        <f>IF(AQ6="","",IF(AQ6+7&lt;=الإعدادات!$B$11,AQ6+7,""))</f>
        <v>46535</v>
      </c>
      <c r="AS6" s="49">
        <f>IF(AR6="","",IF(AR6+7&lt;=الإعدادات!$B$11,AR6+7,""))</f>
        <v>46542</v>
      </c>
      <c r="AT6" s="49">
        <f>IF(AS6="","",IF(AS6+7&lt;=الإعدادات!$B$11,AS6+7,""))</f>
        <v>46549</v>
      </c>
      <c r="AU6" s="49">
        <f>IF(AT6="","",IF(AT6+7&lt;=الإعدادات!$B$11,AT6+7,""))</f>
        <v>46556</v>
      </c>
      <c r="AV6" s="49">
        <f>IF(AU6="","",IF(AU6+7&lt;=الإعدادات!$B$11,AU6+7,""))</f>
        <v>46563</v>
      </c>
      <c r="AW6" s="49">
        <f>IF(AV6="","",IF(AV6+7&lt;=الإعدادات!$B$11,AV6+7,""))</f>
        <v>46570</v>
      </c>
      <c r="AX6" s="49">
        <f>IF(AW6="","",IF(AW6+7&lt;=الإعدادات!$B$11,AW6+7,""))</f>
        <v>46577</v>
      </c>
      <c r="AY6" s="49">
        <f>IF(AX6="","",IF(AX6+7&lt;=الإعدادات!$B$11,AX6+7,""))</f>
        <v>46584</v>
      </c>
      <c r="AZ6" s="49">
        <f>IF(AY6="","",IF(AY6+7&lt;=الإعدادات!$B$11,AY6+7,""))</f>
        <v>46591</v>
      </c>
      <c r="BA6" s="49">
        <f>IF(AZ6="","",IF(AZ6+7&lt;=الإعدادات!$B$11,AZ6+7,""))</f>
        <v>46598</v>
      </c>
      <c r="BB6" s="49">
        <f>IF(BA6="","",IF(BA6+7&lt;=الإعدادات!$B$11,BA6+7,""))</f>
        <v>46605</v>
      </c>
      <c r="BC6" s="49">
        <f>IF(BB6="","",IF(BB6+7&lt;=الإعدادات!$B$11,BB6+7,""))</f>
        <v>46612</v>
      </c>
      <c r="BD6" s="49">
        <f>IF(BC6="","",IF(BC6+7&lt;=الإعدادات!$B$11,BC6+7,""))</f>
        <v>46619</v>
      </c>
      <c r="BE6" s="49">
        <f>IF(BD6="","",IF(BD6+7&lt;=الإعدادات!$B$11,BD6+7,""))</f>
        <v>46626</v>
      </c>
      <c r="BF6" s="49">
        <f>IF(BE6="","",IF(BE6+7&lt;=الإعدادات!$B$11,BE6+7,""))</f>
        <v>46633</v>
      </c>
      <c r="BG6" s="49">
        <f>IF(BF6="","",IF(BF6+7&lt;=الإعدادات!$B$11,BF6+7,""))</f>
        <v>46640</v>
      </c>
      <c r="BH6" s="49">
        <f>IF(BG6="","",IF(BG6+7&lt;=الإعدادات!$B$11,BG6+7,""))</f>
        <v>46647</v>
      </c>
      <c r="BI6" s="49">
        <f>IF(BH6="","",IF(BH6+7&lt;=الإعدادات!$B$11,BH6+7,""))</f>
        <v>46654</v>
      </c>
      <c r="BJ6" s="49">
        <f>IF(BI6="","",IF(BI6+7&lt;=الإعدادات!$B$11,BI6+7,""))</f>
        <v>46661</v>
      </c>
    </row>
    <row r="7" spans="1:65" ht="21.75" customHeight="1">
      <c r="A7" s="36">
        <f>IF($BL7=0,"",1)</f>
        <v>1</v>
      </c>
      <c r="B7" s="37" t="str">
        <f>IF($BL7=0,"",INDEX('قاعدة البيانات'!$C$6:$C$305,$BL7))</f>
        <v>ايرينى رومانى موريس</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IFERROR(MATCH(الإعدادات!$B$6&amp;"|"&amp;1,'قاعدة البيانات'!$N$6:$N$305,0),0)</f>
        <v>69</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ايلينا مايكل ايليا</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IFERROR(MATCH(الإعدادات!$B$6&amp;"|"&amp;2,'قاعدة البيانات'!$N$6:$N$305,0),0)</f>
        <v>70</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إيلينا مينا عاطف عزمى</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IFERROR(MATCH(الإعدادات!$B$6&amp;"|"&amp;3,'قاعدة البيانات'!$N$6:$N$305,0),0)</f>
        <v>71</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بيشوي نجيب محفوظ وغيرس مسدارى</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IFERROR(MATCH(الإعدادات!$B$6&amp;"|"&amp;4,'قاعدة البيانات'!$N$6:$N$305,0),0)</f>
        <v>72</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فيرونيكا جورج مكرم ايليا جاد</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IFERROR(MATCH(الإعدادات!$B$6&amp;"|"&amp;5,'قاعدة البيانات'!$N$6:$N$305,0),0)</f>
        <v>73</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فيلوباتير وجدى سعيد فوزى</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IFERROR(MATCH(الإعدادات!$B$6&amp;"|"&amp;6,'قاعدة البيانات'!$N$6:$N$305,0),0)</f>
        <v>74</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فيلومينا فادى ريمون شحاته</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IFERROR(MATCH(الإعدادات!$B$6&amp;"|"&amp;7,'قاعدة البيانات'!$N$6:$N$305,0),0)</f>
        <v>75</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كيرلس عماد سعيد</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IFERROR(MATCH(الإعدادات!$B$6&amp;"|"&amp;8,'قاعدة البيانات'!$N$6:$N$305,0),0)</f>
        <v>76</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مارك عماد فتحى عبد الله</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IFERROR(MATCH(الإعدادات!$B$6&amp;"|"&amp;9,'قاعدة البيانات'!$N$6:$N$305,0),0)</f>
        <v>77</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مارولا رومانى مسعد</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IFERROR(MATCH(الإعدادات!$B$6&amp;"|"&amp;10,'قاعدة البيانات'!$N$6:$N$305,0),0)</f>
        <v>78</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مايا ميلاد قصد الله</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IFERROR(MATCH(الإعدادات!$B$6&amp;"|"&amp;11,'قاعدة البيانات'!$N$6:$N$305,0),0)</f>
        <v>79</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ميلانو ميلاد اسكندر موسى</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IFERROR(MATCH(الإعدادات!$B$6&amp;"|"&amp;12,'قاعدة البيانات'!$N$6:$N$305,0),0)</f>
        <v>80</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ميلنيا فوزى فوزى</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IFERROR(MATCH(الإعدادات!$B$6&amp;"|"&amp;13,'قاعدة البيانات'!$N$6:$N$305,0),0)</f>
        <v>81</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مينا جرجس حليم</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IFERROR(MATCH(الإعدادات!$B$6&amp;"|"&amp;14,'قاعدة البيانات'!$N$6:$N$305,0),0)</f>
        <v>82</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مينا عادل ناهد ثابت</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IFERROR(MATCH(الإعدادات!$B$6&amp;"|"&amp;15,'قاعدة البيانات'!$N$6:$N$305,0),0)</f>
        <v>83</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نور مينا شلبى</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IFERROR(MATCH(الإعدادات!$B$6&amp;"|"&amp;16,'قاعدة البيانات'!$N$6:$N$305,0),0)</f>
        <v>84</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نوڤير سمير انور تامر بشاى</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IFERROR(MATCH(الإعدادات!$B$6&amp;"|"&amp;17,'قاعدة البيانات'!$N$6:$N$305,0),0)</f>
        <v>85</v>
      </c>
      <c r="BM23">
        <f>IF($BL23=0,0,IF(INDEX('قاعدة البيانات'!$M$6:$M$305,$BL23)="غير نشط",5,IF($F23="",0,IF($G23&gt;=الإعدادات!$B$18,4,IF($F23&gt;=الإعدادات!$B$16,1,IF($F23&gt;=الإعدادات!$B$17,2,3))))))</f>
        <v>0</v>
      </c>
    </row>
    <row r="24" spans="1:65" ht="21.75" customHeight="1">
      <c r="A24" s="36" t="str">
        <f>IF($BL24=0,"",18)</f>
        <v/>
      </c>
      <c r="B24" s="37" t="str">
        <f>IF($BL24=0,"",INDEX('قاعدة البيانات'!$C$6:$C$305,$BL24))</f>
        <v/>
      </c>
      <c r="C24" s="38" t="str">
        <f t="shared" si="4"/>
        <v/>
      </c>
      <c r="D24" s="39" t="str">
        <f t="shared" si="5"/>
        <v/>
      </c>
      <c r="E24" s="40" t="str">
        <f t="shared" si="6"/>
        <v/>
      </c>
      <c r="F24" s="41" t="str">
        <f t="shared" si="7"/>
        <v/>
      </c>
      <c r="G24" s="42" t="str">
        <f t="shared" si="8"/>
        <v/>
      </c>
      <c r="H24" s="43" t="str">
        <f t="shared" si="9"/>
        <v/>
      </c>
      <c r="I24" s="44" t="str">
        <f t="shared" si="10"/>
        <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IFERROR(MATCH(الإعدادات!$B$6&amp;"|"&amp;18,'قاعدة البيانات'!$N$6:$N$305,0),0)</f>
        <v>0</v>
      </c>
      <c r="BM24">
        <f>IF($BL24=0,0,IF(INDEX('قاعدة البيانات'!$M$6:$M$305,$BL24)="غير نشط",5,IF($F24="",0,IF($G24&gt;=الإعدادات!$B$18,4,IF($F24&gt;=الإعدادات!$B$16,1,IF($F24&gt;=الإعدادات!$B$17,2,3))))))</f>
        <v>0</v>
      </c>
    </row>
    <row r="25" spans="1:65" ht="21.75" customHeight="1">
      <c r="A25" s="36" t="str">
        <f>IF($BL25=0,"",19)</f>
        <v/>
      </c>
      <c r="B25" s="37" t="str">
        <f>IF($BL25=0,"",INDEX('قاعدة البيانات'!$C$6:$C$305,$BL25))</f>
        <v/>
      </c>
      <c r="C25" s="38" t="str">
        <f t="shared" si="4"/>
        <v/>
      </c>
      <c r="D25" s="39" t="str">
        <f t="shared" si="5"/>
        <v/>
      </c>
      <c r="E25" s="40" t="str">
        <f t="shared" si="6"/>
        <v/>
      </c>
      <c r="F25" s="41" t="str">
        <f t="shared" si="7"/>
        <v/>
      </c>
      <c r="G25" s="42" t="str">
        <f t="shared" si="8"/>
        <v/>
      </c>
      <c r="H25" s="43" t="str">
        <f t="shared" si="9"/>
        <v/>
      </c>
      <c r="I25" s="44" t="str">
        <f t="shared" si="10"/>
        <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IFERROR(MATCH(الإعدادات!$B$6&amp;"|"&amp;19,'قاعدة البيانات'!$N$6:$N$305,0),0)</f>
        <v>0</v>
      </c>
      <c r="BM25">
        <f>IF($BL25=0,0,IF(INDEX('قاعدة البيانات'!$M$6:$M$305,$BL25)="غير نشط",5,IF($F25="",0,IF($G25&gt;=الإعدادات!$B$18,4,IF($F25&gt;=الإعدادات!$B$16,1,IF($F25&gt;=الإعدادات!$B$17,2,3))))))</f>
        <v>0</v>
      </c>
    </row>
    <row r="26" spans="1:65" ht="21.75" customHeight="1">
      <c r="A26" s="36" t="str">
        <f>IF($BL26=0,"",20)</f>
        <v/>
      </c>
      <c r="B26" s="37" t="str">
        <f>IF($BL26=0,"",INDEX('قاعدة البيانات'!$C$6:$C$305,$BL26))</f>
        <v/>
      </c>
      <c r="C26" s="38" t="str">
        <f t="shared" si="4"/>
        <v/>
      </c>
      <c r="D26" s="39" t="str">
        <f t="shared" si="5"/>
        <v/>
      </c>
      <c r="E26" s="40" t="str">
        <f t="shared" si="6"/>
        <v/>
      </c>
      <c r="F26" s="41" t="str">
        <f t="shared" si="7"/>
        <v/>
      </c>
      <c r="G26" s="42" t="str">
        <f t="shared" si="8"/>
        <v/>
      </c>
      <c r="H26" s="43" t="str">
        <f t="shared" si="9"/>
        <v/>
      </c>
      <c r="I26" s="44" t="str">
        <f t="shared" si="10"/>
        <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IFERROR(MATCH(الإعدادات!$B$6&amp;"|"&amp;20,'قاعدة البيانات'!$N$6:$N$305,0),0)</f>
        <v>0</v>
      </c>
      <c r="BM26">
        <f>IF($BL26=0,0,IF(INDEX('قاعدة البيانات'!$M$6:$M$305,$BL26)="غير نشط",5,IF($F26="",0,IF($G26&gt;=الإعدادات!$B$18,4,IF($F26&gt;=الإعدادات!$B$16,1,IF($F26&gt;=الإعدادات!$B$17,2,3))))))</f>
        <v>0</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IFERROR(MATCH(الإعدادات!$B$6&amp;"|"&amp;21,'قاعدة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IFERROR(MATCH(الإعدادات!$B$6&amp;"|"&amp;22,'قاعدة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IFERROR(MATCH(الإعدادات!$B$6&amp;"|"&amp;23,'قاعدة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IFERROR(MATCH(الإعدادات!$B$6&amp;"|"&amp;24,'قاعدة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IFERROR(MATCH(الإعدادات!$B$6&amp;"|"&amp;25,'قاعدة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IFERROR(MATCH(الإعدادات!$B$6&amp;"|"&amp;26,'قاعدة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IFERROR(MATCH(الإعدادات!$B$6&amp;"|"&amp;27,'قاعدة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IFERROR(MATCH(الإعدادات!$B$6&amp;"|"&amp;28,'قاعدة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IFERROR(MATCH(الإعدادات!$B$6&amp;"|"&amp;29,'قاعدة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IFERROR(MATCH(الإعدادات!$B$6&amp;"|"&amp;30,'قاعدة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1:R1"/>
    <mergeCell ref="A2:B2"/>
    <mergeCell ref="C2:F2"/>
    <mergeCell ref="G2:I2"/>
    <mergeCell ref="J2:O2"/>
    <mergeCell ref="P2:V2"/>
    <mergeCell ref="A3:B3"/>
    <mergeCell ref="C3:I3"/>
    <mergeCell ref="J3:BJ3"/>
    <mergeCell ref="A4:I4"/>
    <mergeCell ref="A5:I5"/>
  </mergeCells>
  <conditionalFormatting sqref="A7:BJ36">
    <cfRule type="expression" dxfId="31" priority="2">
      <formula>$BL7=0</formula>
    </cfRule>
  </conditionalFormatting>
  <conditionalFormatting sqref="F7:F36">
    <cfRule type="expression" dxfId="30" priority="9">
      <formula>$BM7=1</formula>
    </cfRule>
    <cfRule type="expression" dxfId="29" priority="10">
      <formula>$BM7=2</formula>
    </cfRule>
    <cfRule type="expression" dxfId="28" priority="11">
      <formula>OR($BM7=3,$BM7=4)</formula>
    </cfRule>
  </conditionalFormatting>
  <conditionalFormatting sqref="I7:I36">
    <cfRule type="expression" dxfId="26" priority="12">
      <formula>$BM7=1</formula>
    </cfRule>
    <cfRule type="expression" dxfId="25" priority="13">
      <formula>$BM7=2</formula>
    </cfRule>
    <cfRule type="expression" dxfId="24" priority="14">
      <formula>$BM7=3</formula>
    </cfRule>
    <cfRule type="expression" dxfId="23" priority="15">
      <formula>$BM7=4</formula>
    </cfRule>
  </conditionalFormatting>
  <conditionalFormatting sqref="J6:BJ6">
    <cfRule type="expression" dxfId="22" priority="7">
      <formula>AND(J$6&lt;&gt;"",J$6&lt;=TODAY(),J$6+7&gt;TODAY())</formula>
    </cfRule>
    <cfRule type="expression" dxfId="21" priority="8">
      <formula>MOD(MONTH(J$6),2)=0</formula>
    </cfRule>
  </conditionalFormatting>
  <conditionalFormatting sqref="J7:BJ36">
    <cfRule type="expression" dxfId="20" priority="3">
      <formula>J7="ح"</formula>
    </cfRule>
    <cfRule type="expression" dxfId="19" priority="4">
      <formula>J7="غ"</formula>
    </cfRule>
    <cfRule type="expression" dxfId="18" priority="5">
      <formula>J7="ع"</formula>
    </cfRule>
    <cfRule type="expression" dxfId="17" priority="6">
      <formula>AND(J$6&lt;&gt;"",J$6&lt;=TODAY(),J$6+7&gt;TODAY())</formula>
    </cfRule>
  </conditionalFormatting>
  <dataValidations count="1">
    <dataValidation type="list" allowBlank="1" showErrorMessage="1" errorTitle="حضور" error="اختار ح أو غ أو ع." sqref="J7:BJ36" xr:uid="{00000000-0002-0000-08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8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qref="A1:R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0" t="str">
        <f>"📅 قايمة حضور ملاك "&amp;الإعدادات!$B$7</f>
        <v>📅 قايمة حضور ملاك ميخائيل</v>
      </c>
      <c r="B1" s="160"/>
      <c r="C1" s="160"/>
      <c r="D1" s="160"/>
      <c r="E1" s="160"/>
      <c r="F1" s="160"/>
      <c r="G1" s="160"/>
      <c r="H1" s="160"/>
      <c r="I1" s="160"/>
      <c r="J1" s="160"/>
      <c r="K1" s="160"/>
      <c r="L1" s="160"/>
      <c r="M1" s="160"/>
      <c r="N1" s="160"/>
      <c r="O1" s="160"/>
      <c r="P1" s="160"/>
      <c r="Q1" s="160"/>
      <c r="R1" s="160"/>
    </row>
    <row r="2" spans="1:65" ht="27.75" customHeight="1">
      <c r="A2" s="83" t="str">
        <f>HYPERLINK("#'الرئيسية'!A1","🏠 الرئيسية")</f>
        <v>🏠 الرئيسية</v>
      </c>
      <c r="B2" s="83"/>
      <c r="C2" s="145" t="str">
        <f>HYPERLINK("#'فصل ميخائيل'!A1","🪪 كروت الفصل")</f>
        <v>🪪 كروت الفصل</v>
      </c>
      <c r="D2" s="145"/>
      <c r="E2" s="145"/>
      <c r="F2" s="145"/>
      <c r="G2" s="84" t="str">
        <f>HYPERLINK("#'قاعدة البيانات'!C"&amp;MIN(305,6+COUNTA('قاعدة البيانات'!$C$6:$C$305)),"➕ إضافة طفل")</f>
        <v>➕ إضافة طفل</v>
      </c>
      <c r="H2" s="84"/>
      <c r="I2" s="84"/>
      <c r="J2" s="83" t="str">
        <f>HYPERLINK("#'الافتقاد'!A1","📞 الافتقاد")</f>
        <v>📞 الافتقاد</v>
      </c>
      <c r="K2" s="83"/>
      <c r="L2" s="83"/>
      <c r="M2" s="83"/>
      <c r="N2" s="83"/>
      <c r="O2" s="83"/>
      <c r="P2" s="83" t="str">
        <f>HYPERLINK("#'قاعدة البيانات'!A1","📋 القاعدة")</f>
        <v>📋 القاعدة</v>
      </c>
      <c r="Q2" s="83"/>
      <c r="R2" s="83"/>
      <c r="S2" s="83"/>
      <c r="T2" s="83"/>
      <c r="U2" s="83"/>
      <c r="V2" s="83"/>
    </row>
    <row r="3" spans="1:65" ht="25.5" customHeight="1">
      <c r="A3" s="159" t="str">
        <f>"📅 جمع مسجلة: "&amp;COUNT(J4:BJ4)&amp;"  |  📊 "&amp;IFERROR(ROUND(SUM(C7:C36)/(SUM(C7:C36)+SUM(D7:D36))*100,0)&amp;"%","—")</f>
        <v>📅 جمع مسجلة: 0  |  📊 —</v>
      </c>
      <c r="B3" s="159"/>
      <c r="C3" s="151" t="s">
        <v>55</v>
      </c>
      <c r="D3" s="151"/>
      <c r="E3" s="151"/>
      <c r="F3" s="151"/>
      <c r="G3" s="151"/>
      <c r="H3" s="151"/>
      <c r="I3" s="151"/>
      <c r="J3" s="152" t="s">
        <v>56</v>
      </c>
      <c r="K3" s="152"/>
      <c r="L3" s="152"/>
      <c r="M3" s="152"/>
      <c r="N3" s="152"/>
      <c r="O3" s="152"/>
      <c r="P3" s="152"/>
      <c r="Q3" s="152"/>
      <c r="R3" s="152"/>
      <c r="S3" s="152"/>
      <c r="T3" s="152"/>
      <c r="U3" s="152"/>
      <c r="V3" s="152"/>
      <c r="W3" s="152"/>
      <c r="X3" s="152"/>
      <c r="Y3" s="152"/>
      <c r="Z3" s="152"/>
      <c r="AA3" s="152"/>
      <c r="AB3" s="152"/>
      <c r="AC3" s="152"/>
      <c r="AD3" s="152"/>
      <c r="AE3" s="152"/>
      <c r="AF3" s="152"/>
      <c r="AG3" s="152"/>
      <c r="AH3" s="152"/>
      <c r="AI3" s="152"/>
      <c r="AJ3" s="152"/>
      <c r="AK3" s="152"/>
      <c r="AL3" s="152"/>
      <c r="AM3" s="152"/>
      <c r="AN3" s="152"/>
      <c r="AO3" s="152"/>
      <c r="AP3" s="152"/>
      <c r="AQ3" s="152"/>
      <c r="AR3" s="152"/>
      <c r="AS3" s="152"/>
      <c r="AT3" s="152"/>
      <c r="AU3" s="152"/>
      <c r="AV3" s="152"/>
      <c r="AW3" s="152"/>
      <c r="AX3" s="152"/>
      <c r="AY3" s="152"/>
      <c r="AZ3" s="152"/>
      <c r="BA3" s="152"/>
      <c r="BB3" s="152"/>
      <c r="BC3" s="152"/>
      <c r="BD3" s="152"/>
      <c r="BE3" s="152"/>
      <c r="BF3" s="152"/>
      <c r="BG3" s="152"/>
      <c r="BH3" s="152"/>
      <c r="BI3" s="152"/>
      <c r="BJ3" s="152"/>
    </row>
    <row r="4" spans="1:65" ht="21.75" customHeight="1">
      <c r="A4" s="153" t="s">
        <v>57</v>
      </c>
      <c r="B4" s="153"/>
      <c r="C4" s="153"/>
      <c r="D4" s="153"/>
      <c r="E4" s="153"/>
      <c r="F4" s="153"/>
      <c r="G4" s="153"/>
      <c r="H4" s="153"/>
      <c r="I4" s="153"/>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3" t="s">
        <v>58</v>
      </c>
      <c r="B5" s="153"/>
      <c r="C5" s="153"/>
      <c r="D5" s="153"/>
      <c r="E5" s="153"/>
      <c r="F5" s="153"/>
      <c r="G5" s="153"/>
      <c r="H5" s="153"/>
      <c r="I5" s="153"/>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50" t="s">
        <v>20</v>
      </c>
      <c r="B6" s="50" t="s">
        <v>22</v>
      </c>
      <c r="C6" s="50" t="s">
        <v>35</v>
      </c>
      <c r="D6" s="50" t="s">
        <v>36</v>
      </c>
      <c r="E6" s="50" t="s">
        <v>59</v>
      </c>
      <c r="F6" s="50" t="s">
        <v>37</v>
      </c>
      <c r="G6" s="50" t="s">
        <v>38</v>
      </c>
      <c r="H6" s="50" t="s">
        <v>39</v>
      </c>
      <c r="I6" s="50" t="s">
        <v>32</v>
      </c>
      <c r="J6" s="51">
        <f>IF(الإعدادات!$B$14&lt;=الإعدادات!$B$11,الإعدادات!$B$14,"")</f>
        <v>46297</v>
      </c>
      <c r="K6" s="51">
        <f>IF(J6="","",IF(J6+7&lt;=الإعدادات!$B$11,J6+7,""))</f>
        <v>46304</v>
      </c>
      <c r="L6" s="51">
        <f>IF(K6="","",IF(K6+7&lt;=الإعدادات!$B$11,K6+7,""))</f>
        <v>46311</v>
      </c>
      <c r="M6" s="51">
        <f>IF(L6="","",IF(L6+7&lt;=الإعدادات!$B$11,L6+7,""))</f>
        <v>46318</v>
      </c>
      <c r="N6" s="51">
        <f>IF(M6="","",IF(M6+7&lt;=الإعدادات!$B$11,M6+7,""))</f>
        <v>46325</v>
      </c>
      <c r="O6" s="51">
        <f>IF(N6="","",IF(N6+7&lt;=الإعدادات!$B$11,N6+7,""))</f>
        <v>46332</v>
      </c>
      <c r="P6" s="51">
        <f>IF(O6="","",IF(O6+7&lt;=الإعدادات!$B$11,O6+7,""))</f>
        <v>46339</v>
      </c>
      <c r="Q6" s="51">
        <f>IF(P6="","",IF(P6+7&lt;=الإعدادات!$B$11,P6+7,""))</f>
        <v>46346</v>
      </c>
      <c r="R6" s="51">
        <f>IF(Q6="","",IF(Q6+7&lt;=الإعدادات!$B$11,Q6+7,""))</f>
        <v>46353</v>
      </c>
      <c r="S6" s="51">
        <f>IF(R6="","",IF(R6+7&lt;=الإعدادات!$B$11,R6+7,""))</f>
        <v>46360</v>
      </c>
      <c r="T6" s="51">
        <f>IF(S6="","",IF(S6+7&lt;=الإعدادات!$B$11,S6+7,""))</f>
        <v>46367</v>
      </c>
      <c r="U6" s="51">
        <f>IF(T6="","",IF(T6+7&lt;=الإعدادات!$B$11,T6+7,""))</f>
        <v>46374</v>
      </c>
      <c r="V6" s="51">
        <f>IF(U6="","",IF(U6+7&lt;=الإعدادات!$B$11,U6+7,""))</f>
        <v>46381</v>
      </c>
      <c r="W6" s="51">
        <f>IF(V6="","",IF(V6+7&lt;=الإعدادات!$B$11,V6+7,""))</f>
        <v>46388</v>
      </c>
      <c r="X6" s="51">
        <f>IF(W6="","",IF(W6+7&lt;=الإعدادات!$B$11,W6+7,""))</f>
        <v>46395</v>
      </c>
      <c r="Y6" s="51">
        <f>IF(X6="","",IF(X6+7&lt;=الإعدادات!$B$11,X6+7,""))</f>
        <v>46402</v>
      </c>
      <c r="Z6" s="51">
        <f>IF(Y6="","",IF(Y6+7&lt;=الإعدادات!$B$11,Y6+7,""))</f>
        <v>46409</v>
      </c>
      <c r="AA6" s="51">
        <f>IF(Z6="","",IF(Z6+7&lt;=الإعدادات!$B$11,Z6+7,""))</f>
        <v>46416</v>
      </c>
      <c r="AB6" s="51">
        <f>IF(AA6="","",IF(AA6+7&lt;=الإعدادات!$B$11,AA6+7,""))</f>
        <v>46423</v>
      </c>
      <c r="AC6" s="51">
        <f>IF(AB6="","",IF(AB6+7&lt;=الإعدادات!$B$11,AB6+7,""))</f>
        <v>46430</v>
      </c>
      <c r="AD6" s="51">
        <f>IF(AC6="","",IF(AC6+7&lt;=الإعدادات!$B$11,AC6+7,""))</f>
        <v>46437</v>
      </c>
      <c r="AE6" s="51">
        <f>IF(AD6="","",IF(AD6+7&lt;=الإعدادات!$B$11,AD6+7,""))</f>
        <v>46444</v>
      </c>
      <c r="AF6" s="51">
        <f>IF(AE6="","",IF(AE6+7&lt;=الإعدادات!$B$11,AE6+7,""))</f>
        <v>46451</v>
      </c>
      <c r="AG6" s="51">
        <f>IF(AF6="","",IF(AF6+7&lt;=الإعدادات!$B$11,AF6+7,""))</f>
        <v>46458</v>
      </c>
      <c r="AH6" s="51">
        <f>IF(AG6="","",IF(AG6+7&lt;=الإعدادات!$B$11,AG6+7,""))</f>
        <v>46465</v>
      </c>
      <c r="AI6" s="51">
        <f>IF(AH6="","",IF(AH6+7&lt;=الإعدادات!$B$11,AH6+7,""))</f>
        <v>46472</v>
      </c>
      <c r="AJ6" s="51">
        <f>IF(AI6="","",IF(AI6+7&lt;=الإعدادات!$B$11,AI6+7,""))</f>
        <v>46479</v>
      </c>
      <c r="AK6" s="51">
        <f>IF(AJ6="","",IF(AJ6+7&lt;=الإعدادات!$B$11,AJ6+7,""))</f>
        <v>46486</v>
      </c>
      <c r="AL6" s="51">
        <f>IF(AK6="","",IF(AK6+7&lt;=الإعدادات!$B$11,AK6+7,""))</f>
        <v>46493</v>
      </c>
      <c r="AM6" s="51">
        <f>IF(AL6="","",IF(AL6+7&lt;=الإعدادات!$B$11,AL6+7,""))</f>
        <v>46500</v>
      </c>
      <c r="AN6" s="51">
        <f>IF(AM6="","",IF(AM6+7&lt;=الإعدادات!$B$11,AM6+7,""))</f>
        <v>46507</v>
      </c>
      <c r="AO6" s="51">
        <f>IF(AN6="","",IF(AN6+7&lt;=الإعدادات!$B$11,AN6+7,""))</f>
        <v>46514</v>
      </c>
      <c r="AP6" s="51">
        <f>IF(AO6="","",IF(AO6+7&lt;=الإعدادات!$B$11,AO6+7,""))</f>
        <v>46521</v>
      </c>
      <c r="AQ6" s="51">
        <f>IF(AP6="","",IF(AP6+7&lt;=الإعدادات!$B$11,AP6+7,""))</f>
        <v>46528</v>
      </c>
      <c r="AR6" s="51">
        <f>IF(AQ6="","",IF(AQ6+7&lt;=الإعدادات!$B$11,AQ6+7,""))</f>
        <v>46535</v>
      </c>
      <c r="AS6" s="51">
        <f>IF(AR6="","",IF(AR6+7&lt;=الإعدادات!$B$11,AR6+7,""))</f>
        <v>46542</v>
      </c>
      <c r="AT6" s="51">
        <f>IF(AS6="","",IF(AS6+7&lt;=الإعدادات!$B$11,AS6+7,""))</f>
        <v>46549</v>
      </c>
      <c r="AU6" s="51">
        <f>IF(AT6="","",IF(AT6+7&lt;=الإعدادات!$B$11,AT6+7,""))</f>
        <v>46556</v>
      </c>
      <c r="AV6" s="51">
        <f>IF(AU6="","",IF(AU6+7&lt;=الإعدادات!$B$11,AU6+7,""))</f>
        <v>46563</v>
      </c>
      <c r="AW6" s="51">
        <f>IF(AV6="","",IF(AV6+7&lt;=الإعدادات!$B$11,AV6+7,""))</f>
        <v>46570</v>
      </c>
      <c r="AX6" s="51">
        <f>IF(AW6="","",IF(AW6+7&lt;=الإعدادات!$B$11,AW6+7,""))</f>
        <v>46577</v>
      </c>
      <c r="AY6" s="51">
        <f>IF(AX6="","",IF(AX6+7&lt;=الإعدادات!$B$11,AX6+7,""))</f>
        <v>46584</v>
      </c>
      <c r="AZ6" s="51">
        <f>IF(AY6="","",IF(AY6+7&lt;=الإعدادات!$B$11,AY6+7,""))</f>
        <v>46591</v>
      </c>
      <c r="BA6" s="51">
        <f>IF(AZ6="","",IF(AZ6+7&lt;=الإعدادات!$B$11,AZ6+7,""))</f>
        <v>46598</v>
      </c>
      <c r="BB6" s="51">
        <f>IF(BA6="","",IF(BA6+7&lt;=الإعدادات!$B$11,BA6+7,""))</f>
        <v>46605</v>
      </c>
      <c r="BC6" s="51">
        <f>IF(BB6="","",IF(BB6+7&lt;=الإعدادات!$B$11,BB6+7,""))</f>
        <v>46612</v>
      </c>
      <c r="BD6" s="51">
        <f>IF(BC6="","",IF(BC6+7&lt;=الإعدادات!$B$11,BC6+7,""))</f>
        <v>46619</v>
      </c>
      <c r="BE6" s="51">
        <f>IF(BD6="","",IF(BD6+7&lt;=الإعدادات!$B$11,BD6+7,""))</f>
        <v>46626</v>
      </c>
      <c r="BF6" s="51">
        <f>IF(BE6="","",IF(BE6+7&lt;=الإعدادات!$B$11,BE6+7,""))</f>
        <v>46633</v>
      </c>
      <c r="BG6" s="51">
        <f>IF(BF6="","",IF(BF6+7&lt;=الإعدادات!$B$11,BF6+7,""))</f>
        <v>46640</v>
      </c>
      <c r="BH6" s="51">
        <f>IF(BG6="","",IF(BG6+7&lt;=الإعدادات!$B$11,BG6+7,""))</f>
        <v>46647</v>
      </c>
      <c r="BI6" s="51">
        <f>IF(BH6="","",IF(BH6+7&lt;=الإعدادات!$B$11,BH6+7,""))</f>
        <v>46654</v>
      </c>
      <c r="BJ6" s="51">
        <f>IF(BI6="","",IF(BI6+7&lt;=الإعدادات!$B$11,BI6+7,""))</f>
        <v>46661</v>
      </c>
    </row>
    <row r="7" spans="1:65" ht="21.75" customHeight="1">
      <c r="A7" s="36">
        <f>IF($BL7=0,"",1)</f>
        <v>1</v>
      </c>
      <c r="B7" s="37" t="str">
        <f>IF($BL7=0,"",INDEX('قاعدة البيانات'!$C$6:$C$305,$BL7))</f>
        <v xml:space="preserve">ابانوب منير وديع </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IFERROR(MATCH(الإعدادات!$B$7&amp;"|"&amp;1,'قاعدة البيانات'!$N$6:$N$305,0),0)</f>
        <v>49</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 xml:space="preserve">اماليا جون حلمى </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IFERROR(MATCH(الإعدادات!$B$7&amp;"|"&amp;2,'قاعدة البيانات'!$N$6:$N$305,0),0)</f>
        <v>50</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 xml:space="preserve">ايفان رامى نجيب </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IFERROR(MATCH(الإعدادات!$B$7&amp;"|"&amp;3,'قاعدة البيانات'!$N$6:$N$305,0),0)</f>
        <v>51</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 xml:space="preserve">بتول سامح عطية </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IFERROR(MATCH(الإعدادات!$B$7&amp;"|"&amp;4,'قاعدة البيانات'!$N$6:$N$305,0),0)</f>
        <v>52</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 xml:space="preserve">بولا ميلاد لبيب </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IFERROR(MATCH(الإعدادات!$B$7&amp;"|"&amp;5,'قاعدة البيانات'!$N$6:$N$305,0),0)</f>
        <v>53</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 xml:space="preserve">جوناثان هانى مجدى </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IFERROR(MATCH(الإعدادات!$B$7&amp;"|"&amp;6,'قاعدة البيانات'!$N$6:$N$305,0),0)</f>
        <v>54</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جونيستا يوسف فرج</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IFERROR(MATCH(الإعدادات!$B$7&amp;"|"&amp;7,'قاعدة البيانات'!$N$6:$N$305,0),0)</f>
        <v>55</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جيسي عصام اسعد</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IFERROR(MATCH(الإعدادات!$B$7&amp;"|"&amp;8,'قاعدة البيانات'!$N$6:$N$305,0),0)</f>
        <v>56</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 xml:space="preserve">فيلومينا جون رزق الله </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IFERROR(MATCH(الإعدادات!$B$7&amp;"|"&amp;9,'قاعدة البيانات'!$N$6:$N$305,0),0)</f>
        <v>57</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 xml:space="preserve">فيلومينا غطاس شوقى </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IFERROR(MATCH(الإعدادات!$B$7&amp;"|"&amp;10,'قاعدة البيانات'!$N$6:$N$305,0),0)</f>
        <v>58</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 xml:space="preserve">كريس كرم فوزى </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IFERROR(MATCH(الإعدادات!$B$7&amp;"|"&amp;11,'قاعدة البيانات'!$N$6:$N$305,0),0)</f>
        <v>59</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 xml:space="preserve">كيفين ابانوب هانى </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IFERROR(MATCH(الإعدادات!$B$7&amp;"|"&amp;12,'قاعدة البيانات'!$N$6:$N$305,0),0)</f>
        <v>60</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 xml:space="preserve">مارتن وجيه عبد المسيح </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IFERROR(MATCH(الإعدادات!$B$7&amp;"|"&amp;13,'قاعدة البيانات'!$N$6:$N$305,0),0)</f>
        <v>61</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 xml:space="preserve">ماروسكا عصام سمير </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IFERROR(MATCH(الإعدادات!$B$7&amp;"|"&amp;14,'قاعدة البيانات'!$N$6:$N$305,0),0)</f>
        <v>62</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 xml:space="preserve">مارولا رومانى مسعد </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IFERROR(MATCH(الإعدادات!$B$7&amp;"|"&amp;15,'قاعدة البيانات'!$N$6:$N$305,0),0)</f>
        <v>63</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 xml:space="preserve">ميخائيل ايهاب فوزى </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IFERROR(MATCH(الإعدادات!$B$7&amp;"|"&amp;16,'قاعدة البيانات'!$N$6:$N$305,0),0)</f>
        <v>64</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 xml:space="preserve">ميلانيا ميشيل مختار </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IFERROR(MATCH(الإعدادات!$B$7&amp;"|"&amp;17,'قاعدة البيانات'!$N$6:$N$305,0),0)</f>
        <v>65</v>
      </c>
      <c r="BM23">
        <f>IF($BL23=0,0,IF(INDEX('قاعدة البيانات'!$M$6:$M$305,$BL23)="غير نشط",5,IF($F23="",0,IF($G23&gt;=الإعدادات!$B$18,4,IF($F23&gt;=الإعدادات!$B$16,1,IF($F23&gt;=الإعدادات!$B$17,2,3))))))</f>
        <v>0</v>
      </c>
    </row>
    <row r="24" spans="1:65" ht="21.75" customHeight="1">
      <c r="A24" s="36">
        <f>IF($BL24=0,"",18)</f>
        <v>18</v>
      </c>
      <c r="B24" s="37" t="str">
        <f>IF($BL24=0,"",INDEX('قاعدة البيانات'!$C$6:$C$305,$BL24))</f>
        <v xml:space="preserve">نوفير هانى شفيق </v>
      </c>
      <c r="C24" s="38">
        <f t="shared" si="4"/>
        <v>0</v>
      </c>
      <c r="D24" s="39">
        <f t="shared" si="5"/>
        <v>0</v>
      </c>
      <c r="E24" s="40">
        <f t="shared" si="6"/>
        <v>0</v>
      </c>
      <c r="F24" s="41" t="str">
        <f t="shared" si="7"/>
        <v/>
      </c>
      <c r="G24" s="42">
        <f t="shared" si="8"/>
        <v>0</v>
      </c>
      <c r="H24" s="43" t="str">
        <f t="shared" si="9"/>
        <v>—</v>
      </c>
      <c r="I24" s="44" t="str">
        <f t="shared" si="10"/>
        <v>⏳ لسه مفيش حضور</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IFERROR(MATCH(الإعدادات!$B$7&amp;"|"&amp;18,'قاعدة البيانات'!$N$6:$N$305,0),0)</f>
        <v>66</v>
      </c>
      <c r="BM24">
        <f>IF($BL24=0,0,IF(INDEX('قاعدة البيانات'!$M$6:$M$305,$BL24)="غير نشط",5,IF($F24="",0,IF($G24&gt;=الإعدادات!$B$18,4,IF($F24&gt;=الإعدادات!$B$16,1,IF($F24&gt;=الإعدادات!$B$17,2,3))))))</f>
        <v>0</v>
      </c>
    </row>
    <row r="25" spans="1:65" ht="21.75" customHeight="1">
      <c r="A25" s="36">
        <f>IF($BL25=0,"",19)</f>
        <v>19</v>
      </c>
      <c r="B25" s="37" t="str">
        <f>IF($BL25=0,"",INDEX('قاعدة البيانات'!$C$6:$C$305,$BL25))</f>
        <v xml:space="preserve">نيروز سامى شحات </v>
      </c>
      <c r="C25" s="38">
        <f t="shared" si="4"/>
        <v>0</v>
      </c>
      <c r="D25" s="39">
        <f t="shared" si="5"/>
        <v>0</v>
      </c>
      <c r="E25" s="40">
        <f t="shared" si="6"/>
        <v>0</v>
      </c>
      <c r="F25" s="41" t="str">
        <f t="shared" si="7"/>
        <v/>
      </c>
      <c r="G25" s="42">
        <f t="shared" si="8"/>
        <v>0</v>
      </c>
      <c r="H25" s="43" t="str">
        <f t="shared" si="9"/>
        <v>—</v>
      </c>
      <c r="I25" s="44" t="str">
        <f t="shared" si="10"/>
        <v>⏳ لسه مفيش حضور</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IFERROR(MATCH(الإعدادات!$B$7&amp;"|"&amp;19,'قاعدة البيانات'!$N$6:$N$305,0),0)</f>
        <v>67</v>
      </c>
      <c r="BM25">
        <f>IF($BL25=0,0,IF(INDEX('قاعدة البيانات'!$M$6:$M$305,$BL25)="غير نشط",5,IF($F25="",0,IF($G25&gt;=الإعدادات!$B$18,4,IF($F25&gt;=الإعدادات!$B$16,1,IF($F25&gt;=الإعدادات!$B$17,2,3))))))</f>
        <v>0</v>
      </c>
    </row>
    <row r="26" spans="1:65" ht="21.75" customHeight="1">
      <c r="A26" s="36">
        <f>IF($BL26=0,"",20)</f>
        <v>20</v>
      </c>
      <c r="B26" s="37" t="str">
        <f>IF($BL26=0,"",INDEX('قاعدة البيانات'!$C$6:$C$305,$BL26))</f>
        <v xml:space="preserve">يوسف بيشوى مجدى </v>
      </c>
      <c r="C26" s="38">
        <f t="shared" si="4"/>
        <v>0</v>
      </c>
      <c r="D26" s="39">
        <f t="shared" si="5"/>
        <v>0</v>
      </c>
      <c r="E26" s="40">
        <f t="shared" si="6"/>
        <v>0</v>
      </c>
      <c r="F26" s="41" t="str">
        <f t="shared" si="7"/>
        <v/>
      </c>
      <c r="G26" s="42">
        <f t="shared" si="8"/>
        <v>0</v>
      </c>
      <c r="H26" s="43" t="str">
        <f t="shared" si="9"/>
        <v>—</v>
      </c>
      <c r="I26" s="44" t="str">
        <f t="shared" si="10"/>
        <v>⏳ لسه مفيش حضور</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IFERROR(MATCH(الإعدادات!$B$7&amp;"|"&amp;20,'قاعدة البيانات'!$N$6:$N$305,0),0)</f>
        <v>68</v>
      </c>
      <c r="BM26">
        <f>IF($BL26=0,0,IF(INDEX('قاعدة البيانات'!$M$6:$M$305,$BL26)="غير نشط",5,IF($F26="",0,IF($G26&gt;=الإعدادات!$B$18,4,IF($F26&gt;=الإعدادات!$B$16,1,IF($F26&gt;=الإعدادات!$B$17,2,3))))))</f>
        <v>0</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IFERROR(MATCH(الإعدادات!$B$7&amp;"|"&amp;21,'قاعدة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IFERROR(MATCH(الإعدادات!$B$7&amp;"|"&amp;22,'قاعدة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IFERROR(MATCH(الإعدادات!$B$7&amp;"|"&amp;23,'قاعدة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IFERROR(MATCH(الإعدادات!$B$7&amp;"|"&amp;24,'قاعدة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IFERROR(MATCH(الإعدادات!$B$7&amp;"|"&amp;25,'قاعدة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IFERROR(MATCH(الإعدادات!$B$7&amp;"|"&amp;26,'قاعدة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IFERROR(MATCH(الإعدادات!$B$7&amp;"|"&amp;27,'قاعدة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IFERROR(MATCH(الإعدادات!$B$7&amp;"|"&amp;28,'قاعدة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IFERROR(MATCH(الإعدادات!$B$7&amp;"|"&amp;29,'قاعدة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IFERROR(MATCH(الإعدادات!$B$7&amp;"|"&amp;30,'قاعدة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1:R1"/>
    <mergeCell ref="A2:B2"/>
    <mergeCell ref="C2:F2"/>
    <mergeCell ref="G2:I2"/>
    <mergeCell ref="J2:O2"/>
    <mergeCell ref="P2:V2"/>
    <mergeCell ref="A3:B3"/>
    <mergeCell ref="C3:I3"/>
    <mergeCell ref="J3:BJ3"/>
    <mergeCell ref="A4:I4"/>
    <mergeCell ref="A5:I5"/>
  </mergeCells>
  <conditionalFormatting sqref="A7:BJ36">
    <cfRule type="expression" dxfId="16" priority="2">
      <formula>$BL7=0</formula>
    </cfRule>
  </conditionalFormatting>
  <conditionalFormatting sqref="F7:F36">
    <cfRule type="expression" dxfId="15" priority="9">
      <formula>$BM7=1</formula>
    </cfRule>
    <cfRule type="expression" dxfId="14" priority="10">
      <formula>$BM7=2</formula>
    </cfRule>
    <cfRule type="expression" dxfId="13" priority="11">
      <formula>OR($BM7=3,$BM7=4)</formula>
    </cfRule>
  </conditionalFormatting>
  <conditionalFormatting sqref="I7:I36">
    <cfRule type="expression" dxfId="11" priority="12">
      <formula>$BM7=1</formula>
    </cfRule>
    <cfRule type="expression" dxfId="10" priority="13">
      <formula>$BM7=2</formula>
    </cfRule>
    <cfRule type="expression" dxfId="9" priority="14">
      <formula>$BM7=3</formula>
    </cfRule>
    <cfRule type="expression" dxfId="8" priority="15">
      <formula>$BM7=4</formula>
    </cfRule>
  </conditionalFormatting>
  <conditionalFormatting sqref="J6:BJ6">
    <cfRule type="expression" dxfId="7" priority="7">
      <formula>AND(J$6&lt;&gt;"",J$6&lt;=TODAY(),J$6+7&gt;TODAY())</formula>
    </cfRule>
    <cfRule type="expression" dxfId="6" priority="8">
      <formula>MOD(MONTH(J$6),2)=0</formula>
    </cfRule>
  </conditionalFormatting>
  <conditionalFormatting sqref="J7:BJ36">
    <cfRule type="expression" dxfId="5" priority="3">
      <formula>J7="ح"</formula>
    </cfRule>
    <cfRule type="expression" dxfId="4" priority="4">
      <formula>J7="غ"</formula>
    </cfRule>
    <cfRule type="expression" dxfId="3" priority="5">
      <formula>J7="ع"</formula>
    </cfRule>
    <cfRule type="expression" dxfId="2" priority="6">
      <formula>AND(J$6&lt;&gt;"",J$6&lt;=TODAY(),J$6+7&gt;TODAY())</formula>
    </cfRule>
  </conditionalFormatting>
  <dataValidations count="1">
    <dataValidation type="list" allowBlank="1" showErrorMessage="1" errorTitle="حضور" error="اختار ح أو غ أو ع." sqref="J7:BJ36" xr:uid="{00000000-0002-0000-09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9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N65"/>
  <sheetViews>
    <sheetView showGridLines="0" rightToLeft="1" zoomScale="90" zoomScaleNormal="90" workbookViewId="0">
      <pane xSplit="2" ySplit="5" topLeftCell="C6" activePane="bottomRight" state="frozen"/>
      <selection pane="topRight" activeCell="C1" sqref="C1"/>
      <selection pane="bottomLeft" activeCell="A6" sqref="A6"/>
      <selection pane="bottomRight" sqref="A1:L1"/>
    </sheetView>
  </sheetViews>
  <sheetFormatPr defaultColWidth="8.6640625" defaultRowHeight="14.4"/>
  <cols>
    <col min="1" max="1" width="5" customWidth="1"/>
    <col min="2" max="2" width="26" customWidth="1"/>
    <col min="3" max="3" width="12" customWidth="1"/>
    <col min="4" max="4" width="9" customWidth="1"/>
    <col min="5" max="5" width="11" customWidth="1"/>
    <col min="6" max="6" width="13" customWidth="1"/>
    <col min="7" max="8" width="19" customWidth="1"/>
    <col min="9" max="9" width="12" customWidth="1"/>
    <col min="10" max="10" width="19" customWidth="1"/>
    <col min="11" max="11" width="12" customWidth="1"/>
    <col min="12" max="12" width="36" customWidth="1"/>
    <col min="13" max="13" width="3" customWidth="1"/>
    <col min="14" max="14" width="6" hidden="1" customWidth="1"/>
  </cols>
  <sheetData>
    <row r="1" spans="1:14" ht="45.75" customHeight="1">
      <c r="A1" s="163" t="s">
        <v>60</v>
      </c>
      <c r="B1" s="163"/>
      <c r="C1" s="163"/>
      <c r="D1" s="163"/>
      <c r="E1" s="163"/>
      <c r="F1" s="163"/>
      <c r="G1" s="163"/>
      <c r="H1" s="163"/>
      <c r="I1" s="163"/>
      <c r="J1" s="163"/>
      <c r="K1" s="163"/>
      <c r="L1" s="163"/>
    </row>
    <row r="2" spans="1:14" ht="27.75" customHeight="1">
      <c r="A2" s="83" t="str">
        <f>HYPERLINK("#'الرئيسية'!A1","🏠 الرئيسية")</f>
        <v>🏠 الرئيسية</v>
      </c>
      <c r="B2" s="83"/>
      <c r="C2" s="83" t="str">
        <f>HYPERLINK("#'قاعدة البيانات'!A1","📋 القاعدة")</f>
        <v>📋 القاعدة</v>
      </c>
      <c r="D2" s="83"/>
      <c r="E2" s="83"/>
      <c r="F2" s="84" t="str">
        <f>HYPERLINK("#'قاعدة البيانات'!C"&amp;MIN(305,6+COUNTA('قاعدة البيانات'!$C$6:$C$305)),"➕ إضافة طفل")</f>
        <v>➕ إضافة طفل</v>
      </c>
      <c r="G2" s="84"/>
      <c r="H2" s="83" t="str">
        <f>HYPERLINK("#'الإعدادات'!A1","⚙️ الإعدادات")</f>
        <v>⚙️ الإعدادات</v>
      </c>
      <c r="I2" s="83"/>
    </row>
    <row r="3" spans="1:14" ht="25.5" customHeight="1">
      <c r="A3" s="161" t="str">
        <f>"⚠️ الأطفال اللي نسبة حضورهم أقل من "&amp;ROUND(الإعدادات!$B$17*100,0)&amp;"% أو غايبين "&amp;الإعدادات!$B$18&amp;" اجتماعات ورا بعض أو أكتر  —  العدد الحالي: "&amp;COUNT('قاعدة البيانات'!$W$6:$W$305)</f>
        <v>⚠️ الأطفال اللي نسبة حضورهم أقل من 70% أو غايبين 3 اجتماعات ورا بعض أو أكتر  —  العدد الحالي: 0</v>
      </c>
      <c r="B3" s="161"/>
      <c r="C3" s="161"/>
      <c r="D3" s="161"/>
      <c r="E3" s="161"/>
      <c r="F3" s="161"/>
      <c r="G3" s="161"/>
      <c r="H3" s="161"/>
      <c r="I3" s="161"/>
      <c r="J3" s="161"/>
      <c r="K3" s="161"/>
      <c r="L3" s="161"/>
    </row>
    <row r="4" spans="1:14" ht="21.75" customHeight="1">
      <c r="A4" s="162" t="s">
        <v>61</v>
      </c>
      <c r="B4" s="162"/>
      <c r="C4" s="162"/>
      <c r="D4" s="162"/>
      <c r="E4" s="162"/>
      <c r="F4" s="162"/>
      <c r="G4" s="162"/>
      <c r="H4" s="162"/>
      <c r="I4" s="162"/>
      <c r="J4" s="162"/>
      <c r="K4" s="162"/>
      <c r="L4" s="162"/>
    </row>
    <row r="5" spans="1:14" ht="30" customHeight="1">
      <c r="A5" s="52" t="s">
        <v>20</v>
      </c>
      <c r="B5" s="52" t="s">
        <v>22</v>
      </c>
      <c r="C5" s="52" t="s">
        <v>10</v>
      </c>
      <c r="D5" s="52" t="s">
        <v>37</v>
      </c>
      <c r="E5" s="52" t="s">
        <v>38</v>
      </c>
      <c r="F5" s="52" t="s">
        <v>39</v>
      </c>
      <c r="G5" s="52" t="s">
        <v>32</v>
      </c>
      <c r="H5" s="52" t="s">
        <v>27</v>
      </c>
      <c r="I5" s="52" t="s">
        <v>62</v>
      </c>
      <c r="J5" s="52" t="s">
        <v>28</v>
      </c>
      <c r="K5" s="52" t="s">
        <v>63</v>
      </c>
      <c r="L5" s="52" t="s">
        <v>29</v>
      </c>
    </row>
    <row r="6" spans="1:14" ht="24" customHeight="1">
      <c r="A6" s="36" t="str">
        <f>IF($N6=0,"",1)</f>
        <v/>
      </c>
      <c r="B6" s="37" t="str">
        <f>IF($N6=0,"",INDEX('قاعدة البيانات'!$C$6:$C$305,$N6))</f>
        <v/>
      </c>
      <c r="C6" s="44" t="str">
        <f>IF($N6=0,"",INDEX('قاعدة البيانات'!$F$6:$F$305,$N6))</f>
        <v/>
      </c>
      <c r="D6" s="41" t="str">
        <f>IF($N6=0,"",INDEX('قاعدة البيانات'!$R$6:$R$305,$N6))</f>
        <v/>
      </c>
      <c r="E6" s="42" t="str">
        <f>IF($N6=0,"",INDEX('قاعدة البيانات'!$S$6:$S$305,$N6))</f>
        <v/>
      </c>
      <c r="F6" s="43" t="str">
        <f>IF($N6=0,"",INDEX('قاعدة البيانات'!$T$6:$T$305,$N6))</f>
        <v/>
      </c>
      <c r="G6" s="44" t="str">
        <f>IF($N6=0,"",INDEX('قاعدة البيانات'!$U$6:$U$305,$N6))</f>
        <v/>
      </c>
      <c r="H6" s="53" t="str">
        <f>IF($N6=0,"",IF(INDEX('قاعدة البيانات'!$H$6:$H$305,$N6)="","— مفيش رقم —",HYPERLINK("tel:"&amp;INDEX('قاعدة البيانات'!$H$6:$H$305,$N6),"📞 "&amp;INDEX('قاعدة البيانات'!$H$6:$H$305,$N6))))</f>
        <v/>
      </c>
      <c r="I6" s="54" t="str">
        <f>IF(OR($N6=0,INDEX('قاعدة البيانات'!$H$6:$H$305,$N6)=""),"",HYPERLINK("https://wa.me/20"&amp;RIGHT(INDEX('قاعدة البيانات'!$H$6:$H$305,$N6),10),"💬 واتساب"))</f>
        <v/>
      </c>
      <c r="J6" s="53" t="str">
        <f>IF($N6=0,"",IF(INDEX('قاعدة البيانات'!$I$6:$I$305,$N6)="","— مفيش رقم —",HYPERLINK("tel:"&amp;INDEX('قاعدة البيانات'!$I$6:$I$305,$N6),"📞 "&amp;INDEX('قاعدة البيانات'!$I$6:$I$305,$N6))))</f>
        <v/>
      </c>
      <c r="K6" s="54" t="str">
        <f>IF(OR($N6=0,INDEX('قاعدة البيانات'!$I$6:$I$305,$N6)=""),"",HYPERLINK("https://wa.me/20"&amp;RIGHT(INDEX('قاعدة البيانات'!$I$6:$I$305,$N6),10),"💬 واتساب"))</f>
        <v/>
      </c>
      <c r="L6" s="55" t="str">
        <f>IF($N6=0,"",IF(INDEX('قاعدة البيانات'!$J$6:$J$305,$N6)="","—",INDEX('قاعدة البيانات'!$J$6:$J$305,$N6)))</f>
        <v/>
      </c>
      <c r="N6">
        <f>IFERROR(MATCH(1,'قاعدة البيانات'!$W$6:$W$305,0),0)</f>
        <v>0</v>
      </c>
    </row>
    <row r="7" spans="1:14" ht="24" customHeight="1">
      <c r="A7" s="36" t="str">
        <f>IF($N7=0,"",2)</f>
        <v/>
      </c>
      <c r="B7" s="37" t="str">
        <f>IF($N7=0,"",INDEX('قاعدة البيانات'!$C$6:$C$305,$N7))</f>
        <v/>
      </c>
      <c r="C7" s="44" t="str">
        <f>IF($N7=0,"",INDEX('قاعدة البيانات'!$F$6:$F$305,$N7))</f>
        <v/>
      </c>
      <c r="D7" s="41" t="str">
        <f>IF($N7=0,"",INDEX('قاعدة البيانات'!$R$6:$R$305,$N7))</f>
        <v/>
      </c>
      <c r="E7" s="42" t="str">
        <f>IF($N7=0,"",INDEX('قاعدة البيانات'!$S$6:$S$305,$N7))</f>
        <v/>
      </c>
      <c r="F7" s="43" t="str">
        <f>IF($N7=0,"",INDEX('قاعدة البيانات'!$T$6:$T$305,$N7))</f>
        <v/>
      </c>
      <c r="G7" s="44" t="str">
        <f>IF($N7=0,"",INDEX('قاعدة البيانات'!$U$6:$U$305,$N7))</f>
        <v/>
      </c>
      <c r="H7" s="53" t="str">
        <f>IF($N7=0,"",IF(INDEX('قاعدة البيانات'!$H$6:$H$305,$N7)="","— مفيش رقم —",HYPERLINK("tel:"&amp;INDEX('قاعدة البيانات'!$H$6:$H$305,$N7),"📞 "&amp;INDEX('قاعدة البيانات'!$H$6:$H$305,$N7))))</f>
        <v/>
      </c>
      <c r="I7" s="54" t="str">
        <f>IF(OR($N7=0,INDEX('قاعدة البيانات'!$H$6:$H$305,$N7)=""),"",HYPERLINK("https://wa.me/20"&amp;RIGHT(INDEX('قاعدة البيانات'!$H$6:$H$305,$N7),10),"💬 واتساب"))</f>
        <v/>
      </c>
      <c r="J7" s="53" t="str">
        <f>IF($N7=0,"",IF(INDEX('قاعدة البيانات'!$I$6:$I$305,$N7)="","— مفيش رقم —",HYPERLINK("tel:"&amp;INDEX('قاعدة البيانات'!$I$6:$I$305,$N7),"📞 "&amp;INDEX('قاعدة البيانات'!$I$6:$I$305,$N7))))</f>
        <v/>
      </c>
      <c r="K7" s="54" t="str">
        <f>IF(OR($N7=0,INDEX('قاعدة البيانات'!$I$6:$I$305,$N7)=""),"",HYPERLINK("https://wa.me/20"&amp;RIGHT(INDEX('قاعدة البيانات'!$I$6:$I$305,$N7),10),"💬 واتساب"))</f>
        <v/>
      </c>
      <c r="L7" s="55" t="str">
        <f>IF($N7=0,"",IF(INDEX('قاعدة البيانات'!$J$6:$J$305,$N7)="","—",INDEX('قاعدة البيانات'!$J$6:$J$305,$N7)))</f>
        <v/>
      </c>
      <c r="N7">
        <f>IFERROR(MATCH(2,'قاعدة البيانات'!$W$6:$W$305,0),0)</f>
        <v>0</v>
      </c>
    </row>
    <row r="8" spans="1:14" ht="24" customHeight="1">
      <c r="A8" s="36" t="str">
        <f>IF($N8=0,"",3)</f>
        <v/>
      </c>
      <c r="B8" s="37" t="str">
        <f>IF($N8=0,"",INDEX('قاعدة البيانات'!$C$6:$C$305,$N8))</f>
        <v/>
      </c>
      <c r="C8" s="44" t="str">
        <f>IF($N8=0,"",INDEX('قاعدة البيانات'!$F$6:$F$305,$N8))</f>
        <v/>
      </c>
      <c r="D8" s="41" t="str">
        <f>IF($N8=0,"",INDEX('قاعدة البيانات'!$R$6:$R$305,$N8))</f>
        <v/>
      </c>
      <c r="E8" s="42" t="str">
        <f>IF($N8=0,"",INDEX('قاعدة البيانات'!$S$6:$S$305,$N8))</f>
        <v/>
      </c>
      <c r="F8" s="43" t="str">
        <f>IF($N8=0,"",INDEX('قاعدة البيانات'!$T$6:$T$305,$N8))</f>
        <v/>
      </c>
      <c r="G8" s="44" t="str">
        <f>IF($N8=0,"",INDEX('قاعدة البيانات'!$U$6:$U$305,$N8))</f>
        <v/>
      </c>
      <c r="H8" s="53" t="str">
        <f>IF($N8=0,"",IF(INDEX('قاعدة البيانات'!$H$6:$H$305,$N8)="","— مفيش رقم —",HYPERLINK("tel:"&amp;INDEX('قاعدة البيانات'!$H$6:$H$305,$N8),"📞 "&amp;INDEX('قاعدة البيانات'!$H$6:$H$305,$N8))))</f>
        <v/>
      </c>
      <c r="I8" s="54" t="str">
        <f>IF(OR($N8=0,INDEX('قاعدة البيانات'!$H$6:$H$305,$N8)=""),"",HYPERLINK("https://wa.me/20"&amp;RIGHT(INDEX('قاعدة البيانات'!$H$6:$H$305,$N8),10),"💬 واتساب"))</f>
        <v/>
      </c>
      <c r="J8" s="53" t="str">
        <f>IF($N8=0,"",IF(INDEX('قاعدة البيانات'!$I$6:$I$305,$N8)="","— مفيش رقم —",HYPERLINK("tel:"&amp;INDEX('قاعدة البيانات'!$I$6:$I$305,$N8),"📞 "&amp;INDEX('قاعدة البيانات'!$I$6:$I$305,$N8))))</f>
        <v/>
      </c>
      <c r="K8" s="54" t="str">
        <f>IF(OR($N8=0,INDEX('قاعدة البيانات'!$I$6:$I$305,$N8)=""),"",HYPERLINK("https://wa.me/20"&amp;RIGHT(INDEX('قاعدة البيانات'!$I$6:$I$305,$N8),10),"💬 واتساب"))</f>
        <v/>
      </c>
      <c r="L8" s="55" t="str">
        <f>IF($N8=0,"",IF(INDEX('قاعدة البيانات'!$J$6:$J$305,$N8)="","—",INDEX('قاعدة البيانات'!$J$6:$J$305,$N8)))</f>
        <v/>
      </c>
      <c r="N8">
        <f>IFERROR(MATCH(3,'قاعدة البيانات'!$W$6:$W$305,0),0)</f>
        <v>0</v>
      </c>
    </row>
    <row r="9" spans="1:14" ht="24" customHeight="1">
      <c r="A9" s="36" t="str">
        <f>IF($N9=0,"",4)</f>
        <v/>
      </c>
      <c r="B9" s="37" t="str">
        <f>IF($N9=0,"",INDEX('قاعدة البيانات'!$C$6:$C$305,$N9))</f>
        <v/>
      </c>
      <c r="C9" s="44" t="str">
        <f>IF($N9=0,"",INDEX('قاعدة البيانات'!$F$6:$F$305,$N9))</f>
        <v/>
      </c>
      <c r="D9" s="41" t="str">
        <f>IF($N9=0,"",INDEX('قاعدة البيانات'!$R$6:$R$305,$N9))</f>
        <v/>
      </c>
      <c r="E9" s="42" t="str">
        <f>IF($N9=0,"",INDEX('قاعدة البيانات'!$S$6:$S$305,$N9))</f>
        <v/>
      </c>
      <c r="F9" s="43" t="str">
        <f>IF($N9=0,"",INDEX('قاعدة البيانات'!$T$6:$T$305,$N9))</f>
        <v/>
      </c>
      <c r="G9" s="44" t="str">
        <f>IF($N9=0,"",INDEX('قاعدة البيانات'!$U$6:$U$305,$N9))</f>
        <v/>
      </c>
      <c r="H9" s="53" t="str">
        <f>IF($N9=0,"",IF(INDEX('قاعدة البيانات'!$H$6:$H$305,$N9)="","— مفيش رقم —",HYPERLINK("tel:"&amp;INDEX('قاعدة البيانات'!$H$6:$H$305,$N9),"📞 "&amp;INDEX('قاعدة البيانات'!$H$6:$H$305,$N9))))</f>
        <v/>
      </c>
      <c r="I9" s="54" t="str">
        <f>IF(OR($N9=0,INDEX('قاعدة البيانات'!$H$6:$H$305,$N9)=""),"",HYPERLINK("https://wa.me/20"&amp;RIGHT(INDEX('قاعدة البيانات'!$H$6:$H$305,$N9),10),"💬 واتساب"))</f>
        <v/>
      </c>
      <c r="J9" s="53" t="str">
        <f>IF($N9=0,"",IF(INDEX('قاعدة البيانات'!$I$6:$I$305,$N9)="","— مفيش رقم —",HYPERLINK("tel:"&amp;INDEX('قاعدة البيانات'!$I$6:$I$305,$N9),"📞 "&amp;INDEX('قاعدة البيانات'!$I$6:$I$305,$N9))))</f>
        <v/>
      </c>
      <c r="K9" s="54" t="str">
        <f>IF(OR($N9=0,INDEX('قاعدة البيانات'!$I$6:$I$305,$N9)=""),"",HYPERLINK("https://wa.me/20"&amp;RIGHT(INDEX('قاعدة البيانات'!$I$6:$I$305,$N9),10),"💬 واتساب"))</f>
        <v/>
      </c>
      <c r="L9" s="55" t="str">
        <f>IF($N9=0,"",IF(INDEX('قاعدة البيانات'!$J$6:$J$305,$N9)="","—",INDEX('قاعدة البيانات'!$J$6:$J$305,$N9)))</f>
        <v/>
      </c>
      <c r="N9">
        <f>IFERROR(MATCH(4,'قاعدة البيانات'!$W$6:$W$305,0),0)</f>
        <v>0</v>
      </c>
    </row>
    <row r="10" spans="1:14" ht="24" customHeight="1">
      <c r="A10" s="36" t="str">
        <f>IF($N10=0,"",5)</f>
        <v/>
      </c>
      <c r="B10" s="37" t="str">
        <f>IF($N10=0,"",INDEX('قاعدة البيانات'!$C$6:$C$305,$N10))</f>
        <v/>
      </c>
      <c r="C10" s="44" t="str">
        <f>IF($N10=0,"",INDEX('قاعدة البيانات'!$F$6:$F$305,$N10))</f>
        <v/>
      </c>
      <c r="D10" s="41" t="str">
        <f>IF($N10=0,"",INDEX('قاعدة البيانات'!$R$6:$R$305,$N10))</f>
        <v/>
      </c>
      <c r="E10" s="42" t="str">
        <f>IF($N10=0,"",INDEX('قاعدة البيانات'!$S$6:$S$305,$N10))</f>
        <v/>
      </c>
      <c r="F10" s="43" t="str">
        <f>IF($N10=0,"",INDEX('قاعدة البيانات'!$T$6:$T$305,$N10))</f>
        <v/>
      </c>
      <c r="G10" s="44" t="str">
        <f>IF($N10=0,"",INDEX('قاعدة البيانات'!$U$6:$U$305,$N10))</f>
        <v/>
      </c>
      <c r="H10" s="53" t="str">
        <f>IF($N10=0,"",IF(INDEX('قاعدة البيانات'!$H$6:$H$305,$N10)="","— مفيش رقم —",HYPERLINK("tel:"&amp;INDEX('قاعدة البيانات'!$H$6:$H$305,$N10),"📞 "&amp;INDEX('قاعدة البيانات'!$H$6:$H$305,$N10))))</f>
        <v/>
      </c>
      <c r="I10" s="54" t="str">
        <f>IF(OR($N10=0,INDEX('قاعدة البيانات'!$H$6:$H$305,$N10)=""),"",HYPERLINK("https://wa.me/20"&amp;RIGHT(INDEX('قاعدة البيانات'!$H$6:$H$305,$N10),10),"💬 واتساب"))</f>
        <v/>
      </c>
      <c r="J10" s="53" t="str">
        <f>IF($N10=0,"",IF(INDEX('قاعدة البيانات'!$I$6:$I$305,$N10)="","— مفيش رقم —",HYPERLINK("tel:"&amp;INDEX('قاعدة البيانات'!$I$6:$I$305,$N10),"📞 "&amp;INDEX('قاعدة البيانات'!$I$6:$I$305,$N10))))</f>
        <v/>
      </c>
      <c r="K10" s="54" t="str">
        <f>IF(OR($N10=0,INDEX('قاعدة البيانات'!$I$6:$I$305,$N10)=""),"",HYPERLINK("https://wa.me/20"&amp;RIGHT(INDEX('قاعدة البيانات'!$I$6:$I$305,$N10),10),"💬 واتساب"))</f>
        <v/>
      </c>
      <c r="L10" s="55" t="str">
        <f>IF($N10=0,"",IF(INDEX('قاعدة البيانات'!$J$6:$J$305,$N10)="","—",INDEX('قاعدة البيانات'!$J$6:$J$305,$N10)))</f>
        <v/>
      </c>
      <c r="N10">
        <f>IFERROR(MATCH(5,'قاعدة البيانات'!$W$6:$W$305,0),0)</f>
        <v>0</v>
      </c>
    </row>
    <row r="11" spans="1:14" ht="24" customHeight="1">
      <c r="A11" s="36" t="str">
        <f>IF($N11=0,"",6)</f>
        <v/>
      </c>
      <c r="B11" s="37" t="str">
        <f>IF($N11=0,"",INDEX('قاعدة البيانات'!$C$6:$C$305,$N11))</f>
        <v/>
      </c>
      <c r="C11" s="44" t="str">
        <f>IF($N11=0,"",INDEX('قاعدة البيانات'!$F$6:$F$305,$N11))</f>
        <v/>
      </c>
      <c r="D11" s="41" t="str">
        <f>IF($N11=0,"",INDEX('قاعدة البيانات'!$R$6:$R$305,$N11))</f>
        <v/>
      </c>
      <c r="E11" s="42" t="str">
        <f>IF($N11=0,"",INDEX('قاعدة البيانات'!$S$6:$S$305,$N11))</f>
        <v/>
      </c>
      <c r="F11" s="43" t="str">
        <f>IF($N11=0,"",INDEX('قاعدة البيانات'!$T$6:$T$305,$N11))</f>
        <v/>
      </c>
      <c r="G11" s="44" t="str">
        <f>IF($N11=0,"",INDEX('قاعدة البيانات'!$U$6:$U$305,$N11))</f>
        <v/>
      </c>
      <c r="H11" s="53" t="str">
        <f>IF($N11=0,"",IF(INDEX('قاعدة البيانات'!$H$6:$H$305,$N11)="","— مفيش رقم —",HYPERLINK("tel:"&amp;INDEX('قاعدة البيانات'!$H$6:$H$305,$N11),"📞 "&amp;INDEX('قاعدة البيانات'!$H$6:$H$305,$N11))))</f>
        <v/>
      </c>
      <c r="I11" s="54" t="str">
        <f>IF(OR($N11=0,INDEX('قاعدة البيانات'!$H$6:$H$305,$N11)=""),"",HYPERLINK("https://wa.me/20"&amp;RIGHT(INDEX('قاعدة البيانات'!$H$6:$H$305,$N11),10),"💬 واتساب"))</f>
        <v/>
      </c>
      <c r="J11" s="53" t="str">
        <f>IF($N11=0,"",IF(INDEX('قاعدة البيانات'!$I$6:$I$305,$N11)="","— مفيش رقم —",HYPERLINK("tel:"&amp;INDEX('قاعدة البيانات'!$I$6:$I$305,$N11),"📞 "&amp;INDEX('قاعدة البيانات'!$I$6:$I$305,$N11))))</f>
        <v/>
      </c>
      <c r="K11" s="54" t="str">
        <f>IF(OR($N11=0,INDEX('قاعدة البيانات'!$I$6:$I$305,$N11)=""),"",HYPERLINK("https://wa.me/20"&amp;RIGHT(INDEX('قاعدة البيانات'!$I$6:$I$305,$N11),10),"💬 واتساب"))</f>
        <v/>
      </c>
      <c r="L11" s="55" t="str">
        <f>IF($N11=0,"",IF(INDEX('قاعدة البيانات'!$J$6:$J$305,$N11)="","—",INDEX('قاعدة البيانات'!$J$6:$J$305,$N11)))</f>
        <v/>
      </c>
      <c r="N11">
        <f>IFERROR(MATCH(6,'قاعدة البيانات'!$W$6:$W$305,0),0)</f>
        <v>0</v>
      </c>
    </row>
    <row r="12" spans="1:14" ht="24" customHeight="1">
      <c r="A12" s="36" t="str">
        <f>IF($N12=0,"",7)</f>
        <v/>
      </c>
      <c r="B12" s="37" t="str">
        <f>IF($N12=0,"",INDEX('قاعدة البيانات'!$C$6:$C$305,$N12))</f>
        <v/>
      </c>
      <c r="C12" s="44" t="str">
        <f>IF($N12=0,"",INDEX('قاعدة البيانات'!$F$6:$F$305,$N12))</f>
        <v/>
      </c>
      <c r="D12" s="41" t="str">
        <f>IF($N12=0,"",INDEX('قاعدة البيانات'!$R$6:$R$305,$N12))</f>
        <v/>
      </c>
      <c r="E12" s="42" t="str">
        <f>IF($N12=0,"",INDEX('قاعدة البيانات'!$S$6:$S$305,$N12))</f>
        <v/>
      </c>
      <c r="F12" s="43" t="str">
        <f>IF($N12=0,"",INDEX('قاعدة البيانات'!$T$6:$T$305,$N12))</f>
        <v/>
      </c>
      <c r="G12" s="44" t="str">
        <f>IF($N12=0,"",INDEX('قاعدة البيانات'!$U$6:$U$305,$N12))</f>
        <v/>
      </c>
      <c r="H12" s="53" t="str">
        <f>IF($N12=0,"",IF(INDEX('قاعدة البيانات'!$H$6:$H$305,$N12)="","— مفيش رقم —",HYPERLINK("tel:"&amp;INDEX('قاعدة البيانات'!$H$6:$H$305,$N12),"📞 "&amp;INDEX('قاعدة البيانات'!$H$6:$H$305,$N12))))</f>
        <v/>
      </c>
      <c r="I12" s="54" t="str">
        <f>IF(OR($N12=0,INDEX('قاعدة البيانات'!$H$6:$H$305,$N12)=""),"",HYPERLINK("https://wa.me/20"&amp;RIGHT(INDEX('قاعدة البيانات'!$H$6:$H$305,$N12),10),"💬 واتساب"))</f>
        <v/>
      </c>
      <c r="J12" s="53" t="str">
        <f>IF($N12=0,"",IF(INDEX('قاعدة البيانات'!$I$6:$I$305,$N12)="","— مفيش رقم —",HYPERLINK("tel:"&amp;INDEX('قاعدة البيانات'!$I$6:$I$305,$N12),"📞 "&amp;INDEX('قاعدة البيانات'!$I$6:$I$305,$N12))))</f>
        <v/>
      </c>
      <c r="K12" s="54" t="str">
        <f>IF(OR($N12=0,INDEX('قاعدة البيانات'!$I$6:$I$305,$N12)=""),"",HYPERLINK("https://wa.me/20"&amp;RIGHT(INDEX('قاعدة البيانات'!$I$6:$I$305,$N12),10),"💬 واتساب"))</f>
        <v/>
      </c>
      <c r="L12" s="55" t="str">
        <f>IF($N12=0,"",IF(INDEX('قاعدة البيانات'!$J$6:$J$305,$N12)="","—",INDEX('قاعدة البيانات'!$J$6:$J$305,$N12)))</f>
        <v/>
      </c>
      <c r="N12">
        <f>IFERROR(MATCH(7,'قاعدة البيانات'!$W$6:$W$305,0),0)</f>
        <v>0</v>
      </c>
    </row>
    <row r="13" spans="1:14" ht="24" customHeight="1">
      <c r="A13" s="36" t="str">
        <f>IF($N13=0,"",8)</f>
        <v/>
      </c>
      <c r="B13" s="37" t="str">
        <f>IF($N13=0,"",INDEX('قاعدة البيانات'!$C$6:$C$305,$N13))</f>
        <v/>
      </c>
      <c r="C13" s="44" t="str">
        <f>IF($N13=0,"",INDEX('قاعدة البيانات'!$F$6:$F$305,$N13))</f>
        <v/>
      </c>
      <c r="D13" s="41" t="str">
        <f>IF($N13=0,"",INDEX('قاعدة البيانات'!$R$6:$R$305,$N13))</f>
        <v/>
      </c>
      <c r="E13" s="42" t="str">
        <f>IF($N13=0,"",INDEX('قاعدة البيانات'!$S$6:$S$305,$N13))</f>
        <v/>
      </c>
      <c r="F13" s="43" t="str">
        <f>IF($N13=0,"",INDEX('قاعدة البيانات'!$T$6:$T$305,$N13))</f>
        <v/>
      </c>
      <c r="G13" s="44" t="str">
        <f>IF($N13=0,"",INDEX('قاعدة البيانات'!$U$6:$U$305,$N13))</f>
        <v/>
      </c>
      <c r="H13" s="53" t="str">
        <f>IF($N13=0,"",IF(INDEX('قاعدة البيانات'!$H$6:$H$305,$N13)="","— مفيش رقم —",HYPERLINK("tel:"&amp;INDEX('قاعدة البيانات'!$H$6:$H$305,$N13),"📞 "&amp;INDEX('قاعدة البيانات'!$H$6:$H$305,$N13))))</f>
        <v/>
      </c>
      <c r="I13" s="54" t="str">
        <f>IF(OR($N13=0,INDEX('قاعدة البيانات'!$H$6:$H$305,$N13)=""),"",HYPERLINK("https://wa.me/20"&amp;RIGHT(INDEX('قاعدة البيانات'!$H$6:$H$305,$N13),10),"💬 واتساب"))</f>
        <v/>
      </c>
      <c r="J13" s="53" t="str">
        <f>IF($N13=0,"",IF(INDEX('قاعدة البيانات'!$I$6:$I$305,$N13)="","— مفيش رقم —",HYPERLINK("tel:"&amp;INDEX('قاعدة البيانات'!$I$6:$I$305,$N13),"📞 "&amp;INDEX('قاعدة البيانات'!$I$6:$I$305,$N13))))</f>
        <v/>
      </c>
      <c r="K13" s="54" t="str">
        <f>IF(OR($N13=0,INDEX('قاعدة البيانات'!$I$6:$I$305,$N13)=""),"",HYPERLINK("https://wa.me/20"&amp;RIGHT(INDEX('قاعدة البيانات'!$I$6:$I$305,$N13),10),"💬 واتساب"))</f>
        <v/>
      </c>
      <c r="L13" s="55" t="str">
        <f>IF($N13=0,"",IF(INDEX('قاعدة البيانات'!$J$6:$J$305,$N13)="","—",INDEX('قاعدة البيانات'!$J$6:$J$305,$N13)))</f>
        <v/>
      </c>
      <c r="N13">
        <f>IFERROR(MATCH(8,'قاعدة البيانات'!$W$6:$W$305,0),0)</f>
        <v>0</v>
      </c>
    </row>
    <row r="14" spans="1:14" ht="24" customHeight="1">
      <c r="A14" s="36" t="str">
        <f>IF($N14=0,"",9)</f>
        <v/>
      </c>
      <c r="B14" s="37" t="str">
        <f>IF($N14=0,"",INDEX('قاعدة البيانات'!$C$6:$C$305,$N14))</f>
        <v/>
      </c>
      <c r="C14" s="44" t="str">
        <f>IF($N14=0,"",INDEX('قاعدة البيانات'!$F$6:$F$305,$N14))</f>
        <v/>
      </c>
      <c r="D14" s="41" t="str">
        <f>IF($N14=0,"",INDEX('قاعدة البيانات'!$R$6:$R$305,$N14))</f>
        <v/>
      </c>
      <c r="E14" s="42" t="str">
        <f>IF($N14=0,"",INDEX('قاعدة البيانات'!$S$6:$S$305,$N14))</f>
        <v/>
      </c>
      <c r="F14" s="43" t="str">
        <f>IF($N14=0,"",INDEX('قاعدة البيانات'!$T$6:$T$305,$N14))</f>
        <v/>
      </c>
      <c r="G14" s="44" t="str">
        <f>IF($N14=0,"",INDEX('قاعدة البيانات'!$U$6:$U$305,$N14))</f>
        <v/>
      </c>
      <c r="H14" s="53" t="str">
        <f>IF($N14=0,"",IF(INDEX('قاعدة البيانات'!$H$6:$H$305,$N14)="","— مفيش رقم —",HYPERLINK("tel:"&amp;INDEX('قاعدة البيانات'!$H$6:$H$305,$N14),"📞 "&amp;INDEX('قاعدة البيانات'!$H$6:$H$305,$N14))))</f>
        <v/>
      </c>
      <c r="I14" s="54" t="str">
        <f>IF(OR($N14=0,INDEX('قاعدة البيانات'!$H$6:$H$305,$N14)=""),"",HYPERLINK("https://wa.me/20"&amp;RIGHT(INDEX('قاعدة البيانات'!$H$6:$H$305,$N14),10),"💬 واتساب"))</f>
        <v/>
      </c>
      <c r="J14" s="53" t="str">
        <f>IF($N14=0,"",IF(INDEX('قاعدة البيانات'!$I$6:$I$305,$N14)="","— مفيش رقم —",HYPERLINK("tel:"&amp;INDEX('قاعدة البيانات'!$I$6:$I$305,$N14),"📞 "&amp;INDEX('قاعدة البيانات'!$I$6:$I$305,$N14))))</f>
        <v/>
      </c>
      <c r="K14" s="54" t="str">
        <f>IF(OR($N14=0,INDEX('قاعدة البيانات'!$I$6:$I$305,$N14)=""),"",HYPERLINK("https://wa.me/20"&amp;RIGHT(INDEX('قاعدة البيانات'!$I$6:$I$305,$N14),10),"💬 واتساب"))</f>
        <v/>
      </c>
      <c r="L14" s="55" t="str">
        <f>IF($N14=0,"",IF(INDEX('قاعدة البيانات'!$J$6:$J$305,$N14)="","—",INDEX('قاعدة البيانات'!$J$6:$J$305,$N14)))</f>
        <v/>
      </c>
      <c r="N14">
        <f>IFERROR(MATCH(9,'قاعدة البيانات'!$W$6:$W$305,0),0)</f>
        <v>0</v>
      </c>
    </row>
    <row r="15" spans="1:14" ht="24" customHeight="1">
      <c r="A15" s="36" t="str">
        <f>IF($N15=0,"",10)</f>
        <v/>
      </c>
      <c r="B15" s="37" t="str">
        <f>IF($N15=0,"",INDEX('قاعدة البيانات'!$C$6:$C$305,$N15))</f>
        <v/>
      </c>
      <c r="C15" s="44" t="str">
        <f>IF($N15=0,"",INDEX('قاعدة البيانات'!$F$6:$F$305,$N15))</f>
        <v/>
      </c>
      <c r="D15" s="41" t="str">
        <f>IF($N15=0,"",INDEX('قاعدة البيانات'!$R$6:$R$305,$N15))</f>
        <v/>
      </c>
      <c r="E15" s="42" t="str">
        <f>IF($N15=0,"",INDEX('قاعدة البيانات'!$S$6:$S$305,$N15))</f>
        <v/>
      </c>
      <c r="F15" s="43" t="str">
        <f>IF($N15=0,"",INDEX('قاعدة البيانات'!$T$6:$T$305,$N15))</f>
        <v/>
      </c>
      <c r="G15" s="44" t="str">
        <f>IF($N15=0,"",INDEX('قاعدة البيانات'!$U$6:$U$305,$N15))</f>
        <v/>
      </c>
      <c r="H15" s="53" t="str">
        <f>IF($N15=0,"",IF(INDEX('قاعدة البيانات'!$H$6:$H$305,$N15)="","— مفيش رقم —",HYPERLINK("tel:"&amp;INDEX('قاعدة البيانات'!$H$6:$H$305,$N15),"📞 "&amp;INDEX('قاعدة البيانات'!$H$6:$H$305,$N15))))</f>
        <v/>
      </c>
      <c r="I15" s="54" t="str">
        <f>IF(OR($N15=0,INDEX('قاعدة البيانات'!$H$6:$H$305,$N15)=""),"",HYPERLINK("https://wa.me/20"&amp;RIGHT(INDEX('قاعدة البيانات'!$H$6:$H$305,$N15),10),"💬 واتساب"))</f>
        <v/>
      </c>
      <c r="J15" s="53" t="str">
        <f>IF($N15=0,"",IF(INDEX('قاعدة البيانات'!$I$6:$I$305,$N15)="","— مفيش رقم —",HYPERLINK("tel:"&amp;INDEX('قاعدة البيانات'!$I$6:$I$305,$N15),"📞 "&amp;INDEX('قاعدة البيانات'!$I$6:$I$305,$N15))))</f>
        <v/>
      </c>
      <c r="K15" s="54" t="str">
        <f>IF(OR($N15=0,INDEX('قاعدة البيانات'!$I$6:$I$305,$N15)=""),"",HYPERLINK("https://wa.me/20"&amp;RIGHT(INDEX('قاعدة البيانات'!$I$6:$I$305,$N15),10),"💬 واتساب"))</f>
        <v/>
      </c>
      <c r="L15" s="55" t="str">
        <f>IF($N15=0,"",IF(INDEX('قاعدة البيانات'!$J$6:$J$305,$N15)="","—",INDEX('قاعدة البيانات'!$J$6:$J$305,$N15)))</f>
        <v/>
      </c>
      <c r="N15">
        <f>IFERROR(MATCH(10,'قاعدة البيانات'!$W$6:$W$305,0),0)</f>
        <v>0</v>
      </c>
    </row>
    <row r="16" spans="1:14" ht="24" customHeight="1">
      <c r="A16" s="36" t="str">
        <f>IF($N16=0,"",11)</f>
        <v/>
      </c>
      <c r="B16" s="37" t="str">
        <f>IF($N16=0,"",INDEX('قاعدة البيانات'!$C$6:$C$305,$N16))</f>
        <v/>
      </c>
      <c r="C16" s="44" t="str">
        <f>IF($N16=0,"",INDEX('قاعدة البيانات'!$F$6:$F$305,$N16))</f>
        <v/>
      </c>
      <c r="D16" s="41" t="str">
        <f>IF($N16=0,"",INDEX('قاعدة البيانات'!$R$6:$R$305,$N16))</f>
        <v/>
      </c>
      <c r="E16" s="42" t="str">
        <f>IF($N16=0,"",INDEX('قاعدة البيانات'!$S$6:$S$305,$N16))</f>
        <v/>
      </c>
      <c r="F16" s="43" t="str">
        <f>IF($N16=0,"",INDEX('قاعدة البيانات'!$T$6:$T$305,$N16))</f>
        <v/>
      </c>
      <c r="G16" s="44" t="str">
        <f>IF($N16=0,"",INDEX('قاعدة البيانات'!$U$6:$U$305,$N16))</f>
        <v/>
      </c>
      <c r="H16" s="53" t="str">
        <f>IF($N16=0,"",IF(INDEX('قاعدة البيانات'!$H$6:$H$305,$N16)="","— مفيش رقم —",HYPERLINK("tel:"&amp;INDEX('قاعدة البيانات'!$H$6:$H$305,$N16),"📞 "&amp;INDEX('قاعدة البيانات'!$H$6:$H$305,$N16))))</f>
        <v/>
      </c>
      <c r="I16" s="54" t="str">
        <f>IF(OR($N16=0,INDEX('قاعدة البيانات'!$H$6:$H$305,$N16)=""),"",HYPERLINK("https://wa.me/20"&amp;RIGHT(INDEX('قاعدة البيانات'!$H$6:$H$305,$N16),10),"💬 واتساب"))</f>
        <v/>
      </c>
      <c r="J16" s="53" t="str">
        <f>IF($N16=0,"",IF(INDEX('قاعدة البيانات'!$I$6:$I$305,$N16)="","— مفيش رقم —",HYPERLINK("tel:"&amp;INDEX('قاعدة البيانات'!$I$6:$I$305,$N16),"📞 "&amp;INDEX('قاعدة البيانات'!$I$6:$I$305,$N16))))</f>
        <v/>
      </c>
      <c r="K16" s="54" t="str">
        <f>IF(OR($N16=0,INDEX('قاعدة البيانات'!$I$6:$I$305,$N16)=""),"",HYPERLINK("https://wa.me/20"&amp;RIGHT(INDEX('قاعدة البيانات'!$I$6:$I$305,$N16),10),"💬 واتساب"))</f>
        <v/>
      </c>
      <c r="L16" s="55" t="str">
        <f>IF($N16=0,"",IF(INDEX('قاعدة البيانات'!$J$6:$J$305,$N16)="","—",INDEX('قاعدة البيانات'!$J$6:$J$305,$N16)))</f>
        <v/>
      </c>
      <c r="N16">
        <f>IFERROR(MATCH(11,'قاعدة البيانات'!$W$6:$W$305,0),0)</f>
        <v>0</v>
      </c>
    </row>
    <row r="17" spans="1:14" ht="24" customHeight="1">
      <c r="A17" s="36" t="str">
        <f>IF($N17=0,"",12)</f>
        <v/>
      </c>
      <c r="B17" s="37" t="str">
        <f>IF($N17=0,"",INDEX('قاعدة البيانات'!$C$6:$C$305,$N17))</f>
        <v/>
      </c>
      <c r="C17" s="44" t="str">
        <f>IF($N17=0,"",INDEX('قاعدة البيانات'!$F$6:$F$305,$N17))</f>
        <v/>
      </c>
      <c r="D17" s="41" t="str">
        <f>IF($N17=0,"",INDEX('قاعدة البيانات'!$R$6:$R$305,$N17))</f>
        <v/>
      </c>
      <c r="E17" s="42" t="str">
        <f>IF($N17=0,"",INDEX('قاعدة البيانات'!$S$6:$S$305,$N17))</f>
        <v/>
      </c>
      <c r="F17" s="43" t="str">
        <f>IF($N17=0,"",INDEX('قاعدة البيانات'!$T$6:$T$305,$N17))</f>
        <v/>
      </c>
      <c r="G17" s="44" t="str">
        <f>IF($N17=0,"",INDEX('قاعدة البيانات'!$U$6:$U$305,$N17))</f>
        <v/>
      </c>
      <c r="H17" s="53" t="str">
        <f>IF($N17=0,"",IF(INDEX('قاعدة البيانات'!$H$6:$H$305,$N17)="","— مفيش رقم —",HYPERLINK("tel:"&amp;INDEX('قاعدة البيانات'!$H$6:$H$305,$N17),"📞 "&amp;INDEX('قاعدة البيانات'!$H$6:$H$305,$N17))))</f>
        <v/>
      </c>
      <c r="I17" s="54" t="str">
        <f>IF(OR($N17=0,INDEX('قاعدة البيانات'!$H$6:$H$305,$N17)=""),"",HYPERLINK("https://wa.me/20"&amp;RIGHT(INDEX('قاعدة البيانات'!$H$6:$H$305,$N17),10),"💬 واتساب"))</f>
        <v/>
      </c>
      <c r="J17" s="53" t="str">
        <f>IF($N17=0,"",IF(INDEX('قاعدة البيانات'!$I$6:$I$305,$N17)="","— مفيش رقم —",HYPERLINK("tel:"&amp;INDEX('قاعدة البيانات'!$I$6:$I$305,$N17),"📞 "&amp;INDEX('قاعدة البيانات'!$I$6:$I$305,$N17))))</f>
        <v/>
      </c>
      <c r="K17" s="54" t="str">
        <f>IF(OR($N17=0,INDEX('قاعدة البيانات'!$I$6:$I$305,$N17)=""),"",HYPERLINK("https://wa.me/20"&amp;RIGHT(INDEX('قاعدة البيانات'!$I$6:$I$305,$N17),10),"💬 واتساب"))</f>
        <v/>
      </c>
      <c r="L17" s="55" t="str">
        <f>IF($N17=0,"",IF(INDEX('قاعدة البيانات'!$J$6:$J$305,$N17)="","—",INDEX('قاعدة البيانات'!$J$6:$J$305,$N17)))</f>
        <v/>
      </c>
      <c r="N17">
        <f>IFERROR(MATCH(12,'قاعدة البيانات'!$W$6:$W$305,0),0)</f>
        <v>0</v>
      </c>
    </row>
    <row r="18" spans="1:14" ht="24" customHeight="1">
      <c r="A18" s="36" t="str">
        <f>IF($N18=0,"",13)</f>
        <v/>
      </c>
      <c r="B18" s="37" t="str">
        <f>IF($N18=0,"",INDEX('قاعدة البيانات'!$C$6:$C$305,$N18))</f>
        <v/>
      </c>
      <c r="C18" s="44" t="str">
        <f>IF($N18=0,"",INDEX('قاعدة البيانات'!$F$6:$F$305,$N18))</f>
        <v/>
      </c>
      <c r="D18" s="41" t="str">
        <f>IF($N18=0,"",INDEX('قاعدة البيانات'!$R$6:$R$305,$N18))</f>
        <v/>
      </c>
      <c r="E18" s="42" t="str">
        <f>IF($N18=0,"",INDEX('قاعدة البيانات'!$S$6:$S$305,$N18))</f>
        <v/>
      </c>
      <c r="F18" s="43" t="str">
        <f>IF($N18=0,"",INDEX('قاعدة البيانات'!$T$6:$T$305,$N18))</f>
        <v/>
      </c>
      <c r="G18" s="44" t="str">
        <f>IF($N18=0,"",INDEX('قاعدة البيانات'!$U$6:$U$305,$N18))</f>
        <v/>
      </c>
      <c r="H18" s="53" t="str">
        <f>IF($N18=0,"",IF(INDEX('قاعدة البيانات'!$H$6:$H$305,$N18)="","— مفيش رقم —",HYPERLINK("tel:"&amp;INDEX('قاعدة البيانات'!$H$6:$H$305,$N18),"📞 "&amp;INDEX('قاعدة البيانات'!$H$6:$H$305,$N18))))</f>
        <v/>
      </c>
      <c r="I18" s="54" t="str">
        <f>IF(OR($N18=0,INDEX('قاعدة البيانات'!$H$6:$H$305,$N18)=""),"",HYPERLINK("https://wa.me/20"&amp;RIGHT(INDEX('قاعدة البيانات'!$H$6:$H$305,$N18),10),"💬 واتساب"))</f>
        <v/>
      </c>
      <c r="J18" s="53" t="str">
        <f>IF($N18=0,"",IF(INDEX('قاعدة البيانات'!$I$6:$I$305,$N18)="","— مفيش رقم —",HYPERLINK("tel:"&amp;INDEX('قاعدة البيانات'!$I$6:$I$305,$N18),"📞 "&amp;INDEX('قاعدة البيانات'!$I$6:$I$305,$N18))))</f>
        <v/>
      </c>
      <c r="K18" s="54" t="str">
        <f>IF(OR($N18=0,INDEX('قاعدة البيانات'!$I$6:$I$305,$N18)=""),"",HYPERLINK("https://wa.me/20"&amp;RIGHT(INDEX('قاعدة البيانات'!$I$6:$I$305,$N18),10),"💬 واتساب"))</f>
        <v/>
      </c>
      <c r="L18" s="55" t="str">
        <f>IF($N18=0,"",IF(INDEX('قاعدة البيانات'!$J$6:$J$305,$N18)="","—",INDEX('قاعدة البيانات'!$J$6:$J$305,$N18)))</f>
        <v/>
      </c>
      <c r="N18">
        <f>IFERROR(MATCH(13,'قاعدة البيانات'!$W$6:$W$305,0),0)</f>
        <v>0</v>
      </c>
    </row>
    <row r="19" spans="1:14" ht="24" customHeight="1">
      <c r="A19" s="36" t="str">
        <f>IF($N19=0,"",14)</f>
        <v/>
      </c>
      <c r="B19" s="37" t="str">
        <f>IF($N19=0,"",INDEX('قاعدة البيانات'!$C$6:$C$305,$N19))</f>
        <v/>
      </c>
      <c r="C19" s="44" t="str">
        <f>IF($N19=0,"",INDEX('قاعدة البيانات'!$F$6:$F$305,$N19))</f>
        <v/>
      </c>
      <c r="D19" s="41" t="str">
        <f>IF($N19=0,"",INDEX('قاعدة البيانات'!$R$6:$R$305,$N19))</f>
        <v/>
      </c>
      <c r="E19" s="42" t="str">
        <f>IF($N19=0,"",INDEX('قاعدة البيانات'!$S$6:$S$305,$N19))</f>
        <v/>
      </c>
      <c r="F19" s="43" t="str">
        <f>IF($N19=0,"",INDEX('قاعدة البيانات'!$T$6:$T$305,$N19))</f>
        <v/>
      </c>
      <c r="G19" s="44" t="str">
        <f>IF($N19=0,"",INDEX('قاعدة البيانات'!$U$6:$U$305,$N19))</f>
        <v/>
      </c>
      <c r="H19" s="53" t="str">
        <f>IF($N19=0,"",IF(INDEX('قاعدة البيانات'!$H$6:$H$305,$N19)="","— مفيش رقم —",HYPERLINK("tel:"&amp;INDEX('قاعدة البيانات'!$H$6:$H$305,$N19),"📞 "&amp;INDEX('قاعدة البيانات'!$H$6:$H$305,$N19))))</f>
        <v/>
      </c>
      <c r="I19" s="54" t="str">
        <f>IF(OR($N19=0,INDEX('قاعدة البيانات'!$H$6:$H$305,$N19)=""),"",HYPERLINK("https://wa.me/20"&amp;RIGHT(INDEX('قاعدة البيانات'!$H$6:$H$305,$N19),10),"💬 واتساب"))</f>
        <v/>
      </c>
      <c r="J19" s="53" t="str">
        <f>IF($N19=0,"",IF(INDEX('قاعدة البيانات'!$I$6:$I$305,$N19)="","— مفيش رقم —",HYPERLINK("tel:"&amp;INDEX('قاعدة البيانات'!$I$6:$I$305,$N19),"📞 "&amp;INDEX('قاعدة البيانات'!$I$6:$I$305,$N19))))</f>
        <v/>
      </c>
      <c r="K19" s="54" t="str">
        <f>IF(OR($N19=0,INDEX('قاعدة البيانات'!$I$6:$I$305,$N19)=""),"",HYPERLINK("https://wa.me/20"&amp;RIGHT(INDEX('قاعدة البيانات'!$I$6:$I$305,$N19),10),"💬 واتساب"))</f>
        <v/>
      </c>
      <c r="L19" s="55" t="str">
        <f>IF($N19=0,"",IF(INDEX('قاعدة البيانات'!$J$6:$J$305,$N19)="","—",INDEX('قاعدة البيانات'!$J$6:$J$305,$N19)))</f>
        <v/>
      </c>
      <c r="N19">
        <f>IFERROR(MATCH(14,'قاعدة البيانات'!$W$6:$W$305,0),0)</f>
        <v>0</v>
      </c>
    </row>
    <row r="20" spans="1:14" ht="24" customHeight="1">
      <c r="A20" s="36" t="str">
        <f>IF($N20=0,"",15)</f>
        <v/>
      </c>
      <c r="B20" s="37" t="str">
        <f>IF($N20=0,"",INDEX('قاعدة البيانات'!$C$6:$C$305,$N20))</f>
        <v/>
      </c>
      <c r="C20" s="44" t="str">
        <f>IF($N20=0,"",INDEX('قاعدة البيانات'!$F$6:$F$305,$N20))</f>
        <v/>
      </c>
      <c r="D20" s="41" t="str">
        <f>IF($N20=0,"",INDEX('قاعدة البيانات'!$R$6:$R$305,$N20))</f>
        <v/>
      </c>
      <c r="E20" s="42" t="str">
        <f>IF($N20=0,"",INDEX('قاعدة البيانات'!$S$6:$S$305,$N20))</f>
        <v/>
      </c>
      <c r="F20" s="43" t="str">
        <f>IF($N20=0,"",INDEX('قاعدة البيانات'!$T$6:$T$305,$N20))</f>
        <v/>
      </c>
      <c r="G20" s="44" t="str">
        <f>IF($N20=0,"",INDEX('قاعدة البيانات'!$U$6:$U$305,$N20))</f>
        <v/>
      </c>
      <c r="H20" s="53" t="str">
        <f>IF($N20=0,"",IF(INDEX('قاعدة البيانات'!$H$6:$H$305,$N20)="","— مفيش رقم —",HYPERLINK("tel:"&amp;INDEX('قاعدة البيانات'!$H$6:$H$305,$N20),"📞 "&amp;INDEX('قاعدة البيانات'!$H$6:$H$305,$N20))))</f>
        <v/>
      </c>
      <c r="I20" s="54" t="str">
        <f>IF(OR($N20=0,INDEX('قاعدة البيانات'!$H$6:$H$305,$N20)=""),"",HYPERLINK("https://wa.me/20"&amp;RIGHT(INDEX('قاعدة البيانات'!$H$6:$H$305,$N20),10),"💬 واتساب"))</f>
        <v/>
      </c>
      <c r="J20" s="53" t="str">
        <f>IF($N20=0,"",IF(INDEX('قاعدة البيانات'!$I$6:$I$305,$N20)="","— مفيش رقم —",HYPERLINK("tel:"&amp;INDEX('قاعدة البيانات'!$I$6:$I$305,$N20),"📞 "&amp;INDEX('قاعدة البيانات'!$I$6:$I$305,$N20))))</f>
        <v/>
      </c>
      <c r="K20" s="54" t="str">
        <f>IF(OR($N20=0,INDEX('قاعدة البيانات'!$I$6:$I$305,$N20)=""),"",HYPERLINK("https://wa.me/20"&amp;RIGHT(INDEX('قاعدة البيانات'!$I$6:$I$305,$N20),10),"💬 واتساب"))</f>
        <v/>
      </c>
      <c r="L20" s="55" t="str">
        <f>IF($N20=0,"",IF(INDEX('قاعدة البيانات'!$J$6:$J$305,$N20)="","—",INDEX('قاعدة البيانات'!$J$6:$J$305,$N20)))</f>
        <v/>
      </c>
      <c r="N20">
        <f>IFERROR(MATCH(15,'قاعدة البيانات'!$W$6:$W$305,0),0)</f>
        <v>0</v>
      </c>
    </row>
    <row r="21" spans="1:14" ht="24" customHeight="1">
      <c r="A21" s="36" t="str">
        <f>IF($N21=0,"",16)</f>
        <v/>
      </c>
      <c r="B21" s="37" t="str">
        <f>IF($N21=0,"",INDEX('قاعدة البيانات'!$C$6:$C$305,$N21))</f>
        <v/>
      </c>
      <c r="C21" s="44" t="str">
        <f>IF($N21=0,"",INDEX('قاعدة البيانات'!$F$6:$F$305,$N21))</f>
        <v/>
      </c>
      <c r="D21" s="41" t="str">
        <f>IF($N21=0,"",INDEX('قاعدة البيانات'!$R$6:$R$305,$N21))</f>
        <v/>
      </c>
      <c r="E21" s="42" t="str">
        <f>IF($N21=0,"",INDEX('قاعدة البيانات'!$S$6:$S$305,$N21))</f>
        <v/>
      </c>
      <c r="F21" s="43" t="str">
        <f>IF($N21=0,"",INDEX('قاعدة البيانات'!$T$6:$T$305,$N21))</f>
        <v/>
      </c>
      <c r="G21" s="44" t="str">
        <f>IF($N21=0,"",INDEX('قاعدة البيانات'!$U$6:$U$305,$N21))</f>
        <v/>
      </c>
      <c r="H21" s="53" t="str">
        <f>IF($N21=0,"",IF(INDEX('قاعدة البيانات'!$H$6:$H$305,$N21)="","— مفيش رقم —",HYPERLINK("tel:"&amp;INDEX('قاعدة البيانات'!$H$6:$H$305,$N21),"📞 "&amp;INDEX('قاعدة البيانات'!$H$6:$H$305,$N21))))</f>
        <v/>
      </c>
      <c r="I21" s="54" t="str">
        <f>IF(OR($N21=0,INDEX('قاعدة البيانات'!$H$6:$H$305,$N21)=""),"",HYPERLINK("https://wa.me/20"&amp;RIGHT(INDEX('قاعدة البيانات'!$H$6:$H$305,$N21),10),"💬 واتساب"))</f>
        <v/>
      </c>
      <c r="J21" s="53" t="str">
        <f>IF($N21=0,"",IF(INDEX('قاعدة البيانات'!$I$6:$I$305,$N21)="","— مفيش رقم —",HYPERLINK("tel:"&amp;INDEX('قاعدة البيانات'!$I$6:$I$305,$N21),"📞 "&amp;INDEX('قاعدة البيانات'!$I$6:$I$305,$N21))))</f>
        <v/>
      </c>
      <c r="K21" s="54" t="str">
        <f>IF(OR($N21=0,INDEX('قاعدة البيانات'!$I$6:$I$305,$N21)=""),"",HYPERLINK("https://wa.me/20"&amp;RIGHT(INDEX('قاعدة البيانات'!$I$6:$I$305,$N21),10),"💬 واتساب"))</f>
        <v/>
      </c>
      <c r="L21" s="55" t="str">
        <f>IF($N21=0,"",IF(INDEX('قاعدة البيانات'!$J$6:$J$305,$N21)="","—",INDEX('قاعدة البيانات'!$J$6:$J$305,$N21)))</f>
        <v/>
      </c>
      <c r="N21">
        <f>IFERROR(MATCH(16,'قاعدة البيانات'!$W$6:$W$305,0),0)</f>
        <v>0</v>
      </c>
    </row>
    <row r="22" spans="1:14" ht="24" customHeight="1">
      <c r="A22" s="36" t="str">
        <f>IF($N22=0,"",17)</f>
        <v/>
      </c>
      <c r="B22" s="37" t="str">
        <f>IF($N22=0,"",INDEX('قاعدة البيانات'!$C$6:$C$305,$N22))</f>
        <v/>
      </c>
      <c r="C22" s="44" t="str">
        <f>IF($N22=0,"",INDEX('قاعدة البيانات'!$F$6:$F$305,$N22))</f>
        <v/>
      </c>
      <c r="D22" s="41" t="str">
        <f>IF($N22=0,"",INDEX('قاعدة البيانات'!$R$6:$R$305,$N22))</f>
        <v/>
      </c>
      <c r="E22" s="42" t="str">
        <f>IF($N22=0,"",INDEX('قاعدة البيانات'!$S$6:$S$305,$N22))</f>
        <v/>
      </c>
      <c r="F22" s="43" t="str">
        <f>IF($N22=0,"",INDEX('قاعدة البيانات'!$T$6:$T$305,$N22))</f>
        <v/>
      </c>
      <c r="G22" s="44" t="str">
        <f>IF($N22=0,"",INDEX('قاعدة البيانات'!$U$6:$U$305,$N22))</f>
        <v/>
      </c>
      <c r="H22" s="53" t="str">
        <f>IF($N22=0,"",IF(INDEX('قاعدة البيانات'!$H$6:$H$305,$N22)="","— مفيش رقم —",HYPERLINK("tel:"&amp;INDEX('قاعدة البيانات'!$H$6:$H$305,$N22),"📞 "&amp;INDEX('قاعدة البيانات'!$H$6:$H$305,$N22))))</f>
        <v/>
      </c>
      <c r="I22" s="54" t="str">
        <f>IF(OR($N22=0,INDEX('قاعدة البيانات'!$H$6:$H$305,$N22)=""),"",HYPERLINK("https://wa.me/20"&amp;RIGHT(INDEX('قاعدة البيانات'!$H$6:$H$305,$N22),10),"💬 واتساب"))</f>
        <v/>
      </c>
      <c r="J22" s="53" t="str">
        <f>IF($N22=0,"",IF(INDEX('قاعدة البيانات'!$I$6:$I$305,$N22)="","— مفيش رقم —",HYPERLINK("tel:"&amp;INDEX('قاعدة البيانات'!$I$6:$I$305,$N22),"📞 "&amp;INDEX('قاعدة البيانات'!$I$6:$I$305,$N22))))</f>
        <v/>
      </c>
      <c r="K22" s="54" t="str">
        <f>IF(OR($N22=0,INDEX('قاعدة البيانات'!$I$6:$I$305,$N22)=""),"",HYPERLINK("https://wa.me/20"&amp;RIGHT(INDEX('قاعدة البيانات'!$I$6:$I$305,$N22),10),"💬 واتساب"))</f>
        <v/>
      </c>
      <c r="L22" s="55" t="str">
        <f>IF($N22=0,"",IF(INDEX('قاعدة البيانات'!$J$6:$J$305,$N22)="","—",INDEX('قاعدة البيانات'!$J$6:$J$305,$N22)))</f>
        <v/>
      </c>
      <c r="N22">
        <f>IFERROR(MATCH(17,'قاعدة البيانات'!$W$6:$W$305,0),0)</f>
        <v>0</v>
      </c>
    </row>
    <row r="23" spans="1:14" ht="24" customHeight="1">
      <c r="A23" s="36" t="str">
        <f>IF($N23=0,"",18)</f>
        <v/>
      </c>
      <c r="B23" s="37" t="str">
        <f>IF($N23=0,"",INDEX('قاعدة البيانات'!$C$6:$C$305,$N23))</f>
        <v/>
      </c>
      <c r="C23" s="44" t="str">
        <f>IF($N23=0,"",INDEX('قاعدة البيانات'!$F$6:$F$305,$N23))</f>
        <v/>
      </c>
      <c r="D23" s="41" t="str">
        <f>IF($N23=0,"",INDEX('قاعدة البيانات'!$R$6:$R$305,$N23))</f>
        <v/>
      </c>
      <c r="E23" s="42" t="str">
        <f>IF($N23=0,"",INDEX('قاعدة البيانات'!$S$6:$S$305,$N23))</f>
        <v/>
      </c>
      <c r="F23" s="43" t="str">
        <f>IF($N23=0,"",INDEX('قاعدة البيانات'!$T$6:$T$305,$N23))</f>
        <v/>
      </c>
      <c r="G23" s="44" t="str">
        <f>IF($N23=0,"",INDEX('قاعدة البيانات'!$U$6:$U$305,$N23))</f>
        <v/>
      </c>
      <c r="H23" s="53" t="str">
        <f>IF($N23=0,"",IF(INDEX('قاعدة البيانات'!$H$6:$H$305,$N23)="","— مفيش رقم —",HYPERLINK("tel:"&amp;INDEX('قاعدة البيانات'!$H$6:$H$305,$N23),"📞 "&amp;INDEX('قاعدة البيانات'!$H$6:$H$305,$N23))))</f>
        <v/>
      </c>
      <c r="I23" s="54" t="str">
        <f>IF(OR($N23=0,INDEX('قاعدة البيانات'!$H$6:$H$305,$N23)=""),"",HYPERLINK("https://wa.me/20"&amp;RIGHT(INDEX('قاعدة البيانات'!$H$6:$H$305,$N23),10),"💬 واتساب"))</f>
        <v/>
      </c>
      <c r="J23" s="53" t="str">
        <f>IF($N23=0,"",IF(INDEX('قاعدة البيانات'!$I$6:$I$305,$N23)="","— مفيش رقم —",HYPERLINK("tel:"&amp;INDEX('قاعدة البيانات'!$I$6:$I$305,$N23),"📞 "&amp;INDEX('قاعدة البيانات'!$I$6:$I$305,$N23))))</f>
        <v/>
      </c>
      <c r="K23" s="54" t="str">
        <f>IF(OR($N23=0,INDEX('قاعدة البيانات'!$I$6:$I$305,$N23)=""),"",HYPERLINK("https://wa.me/20"&amp;RIGHT(INDEX('قاعدة البيانات'!$I$6:$I$305,$N23),10),"💬 واتساب"))</f>
        <v/>
      </c>
      <c r="L23" s="55" t="str">
        <f>IF($N23=0,"",IF(INDEX('قاعدة البيانات'!$J$6:$J$305,$N23)="","—",INDEX('قاعدة البيانات'!$J$6:$J$305,$N23)))</f>
        <v/>
      </c>
      <c r="N23">
        <f>IFERROR(MATCH(18,'قاعدة البيانات'!$W$6:$W$305,0),0)</f>
        <v>0</v>
      </c>
    </row>
    <row r="24" spans="1:14" ht="24" customHeight="1">
      <c r="A24" s="36" t="str">
        <f>IF($N24=0,"",19)</f>
        <v/>
      </c>
      <c r="B24" s="37" t="str">
        <f>IF($N24=0,"",INDEX('قاعدة البيانات'!$C$6:$C$305,$N24))</f>
        <v/>
      </c>
      <c r="C24" s="44" t="str">
        <f>IF($N24=0,"",INDEX('قاعدة البيانات'!$F$6:$F$305,$N24))</f>
        <v/>
      </c>
      <c r="D24" s="41" t="str">
        <f>IF($N24=0,"",INDEX('قاعدة البيانات'!$R$6:$R$305,$N24))</f>
        <v/>
      </c>
      <c r="E24" s="42" t="str">
        <f>IF($N24=0,"",INDEX('قاعدة البيانات'!$S$6:$S$305,$N24))</f>
        <v/>
      </c>
      <c r="F24" s="43" t="str">
        <f>IF($N24=0,"",INDEX('قاعدة البيانات'!$T$6:$T$305,$N24))</f>
        <v/>
      </c>
      <c r="G24" s="44" t="str">
        <f>IF($N24=0,"",INDEX('قاعدة البيانات'!$U$6:$U$305,$N24))</f>
        <v/>
      </c>
      <c r="H24" s="53" t="str">
        <f>IF($N24=0,"",IF(INDEX('قاعدة البيانات'!$H$6:$H$305,$N24)="","— مفيش رقم —",HYPERLINK("tel:"&amp;INDEX('قاعدة البيانات'!$H$6:$H$305,$N24),"📞 "&amp;INDEX('قاعدة البيانات'!$H$6:$H$305,$N24))))</f>
        <v/>
      </c>
      <c r="I24" s="54" t="str">
        <f>IF(OR($N24=0,INDEX('قاعدة البيانات'!$H$6:$H$305,$N24)=""),"",HYPERLINK("https://wa.me/20"&amp;RIGHT(INDEX('قاعدة البيانات'!$H$6:$H$305,$N24),10),"💬 واتساب"))</f>
        <v/>
      </c>
      <c r="J24" s="53" t="str">
        <f>IF($N24=0,"",IF(INDEX('قاعدة البيانات'!$I$6:$I$305,$N24)="","— مفيش رقم —",HYPERLINK("tel:"&amp;INDEX('قاعدة البيانات'!$I$6:$I$305,$N24),"📞 "&amp;INDEX('قاعدة البيانات'!$I$6:$I$305,$N24))))</f>
        <v/>
      </c>
      <c r="K24" s="54" t="str">
        <f>IF(OR($N24=0,INDEX('قاعدة البيانات'!$I$6:$I$305,$N24)=""),"",HYPERLINK("https://wa.me/20"&amp;RIGHT(INDEX('قاعدة البيانات'!$I$6:$I$305,$N24),10),"💬 واتساب"))</f>
        <v/>
      </c>
      <c r="L24" s="55" t="str">
        <f>IF($N24=0,"",IF(INDEX('قاعدة البيانات'!$J$6:$J$305,$N24)="","—",INDEX('قاعدة البيانات'!$J$6:$J$305,$N24)))</f>
        <v/>
      </c>
      <c r="N24">
        <f>IFERROR(MATCH(19,'قاعدة البيانات'!$W$6:$W$305,0),0)</f>
        <v>0</v>
      </c>
    </row>
    <row r="25" spans="1:14" ht="24" customHeight="1">
      <c r="A25" s="36" t="str">
        <f>IF($N25=0,"",20)</f>
        <v/>
      </c>
      <c r="B25" s="37" t="str">
        <f>IF($N25=0,"",INDEX('قاعدة البيانات'!$C$6:$C$305,$N25))</f>
        <v/>
      </c>
      <c r="C25" s="44" t="str">
        <f>IF($N25=0,"",INDEX('قاعدة البيانات'!$F$6:$F$305,$N25))</f>
        <v/>
      </c>
      <c r="D25" s="41" t="str">
        <f>IF($N25=0,"",INDEX('قاعدة البيانات'!$R$6:$R$305,$N25))</f>
        <v/>
      </c>
      <c r="E25" s="42" t="str">
        <f>IF($N25=0,"",INDEX('قاعدة البيانات'!$S$6:$S$305,$N25))</f>
        <v/>
      </c>
      <c r="F25" s="43" t="str">
        <f>IF($N25=0,"",INDEX('قاعدة البيانات'!$T$6:$T$305,$N25))</f>
        <v/>
      </c>
      <c r="G25" s="44" t="str">
        <f>IF($N25=0,"",INDEX('قاعدة البيانات'!$U$6:$U$305,$N25))</f>
        <v/>
      </c>
      <c r="H25" s="53" t="str">
        <f>IF($N25=0,"",IF(INDEX('قاعدة البيانات'!$H$6:$H$305,$N25)="","— مفيش رقم —",HYPERLINK("tel:"&amp;INDEX('قاعدة البيانات'!$H$6:$H$305,$N25),"📞 "&amp;INDEX('قاعدة البيانات'!$H$6:$H$305,$N25))))</f>
        <v/>
      </c>
      <c r="I25" s="54" t="str">
        <f>IF(OR($N25=0,INDEX('قاعدة البيانات'!$H$6:$H$305,$N25)=""),"",HYPERLINK("https://wa.me/20"&amp;RIGHT(INDEX('قاعدة البيانات'!$H$6:$H$305,$N25),10),"💬 واتساب"))</f>
        <v/>
      </c>
      <c r="J25" s="53" t="str">
        <f>IF($N25=0,"",IF(INDEX('قاعدة البيانات'!$I$6:$I$305,$N25)="","— مفيش رقم —",HYPERLINK("tel:"&amp;INDEX('قاعدة البيانات'!$I$6:$I$305,$N25),"📞 "&amp;INDEX('قاعدة البيانات'!$I$6:$I$305,$N25))))</f>
        <v/>
      </c>
      <c r="K25" s="54" t="str">
        <f>IF(OR($N25=0,INDEX('قاعدة البيانات'!$I$6:$I$305,$N25)=""),"",HYPERLINK("https://wa.me/20"&amp;RIGHT(INDEX('قاعدة البيانات'!$I$6:$I$305,$N25),10),"💬 واتساب"))</f>
        <v/>
      </c>
      <c r="L25" s="55" t="str">
        <f>IF($N25=0,"",IF(INDEX('قاعدة البيانات'!$J$6:$J$305,$N25)="","—",INDEX('قاعدة البيانات'!$J$6:$J$305,$N25)))</f>
        <v/>
      </c>
      <c r="N25">
        <f>IFERROR(MATCH(20,'قاعدة البيانات'!$W$6:$W$305,0),0)</f>
        <v>0</v>
      </c>
    </row>
    <row r="26" spans="1:14" ht="24" customHeight="1">
      <c r="A26" s="36" t="str">
        <f>IF($N26=0,"",21)</f>
        <v/>
      </c>
      <c r="B26" s="37" t="str">
        <f>IF($N26=0,"",INDEX('قاعدة البيانات'!$C$6:$C$305,$N26))</f>
        <v/>
      </c>
      <c r="C26" s="44" t="str">
        <f>IF($N26=0,"",INDEX('قاعدة البيانات'!$F$6:$F$305,$N26))</f>
        <v/>
      </c>
      <c r="D26" s="41" t="str">
        <f>IF($N26=0,"",INDEX('قاعدة البيانات'!$R$6:$R$305,$N26))</f>
        <v/>
      </c>
      <c r="E26" s="42" t="str">
        <f>IF($N26=0,"",INDEX('قاعدة البيانات'!$S$6:$S$305,$N26))</f>
        <v/>
      </c>
      <c r="F26" s="43" t="str">
        <f>IF($N26=0,"",INDEX('قاعدة البيانات'!$T$6:$T$305,$N26))</f>
        <v/>
      </c>
      <c r="G26" s="44" t="str">
        <f>IF($N26=0,"",INDEX('قاعدة البيانات'!$U$6:$U$305,$N26))</f>
        <v/>
      </c>
      <c r="H26" s="53" t="str">
        <f>IF($N26=0,"",IF(INDEX('قاعدة البيانات'!$H$6:$H$305,$N26)="","— مفيش رقم —",HYPERLINK("tel:"&amp;INDEX('قاعدة البيانات'!$H$6:$H$305,$N26),"📞 "&amp;INDEX('قاعدة البيانات'!$H$6:$H$305,$N26))))</f>
        <v/>
      </c>
      <c r="I26" s="54" t="str">
        <f>IF(OR($N26=0,INDEX('قاعدة البيانات'!$H$6:$H$305,$N26)=""),"",HYPERLINK("https://wa.me/20"&amp;RIGHT(INDEX('قاعدة البيانات'!$H$6:$H$305,$N26),10),"💬 واتساب"))</f>
        <v/>
      </c>
      <c r="J26" s="53" t="str">
        <f>IF($N26=0,"",IF(INDEX('قاعدة البيانات'!$I$6:$I$305,$N26)="","— مفيش رقم —",HYPERLINK("tel:"&amp;INDEX('قاعدة البيانات'!$I$6:$I$305,$N26),"📞 "&amp;INDEX('قاعدة البيانات'!$I$6:$I$305,$N26))))</f>
        <v/>
      </c>
      <c r="K26" s="54" t="str">
        <f>IF(OR($N26=0,INDEX('قاعدة البيانات'!$I$6:$I$305,$N26)=""),"",HYPERLINK("https://wa.me/20"&amp;RIGHT(INDEX('قاعدة البيانات'!$I$6:$I$305,$N26),10),"💬 واتساب"))</f>
        <v/>
      </c>
      <c r="L26" s="55" t="str">
        <f>IF($N26=0,"",IF(INDEX('قاعدة البيانات'!$J$6:$J$305,$N26)="","—",INDEX('قاعدة البيانات'!$J$6:$J$305,$N26)))</f>
        <v/>
      </c>
      <c r="N26">
        <f>IFERROR(MATCH(21,'قاعدة البيانات'!$W$6:$W$305,0),0)</f>
        <v>0</v>
      </c>
    </row>
    <row r="27" spans="1:14" ht="24" customHeight="1">
      <c r="A27" s="36" t="str">
        <f>IF($N27=0,"",22)</f>
        <v/>
      </c>
      <c r="B27" s="37" t="str">
        <f>IF($N27=0,"",INDEX('قاعدة البيانات'!$C$6:$C$305,$N27))</f>
        <v/>
      </c>
      <c r="C27" s="44" t="str">
        <f>IF($N27=0,"",INDEX('قاعدة البيانات'!$F$6:$F$305,$N27))</f>
        <v/>
      </c>
      <c r="D27" s="41" t="str">
        <f>IF($N27=0,"",INDEX('قاعدة البيانات'!$R$6:$R$305,$N27))</f>
        <v/>
      </c>
      <c r="E27" s="42" t="str">
        <f>IF($N27=0,"",INDEX('قاعدة البيانات'!$S$6:$S$305,$N27))</f>
        <v/>
      </c>
      <c r="F27" s="43" t="str">
        <f>IF($N27=0,"",INDEX('قاعدة البيانات'!$T$6:$T$305,$N27))</f>
        <v/>
      </c>
      <c r="G27" s="44" t="str">
        <f>IF($N27=0,"",INDEX('قاعدة البيانات'!$U$6:$U$305,$N27))</f>
        <v/>
      </c>
      <c r="H27" s="53" t="str">
        <f>IF($N27=0,"",IF(INDEX('قاعدة البيانات'!$H$6:$H$305,$N27)="","— مفيش رقم —",HYPERLINK("tel:"&amp;INDEX('قاعدة البيانات'!$H$6:$H$305,$N27),"📞 "&amp;INDEX('قاعدة البيانات'!$H$6:$H$305,$N27))))</f>
        <v/>
      </c>
      <c r="I27" s="54" t="str">
        <f>IF(OR($N27=0,INDEX('قاعدة البيانات'!$H$6:$H$305,$N27)=""),"",HYPERLINK("https://wa.me/20"&amp;RIGHT(INDEX('قاعدة البيانات'!$H$6:$H$305,$N27),10),"💬 واتساب"))</f>
        <v/>
      </c>
      <c r="J27" s="53" t="str">
        <f>IF($N27=0,"",IF(INDEX('قاعدة البيانات'!$I$6:$I$305,$N27)="","— مفيش رقم —",HYPERLINK("tel:"&amp;INDEX('قاعدة البيانات'!$I$6:$I$305,$N27),"📞 "&amp;INDEX('قاعدة البيانات'!$I$6:$I$305,$N27))))</f>
        <v/>
      </c>
      <c r="K27" s="54" t="str">
        <f>IF(OR($N27=0,INDEX('قاعدة البيانات'!$I$6:$I$305,$N27)=""),"",HYPERLINK("https://wa.me/20"&amp;RIGHT(INDEX('قاعدة البيانات'!$I$6:$I$305,$N27),10),"💬 واتساب"))</f>
        <v/>
      </c>
      <c r="L27" s="55" t="str">
        <f>IF($N27=0,"",IF(INDEX('قاعدة البيانات'!$J$6:$J$305,$N27)="","—",INDEX('قاعدة البيانات'!$J$6:$J$305,$N27)))</f>
        <v/>
      </c>
      <c r="N27">
        <f>IFERROR(MATCH(22,'قاعدة البيانات'!$W$6:$W$305,0),0)</f>
        <v>0</v>
      </c>
    </row>
    <row r="28" spans="1:14" ht="24" customHeight="1">
      <c r="A28" s="36" t="str">
        <f>IF($N28=0,"",23)</f>
        <v/>
      </c>
      <c r="B28" s="37" t="str">
        <f>IF($N28=0,"",INDEX('قاعدة البيانات'!$C$6:$C$305,$N28))</f>
        <v/>
      </c>
      <c r="C28" s="44" t="str">
        <f>IF($N28=0,"",INDEX('قاعدة البيانات'!$F$6:$F$305,$N28))</f>
        <v/>
      </c>
      <c r="D28" s="41" t="str">
        <f>IF($N28=0,"",INDEX('قاعدة البيانات'!$R$6:$R$305,$N28))</f>
        <v/>
      </c>
      <c r="E28" s="42" t="str">
        <f>IF($N28=0,"",INDEX('قاعدة البيانات'!$S$6:$S$305,$N28))</f>
        <v/>
      </c>
      <c r="F28" s="43" t="str">
        <f>IF($N28=0,"",INDEX('قاعدة البيانات'!$T$6:$T$305,$N28))</f>
        <v/>
      </c>
      <c r="G28" s="44" t="str">
        <f>IF($N28=0,"",INDEX('قاعدة البيانات'!$U$6:$U$305,$N28))</f>
        <v/>
      </c>
      <c r="H28" s="53" t="str">
        <f>IF($N28=0,"",IF(INDEX('قاعدة البيانات'!$H$6:$H$305,$N28)="","— مفيش رقم —",HYPERLINK("tel:"&amp;INDEX('قاعدة البيانات'!$H$6:$H$305,$N28),"📞 "&amp;INDEX('قاعدة البيانات'!$H$6:$H$305,$N28))))</f>
        <v/>
      </c>
      <c r="I28" s="54" t="str">
        <f>IF(OR($N28=0,INDEX('قاعدة البيانات'!$H$6:$H$305,$N28)=""),"",HYPERLINK("https://wa.me/20"&amp;RIGHT(INDEX('قاعدة البيانات'!$H$6:$H$305,$N28),10),"💬 واتساب"))</f>
        <v/>
      </c>
      <c r="J28" s="53" t="str">
        <f>IF($N28=0,"",IF(INDEX('قاعدة البيانات'!$I$6:$I$305,$N28)="","— مفيش رقم —",HYPERLINK("tel:"&amp;INDEX('قاعدة البيانات'!$I$6:$I$305,$N28),"📞 "&amp;INDEX('قاعدة البيانات'!$I$6:$I$305,$N28))))</f>
        <v/>
      </c>
      <c r="K28" s="54" t="str">
        <f>IF(OR($N28=0,INDEX('قاعدة البيانات'!$I$6:$I$305,$N28)=""),"",HYPERLINK("https://wa.me/20"&amp;RIGHT(INDEX('قاعدة البيانات'!$I$6:$I$305,$N28),10),"💬 واتساب"))</f>
        <v/>
      </c>
      <c r="L28" s="55" t="str">
        <f>IF($N28=0,"",IF(INDEX('قاعدة البيانات'!$J$6:$J$305,$N28)="","—",INDEX('قاعدة البيانات'!$J$6:$J$305,$N28)))</f>
        <v/>
      </c>
      <c r="N28">
        <f>IFERROR(MATCH(23,'قاعدة البيانات'!$W$6:$W$305,0),0)</f>
        <v>0</v>
      </c>
    </row>
    <row r="29" spans="1:14" ht="24" customHeight="1">
      <c r="A29" s="36" t="str">
        <f>IF($N29=0,"",24)</f>
        <v/>
      </c>
      <c r="B29" s="37" t="str">
        <f>IF($N29=0,"",INDEX('قاعدة البيانات'!$C$6:$C$305,$N29))</f>
        <v/>
      </c>
      <c r="C29" s="44" t="str">
        <f>IF($N29=0,"",INDEX('قاعدة البيانات'!$F$6:$F$305,$N29))</f>
        <v/>
      </c>
      <c r="D29" s="41" t="str">
        <f>IF($N29=0,"",INDEX('قاعدة البيانات'!$R$6:$R$305,$N29))</f>
        <v/>
      </c>
      <c r="E29" s="42" t="str">
        <f>IF($N29=0,"",INDEX('قاعدة البيانات'!$S$6:$S$305,$N29))</f>
        <v/>
      </c>
      <c r="F29" s="43" t="str">
        <f>IF($N29=0,"",INDEX('قاعدة البيانات'!$T$6:$T$305,$N29))</f>
        <v/>
      </c>
      <c r="G29" s="44" t="str">
        <f>IF($N29=0,"",INDEX('قاعدة البيانات'!$U$6:$U$305,$N29))</f>
        <v/>
      </c>
      <c r="H29" s="53" t="str">
        <f>IF($N29=0,"",IF(INDEX('قاعدة البيانات'!$H$6:$H$305,$N29)="","— مفيش رقم —",HYPERLINK("tel:"&amp;INDEX('قاعدة البيانات'!$H$6:$H$305,$N29),"📞 "&amp;INDEX('قاعدة البيانات'!$H$6:$H$305,$N29))))</f>
        <v/>
      </c>
      <c r="I29" s="54" t="str">
        <f>IF(OR($N29=0,INDEX('قاعدة البيانات'!$H$6:$H$305,$N29)=""),"",HYPERLINK("https://wa.me/20"&amp;RIGHT(INDEX('قاعدة البيانات'!$H$6:$H$305,$N29),10),"💬 واتساب"))</f>
        <v/>
      </c>
      <c r="J29" s="53" t="str">
        <f>IF($N29=0,"",IF(INDEX('قاعدة البيانات'!$I$6:$I$305,$N29)="","— مفيش رقم —",HYPERLINK("tel:"&amp;INDEX('قاعدة البيانات'!$I$6:$I$305,$N29),"📞 "&amp;INDEX('قاعدة البيانات'!$I$6:$I$305,$N29))))</f>
        <v/>
      </c>
      <c r="K29" s="54" t="str">
        <f>IF(OR($N29=0,INDEX('قاعدة البيانات'!$I$6:$I$305,$N29)=""),"",HYPERLINK("https://wa.me/20"&amp;RIGHT(INDEX('قاعدة البيانات'!$I$6:$I$305,$N29),10),"💬 واتساب"))</f>
        <v/>
      </c>
      <c r="L29" s="55" t="str">
        <f>IF($N29=0,"",IF(INDEX('قاعدة البيانات'!$J$6:$J$305,$N29)="","—",INDEX('قاعدة البيانات'!$J$6:$J$305,$N29)))</f>
        <v/>
      </c>
      <c r="N29">
        <f>IFERROR(MATCH(24,'قاعدة البيانات'!$W$6:$W$305,0),0)</f>
        <v>0</v>
      </c>
    </row>
    <row r="30" spans="1:14" ht="24" customHeight="1">
      <c r="A30" s="36" t="str">
        <f>IF($N30=0,"",25)</f>
        <v/>
      </c>
      <c r="B30" s="37" t="str">
        <f>IF($N30=0,"",INDEX('قاعدة البيانات'!$C$6:$C$305,$N30))</f>
        <v/>
      </c>
      <c r="C30" s="44" t="str">
        <f>IF($N30=0,"",INDEX('قاعدة البيانات'!$F$6:$F$305,$N30))</f>
        <v/>
      </c>
      <c r="D30" s="41" t="str">
        <f>IF($N30=0,"",INDEX('قاعدة البيانات'!$R$6:$R$305,$N30))</f>
        <v/>
      </c>
      <c r="E30" s="42" t="str">
        <f>IF($N30=0,"",INDEX('قاعدة البيانات'!$S$6:$S$305,$N30))</f>
        <v/>
      </c>
      <c r="F30" s="43" t="str">
        <f>IF($N30=0,"",INDEX('قاعدة البيانات'!$T$6:$T$305,$N30))</f>
        <v/>
      </c>
      <c r="G30" s="44" t="str">
        <f>IF($N30=0,"",INDEX('قاعدة البيانات'!$U$6:$U$305,$N30))</f>
        <v/>
      </c>
      <c r="H30" s="53" t="str">
        <f>IF($N30=0,"",IF(INDEX('قاعدة البيانات'!$H$6:$H$305,$N30)="","— مفيش رقم —",HYPERLINK("tel:"&amp;INDEX('قاعدة البيانات'!$H$6:$H$305,$N30),"📞 "&amp;INDEX('قاعدة البيانات'!$H$6:$H$305,$N30))))</f>
        <v/>
      </c>
      <c r="I30" s="54" t="str">
        <f>IF(OR($N30=0,INDEX('قاعدة البيانات'!$H$6:$H$305,$N30)=""),"",HYPERLINK("https://wa.me/20"&amp;RIGHT(INDEX('قاعدة البيانات'!$H$6:$H$305,$N30),10),"💬 واتساب"))</f>
        <v/>
      </c>
      <c r="J30" s="53" t="str">
        <f>IF($N30=0,"",IF(INDEX('قاعدة البيانات'!$I$6:$I$305,$N30)="","— مفيش رقم —",HYPERLINK("tel:"&amp;INDEX('قاعدة البيانات'!$I$6:$I$305,$N30),"📞 "&amp;INDEX('قاعدة البيانات'!$I$6:$I$305,$N30))))</f>
        <v/>
      </c>
      <c r="K30" s="54" t="str">
        <f>IF(OR($N30=0,INDEX('قاعدة البيانات'!$I$6:$I$305,$N30)=""),"",HYPERLINK("https://wa.me/20"&amp;RIGHT(INDEX('قاعدة البيانات'!$I$6:$I$305,$N30),10),"💬 واتساب"))</f>
        <v/>
      </c>
      <c r="L30" s="55" t="str">
        <f>IF($N30=0,"",IF(INDEX('قاعدة البيانات'!$J$6:$J$305,$N30)="","—",INDEX('قاعدة البيانات'!$J$6:$J$305,$N30)))</f>
        <v/>
      </c>
      <c r="N30">
        <f>IFERROR(MATCH(25,'قاعدة البيانات'!$W$6:$W$305,0),0)</f>
        <v>0</v>
      </c>
    </row>
    <row r="31" spans="1:14" ht="24" customHeight="1">
      <c r="A31" s="36" t="str">
        <f>IF($N31=0,"",26)</f>
        <v/>
      </c>
      <c r="B31" s="37" t="str">
        <f>IF($N31=0,"",INDEX('قاعدة البيانات'!$C$6:$C$305,$N31))</f>
        <v/>
      </c>
      <c r="C31" s="44" t="str">
        <f>IF($N31=0,"",INDEX('قاعدة البيانات'!$F$6:$F$305,$N31))</f>
        <v/>
      </c>
      <c r="D31" s="41" t="str">
        <f>IF($N31=0,"",INDEX('قاعدة البيانات'!$R$6:$R$305,$N31))</f>
        <v/>
      </c>
      <c r="E31" s="42" t="str">
        <f>IF($N31=0,"",INDEX('قاعدة البيانات'!$S$6:$S$305,$N31))</f>
        <v/>
      </c>
      <c r="F31" s="43" t="str">
        <f>IF($N31=0,"",INDEX('قاعدة البيانات'!$T$6:$T$305,$N31))</f>
        <v/>
      </c>
      <c r="G31" s="44" t="str">
        <f>IF($N31=0,"",INDEX('قاعدة البيانات'!$U$6:$U$305,$N31))</f>
        <v/>
      </c>
      <c r="H31" s="53" t="str">
        <f>IF($N31=0,"",IF(INDEX('قاعدة البيانات'!$H$6:$H$305,$N31)="","— مفيش رقم —",HYPERLINK("tel:"&amp;INDEX('قاعدة البيانات'!$H$6:$H$305,$N31),"📞 "&amp;INDEX('قاعدة البيانات'!$H$6:$H$305,$N31))))</f>
        <v/>
      </c>
      <c r="I31" s="54" t="str">
        <f>IF(OR($N31=0,INDEX('قاعدة البيانات'!$H$6:$H$305,$N31)=""),"",HYPERLINK("https://wa.me/20"&amp;RIGHT(INDEX('قاعدة البيانات'!$H$6:$H$305,$N31),10),"💬 واتساب"))</f>
        <v/>
      </c>
      <c r="J31" s="53" t="str">
        <f>IF($N31=0,"",IF(INDEX('قاعدة البيانات'!$I$6:$I$305,$N31)="","— مفيش رقم —",HYPERLINK("tel:"&amp;INDEX('قاعدة البيانات'!$I$6:$I$305,$N31),"📞 "&amp;INDEX('قاعدة البيانات'!$I$6:$I$305,$N31))))</f>
        <v/>
      </c>
      <c r="K31" s="54" t="str">
        <f>IF(OR($N31=0,INDEX('قاعدة البيانات'!$I$6:$I$305,$N31)=""),"",HYPERLINK("https://wa.me/20"&amp;RIGHT(INDEX('قاعدة البيانات'!$I$6:$I$305,$N31),10),"💬 واتساب"))</f>
        <v/>
      </c>
      <c r="L31" s="55" t="str">
        <f>IF($N31=0,"",IF(INDEX('قاعدة البيانات'!$J$6:$J$305,$N31)="","—",INDEX('قاعدة البيانات'!$J$6:$J$305,$N31)))</f>
        <v/>
      </c>
      <c r="N31">
        <f>IFERROR(MATCH(26,'قاعدة البيانات'!$W$6:$W$305,0),0)</f>
        <v>0</v>
      </c>
    </row>
    <row r="32" spans="1:14" ht="24" customHeight="1">
      <c r="A32" s="36" t="str">
        <f>IF($N32=0,"",27)</f>
        <v/>
      </c>
      <c r="B32" s="37" t="str">
        <f>IF($N32=0,"",INDEX('قاعدة البيانات'!$C$6:$C$305,$N32))</f>
        <v/>
      </c>
      <c r="C32" s="44" t="str">
        <f>IF($N32=0,"",INDEX('قاعدة البيانات'!$F$6:$F$305,$N32))</f>
        <v/>
      </c>
      <c r="D32" s="41" t="str">
        <f>IF($N32=0,"",INDEX('قاعدة البيانات'!$R$6:$R$305,$N32))</f>
        <v/>
      </c>
      <c r="E32" s="42" t="str">
        <f>IF($N32=0,"",INDEX('قاعدة البيانات'!$S$6:$S$305,$N32))</f>
        <v/>
      </c>
      <c r="F32" s="43" t="str">
        <f>IF($N32=0,"",INDEX('قاعدة البيانات'!$T$6:$T$305,$N32))</f>
        <v/>
      </c>
      <c r="G32" s="44" t="str">
        <f>IF($N32=0,"",INDEX('قاعدة البيانات'!$U$6:$U$305,$N32))</f>
        <v/>
      </c>
      <c r="H32" s="53" t="str">
        <f>IF($N32=0,"",IF(INDEX('قاعدة البيانات'!$H$6:$H$305,$N32)="","— مفيش رقم —",HYPERLINK("tel:"&amp;INDEX('قاعدة البيانات'!$H$6:$H$305,$N32),"📞 "&amp;INDEX('قاعدة البيانات'!$H$6:$H$305,$N32))))</f>
        <v/>
      </c>
      <c r="I32" s="54" t="str">
        <f>IF(OR($N32=0,INDEX('قاعدة البيانات'!$H$6:$H$305,$N32)=""),"",HYPERLINK("https://wa.me/20"&amp;RIGHT(INDEX('قاعدة البيانات'!$H$6:$H$305,$N32),10),"💬 واتساب"))</f>
        <v/>
      </c>
      <c r="J32" s="53" t="str">
        <f>IF($N32=0,"",IF(INDEX('قاعدة البيانات'!$I$6:$I$305,$N32)="","— مفيش رقم —",HYPERLINK("tel:"&amp;INDEX('قاعدة البيانات'!$I$6:$I$305,$N32),"📞 "&amp;INDEX('قاعدة البيانات'!$I$6:$I$305,$N32))))</f>
        <v/>
      </c>
      <c r="K32" s="54" t="str">
        <f>IF(OR($N32=0,INDEX('قاعدة البيانات'!$I$6:$I$305,$N32)=""),"",HYPERLINK("https://wa.me/20"&amp;RIGHT(INDEX('قاعدة البيانات'!$I$6:$I$305,$N32),10),"💬 واتساب"))</f>
        <v/>
      </c>
      <c r="L32" s="55" t="str">
        <f>IF($N32=0,"",IF(INDEX('قاعدة البيانات'!$J$6:$J$305,$N32)="","—",INDEX('قاعدة البيانات'!$J$6:$J$305,$N32)))</f>
        <v/>
      </c>
      <c r="N32">
        <f>IFERROR(MATCH(27,'قاعدة البيانات'!$W$6:$W$305,0),0)</f>
        <v>0</v>
      </c>
    </row>
    <row r="33" spans="1:14" ht="24" customHeight="1">
      <c r="A33" s="36" t="str">
        <f>IF($N33=0,"",28)</f>
        <v/>
      </c>
      <c r="B33" s="37" t="str">
        <f>IF($N33=0,"",INDEX('قاعدة البيانات'!$C$6:$C$305,$N33))</f>
        <v/>
      </c>
      <c r="C33" s="44" t="str">
        <f>IF($N33=0,"",INDEX('قاعدة البيانات'!$F$6:$F$305,$N33))</f>
        <v/>
      </c>
      <c r="D33" s="41" t="str">
        <f>IF($N33=0,"",INDEX('قاعدة البيانات'!$R$6:$R$305,$N33))</f>
        <v/>
      </c>
      <c r="E33" s="42" t="str">
        <f>IF($N33=0,"",INDEX('قاعدة البيانات'!$S$6:$S$305,$N33))</f>
        <v/>
      </c>
      <c r="F33" s="43" t="str">
        <f>IF($N33=0,"",INDEX('قاعدة البيانات'!$T$6:$T$305,$N33))</f>
        <v/>
      </c>
      <c r="G33" s="44" t="str">
        <f>IF($N33=0,"",INDEX('قاعدة البيانات'!$U$6:$U$305,$N33))</f>
        <v/>
      </c>
      <c r="H33" s="53" t="str">
        <f>IF($N33=0,"",IF(INDEX('قاعدة البيانات'!$H$6:$H$305,$N33)="","— مفيش رقم —",HYPERLINK("tel:"&amp;INDEX('قاعدة البيانات'!$H$6:$H$305,$N33),"📞 "&amp;INDEX('قاعدة البيانات'!$H$6:$H$305,$N33))))</f>
        <v/>
      </c>
      <c r="I33" s="54" t="str">
        <f>IF(OR($N33=0,INDEX('قاعدة البيانات'!$H$6:$H$305,$N33)=""),"",HYPERLINK("https://wa.me/20"&amp;RIGHT(INDEX('قاعدة البيانات'!$H$6:$H$305,$N33),10),"💬 واتساب"))</f>
        <v/>
      </c>
      <c r="J33" s="53" t="str">
        <f>IF($N33=0,"",IF(INDEX('قاعدة البيانات'!$I$6:$I$305,$N33)="","— مفيش رقم —",HYPERLINK("tel:"&amp;INDEX('قاعدة البيانات'!$I$6:$I$305,$N33),"📞 "&amp;INDEX('قاعدة البيانات'!$I$6:$I$305,$N33))))</f>
        <v/>
      </c>
      <c r="K33" s="54" t="str">
        <f>IF(OR($N33=0,INDEX('قاعدة البيانات'!$I$6:$I$305,$N33)=""),"",HYPERLINK("https://wa.me/20"&amp;RIGHT(INDEX('قاعدة البيانات'!$I$6:$I$305,$N33),10),"💬 واتساب"))</f>
        <v/>
      </c>
      <c r="L33" s="55" t="str">
        <f>IF($N33=0,"",IF(INDEX('قاعدة البيانات'!$J$6:$J$305,$N33)="","—",INDEX('قاعدة البيانات'!$J$6:$J$305,$N33)))</f>
        <v/>
      </c>
      <c r="N33">
        <f>IFERROR(MATCH(28,'قاعدة البيانات'!$W$6:$W$305,0),0)</f>
        <v>0</v>
      </c>
    </row>
    <row r="34" spans="1:14" ht="24" customHeight="1">
      <c r="A34" s="36" t="str">
        <f>IF($N34=0,"",29)</f>
        <v/>
      </c>
      <c r="B34" s="37" t="str">
        <f>IF($N34=0,"",INDEX('قاعدة البيانات'!$C$6:$C$305,$N34))</f>
        <v/>
      </c>
      <c r="C34" s="44" t="str">
        <f>IF($N34=0,"",INDEX('قاعدة البيانات'!$F$6:$F$305,$N34))</f>
        <v/>
      </c>
      <c r="D34" s="41" t="str">
        <f>IF($N34=0,"",INDEX('قاعدة البيانات'!$R$6:$R$305,$N34))</f>
        <v/>
      </c>
      <c r="E34" s="42" t="str">
        <f>IF($N34=0,"",INDEX('قاعدة البيانات'!$S$6:$S$305,$N34))</f>
        <v/>
      </c>
      <c r="F34" s="43" t="str">
        <f>IF($N34=0,"",INDEX('قاعدة البيانات'!$T$6:$T$305,$N34))</f>
        <v/>
      </c>
      <c r="G34" s="44" t="str">
        <f>IF($N34=0,"",INDEX('قاعدة البيانات'!$U$6:$U$305,$N34))</f>
        <v/>
      </c>
      <c r="H34" s="53" t="str">
        <f>IF($N34=0,"",IF(INDEX('قاعدة البيانات'!$H$6:$H$305,$N34)="","— مفيش رقم —",HYPERLINK("tel:"&amp;INDEX('قاعدة البيانات'!$H$6:$H$305,$N34),"📞 "&amp;INDEX('قاعدة البيانات'!$H$6:$H$305,$N34))))</f>
        <v/>
      </c>
      <c r="I34" s="54" t="str">
        <f>IF(OR($N34=0,INDEX('قاعدة البيانات'!$H$6:$H$305,$N34)=""),"",HYPERLINK("https://wa.me/20"&amp;RIGHT(INDEX('قاعدة البيانات'!$H$6:$H$305,$N34),10),"💬 واتساب"))</f>
        <v/>
      </c>
      <c r="J34" s="53" t="str">
        <f>IF($N34=0,"",IF(INDEX('قاعدة البيانات'!$I$6:$I$305,$N34)="","— مفيش رقم —",HYPERLINK("tel:"&amp;INDEX('قاعدة البيانات'!$I$6:$I$305,$N34),"📞 "&amp;INDEX('قاعدة البيانات'!$I$6:$I$305,$N34))))</f>
        <v/>
      </c>
      <c r="K34" s="54" t="str">
        <f>IF(OR($N34=0,INDEX('قاعدة البيانات'!$I$6:$I$305,$N34)=""),"",HYPERLINK("https://wa.me/20"&amp;RIGHT(INDEX('قاعدة البيانات'!$I$6:$I$305,$N34),10),"💬 واتساب"))</f>
        <v/>
      </c>
      <c r="L34" s="55" t="str">
        <f>IF($N34=0,"",IF(INDEX('قاعدة البيانات'!$J$6:$J$305,$N34)="","—",INDEX('قاعدة البيانات'!$J$6:$J$305,$N34)))</f>
        <v/>
      </c>
      <c r="N34">
        <f>IFERROR(MATCH(29,'قاعدة البيانات'!$W$6:$W$305,0),0)</f>
        <v>0</v>
      </c>
    </row>
    <row r="35" spans="1:14" ht="24" customHeight="1">
      <c r="A35" s="36" t="str">
        <f>IF($N35=0,"",30)</f>
        <v/>
      </c>
      <c r="B35" s="37" t="str">
        <f>IF($N35=0,"",INDEX('قاعدة البيانات'!$C$6:$C$305,$N35))</f>
        <v/>
      </c>
      <c r="C35" s="44" t="str">
        <f>IF($N35=0,"",INDEX('قاعدة البيانات'!$F$6:$F$305,$N35))</f>
        <v/>
      </c>
      <c r="D35" s="41" t="str">
        <f>IF($N35=0,"",INDEX('قاعدة البيانات'!$R$6:$R$305,$N35))</f>
        <v/>
      </c>
      <c r="E35" s="42" t="str">
        <f>IF($N35=0,"",INDEX('قاعدة البيانات'!$S$6:$S$305,$N35))</f>
        <v/>
      </c>
      <c r="F35" s="43" t="str">
        <f>IF($N35=0,"",INDEX('قاعدة البيانات'!$T$6:$T$305,$N35))</f>
        <v/>
      </c>
      <c r="G35" s="44" t="str">
        <f>IF($N35=0,"",INDEX('قاعدة البيانات'!$U$6:$U$305,$N35))</f>
        <v/>
      </c>
      <c r="H35" s="53" t="str">
        <f>IF($N35=0,"",IF(INDEX('قاعدة البيانات'!$H$6:$H$305,$N35)="","— مفيش رقم —",HYPERLINK("tel:"&amp;INDEX('قاعدة البيانات'!$H$6:$H$305,$N35),"📞 "&amp;INDEX('قاعدة البيانات'!$H$6:$H$305,$N35))))</f>
        <v/>
      </c>
      <c r="I35" s="54" t="str">
        <f>IF(OR($N35=0,INDEX('قاعدة البيانات'!$H$6:$H$305,$N35)=""),"",HYPERLINK("https://wa.me/20"&amp;RIGHT(INDEX('قاعدة البيانات'!$H$6:$H$305,$N35),10),"💬 واتساب"))</f>
        <v/>
      </c>
      <c r="J35" s="53" t="str">
        <f>IF($N35=0,"",IF(INDEX('قاعدة البيانات'!$I$6:$I$305,$N35)="","— مفيش رقم —",HYPERLINK("tel:"&amp;INDEX('قاعدة البيانات'!$I$6:$I$305,$N35),"📞 "&amp;INDEX('قاعدة البيانات'!$I$6:$I$305,$N35))))</f>
        <v/>
      </c>
      <c r="K35" s="54" t="str">
        <f>IF(OR($N35=0,INDEX('قاعدة البيانات'!$I$6:$I$305,$N35)=""),"",HYPERLINK("https://wa.me/20"&amp;RIGHT(INDEX('قاعدة البيانات'!$I$6:$I$305,$N35),10),"💬 واتساب"))</f>
        <v/>
      </c>
      <c r="L35" s="55" t="str">
        <f>IF($N35=0,"",IF(INDEX('قاعدة البيانات'!$J$6:$J$305,$N35)="","—",INDEX('قاعدة البيانات'!$J$6:$J$305,$N35)))</f>
        <v/>
      </c>
      <c r="N35">
        <f>IFERROR(MATCH(30,'قاعدة البيانات'!$W$6:$W$305,0),0)</f>
        <v>0</v>
      </c>
    </row>
    <row r="36" spans="1:14" ht="24" customHeight="1">
      <c r="A36" s="36" t="str">
        <f>IF($N36=0,"",31)</f>
        <v/>
      </c>
      <c r="B36" s="37" t="str">
        <f>IF($N36=0,"",INDEX('قاعدة البيانات'!$C$6:$C$305,$N36))</f>
        <v/>
      </c>
      <c r="C36" s="44" t="str">
        <f>IF($N36=0,"",INDEX('قاعدة البيانات'!$F$6:$F$305,$N36))</f>
        <v/>
      </c>
      <c r="D36" s="41" t="str">
        <f>IF($N36=0,"",INDEX('قاعدة البيانات'!$R$6:$R$305,$N36))</f>
        <v/>
      </c>
      <c r="E36" s="42" t="str">
        <f>IF($N36=0,"",INDEX('قاعدة البيانات'!$S$6:$S$305,$N36))</f>
        <v/>
      </c>
      <c r="F36" s="43" t="str">
        <f>IF($N36=0,"",INDEX('قاعدة البيانات'!$T$6:$T$305,$N36))</f>
        <v/>
      </c>
      <c r="G36" s="44" t="str">
        <f>IF($N36=0,"",INDEX('قاعدة البيانات'!$U$6:$U$305,$N36))</f>
        <v/>
      </c>
      <c r="H36" s="53" t="str">
        <f>IF($N36=0,"",IF(INDEX('قاعدة البيانات'!$H$6:$H$305,$N36)="","— مفيش رقم —",HYPERLINK("tel:"&amp;INDEX('قاعدة البيانات'!$H$6:$H$305,$N36),"📞 "&amp;INDEX('قاعدة البيانات'!$H$6:$H$305,$N36))))</f>
        <v/>
      </c>
      <c r="I36" s="54" t="str">
        <f>IF(OR($N36=0,INDEX('قاعدة البيانات'!$H$6:$H$305,$N36)=""),"",HYPERLINK("https://wa.me/20"&amp;RIGHT(INDEX('قاعدة البيانات'!$H$6:$H$305,$N36),10),"💬 واتساب"))</f>
        <v/>
      </c>
      <c r="J36" s="53" t="str">
        <f>IF($N36=0,"",IF(INDEX('قاعدة البيانات'!$I$6:$I$305,$N36)="","— مفيش رقم —",HYPERLINK("tel:"&amp;INDEX('قاعدة البيانات'!$I$6:$I$305,$N36),"📞 "&amp;INDEX('قاعدة البيانات'!$I$6:$I$305,$N36))))</f>
        <v/>
      </c>
      <c r="K36" s="54" t="str">
        <f>IF(OR($N36=0,INDEX('قاعدة البيانات'!$I$6:$I$305,$N36)=""),"",HYPERLINK("https://wa.me/20"&amp;RIGHT(INDEX('قاعدة البيانات'!$I$6:$I$305,$N36),10),"💬 واتساب"))</f>
        <v/>
      </c>
      <c r="L36" s="55" t="str">
        <f>IF($N36=0,"",IF(INDEX('قاعدة البيانات'!$J$6:$J$305,$N36)="","—",INDEX('قاعدة البيانات'!$J$6:$J$305,$N36)))</f>
        <v/>
      </c>
      <c r="N36">
        <f>IFERROR(MATCH(31,'قاعدة البيانات'!$W$6:$W$305,0),0)</f>
        <v>0</v>
      </c>
    </row>
    <row r="37" spans="1:14" ht="24" customHeight="1">
      <c r="A37" s="36" t="str">
        <f>IF($N37=0,"",32)</f>
        <v/>
      </c>
      <c r="B37" s="37" t="str">
        <f>IF($N37=0,"",INDEX('قاعدة البيانات'!$C$6:$C$305,$N37))</f>
        <v/>
      </c>
      <c r="C37" s="44" t="str">
        <f>IF($N37=0,"",INDEX('قاعدة البيانات'!$F$6:$F$305,$N37))</f>
        <v/>
      </c>
      <c r="D37" s="41" t="str">
        <f>IF($N37=0,"",INDEX('قاعدة البيانات'!$R$6:$R$305,$N37))</f>
        <v/>
      </c>
      <c r="E37" s="42" t="str">
        <f>IF($N37=0,"",INDEX('قاعدة البيانات'!$S$6:$S$305,$N37))</f>
        <v/>
      </c>
      <c r="F37" s="43" t="str">
        <f>IF($N37=0,"",INDEX('قاعدة البيانات'!$T$6:$T$305,$N37))</f>
        <v/>
      </c>
      <c r="G37" s="44" t="str">
        <f>IF($N37=0,"",INDEX('قاعدة البيانات'!$U$6:$U$305,$N37))</f>
        <v/>
      </c>
      <c r="H37" s="53" t="str">
        <f>IF($N37=0,"",IF(INDEX('قاعدة البيانات'!$H$6:$H$305,$N37)="","— مفيش رقم —",HYPERLINK("tel:"&amp;INDEX('قاعدة البيانات'!$H$6:$H$305,$N37),"📞 "&amp;INDEX('قاعدة البيانات'!$H$6:$H$305,$N37))))</f>
        <v/>
      </c>
      <c r="I37" s="54" t="str">
        <f>IF(OR($N37=0,INDEX('قاعدة البيانات'!$H$6:$H$305,$N37)=""),"",HYPERLINK("https://wa.me/20"&amp;RIGHT(INDEX('قاعدة البيانات'!$H$6:$H$305,$N37),10),"💬 واتساب"))</f>
        <v/>
      </c>
      <c r="J37" s="53" t="str">
        <f>IF($N37=0,"",IF(INDEX('قاعدة البيانات'!$I$6:$I$305,$N37)="","— مفيش رقم —",HYPERLINK("tel:"&amp;INDEX('قاعدة البيانات'!$I$6:$I$305,$N37),"📞 "&amp;INDEX('قاعدة البيانات'!$I$6:$I$305,$N37))))</f>
        <v/>
      </c>
      <c r="K37" s="54" t="str">
        <f>IF(OR($N37=0,INDEX('قاعدة البيانات'!$I$6:$I$305,$N37)=""),"",HYPERLINK("https://wa.me/20"&amp;RIGHT(INDEX('قاعدة البيانات'!$I$6:$I$305,$N37),10),"💬 واتساب"))</f>
        <v/>
      </c>
      <c r="L37" s="55" t="str">
        <f>IF($N37=0,"",IF(INDEX('قاعدة البيانات'!$J$6:$J$305,$N37)="","—",INDEX('قاعدة البيانات'!$J$6:$J$305,$N37)))</f>
        <v/>
      </c>
      <c r="N37">
        <f>IFERROR(MATCH(32,'قاعدة البيانات'!$W$6:$W$305,0),0)</f>
        <v>0</v>
      </c>
    </row>
    <row r="38" spans="1:14" ht="24" customHeight="1">
      <c r="A38" s="36" t="str">
        <f>IF($N38=0,"",33)</f>
        <v/>
      </c>
      <c r="B38" s="37" t="str">
        <f>IF($N38=0,"",INDEX('قاعدة البيانات'!$C$6:$C$305,$N38))</f>
        <v/>
      </c>
      <c r="C38" s="44" t="str">
        <f>IF($N38=0,"",INDEX('قاعدة البيانات'!$F$6:$F$305,$N38))</f>
        <v/>
      </c>
      <c r="D38" s="41" t="str">
        <f>IF($N38=0,"",INDEX('قاعدة البيانات'!$R$6:$R$305,$N38))</f>
        <v/>
      </c>
      <c r="E38" s="42" t="str">
        <f>IF($N38=0,"",INDEX('قاعدة البيانات'!$S$6:$S$305,$N38))</f>
        <v/>
      </c>
      <c r="F38" s="43" t="str">
        <f>IF($N38=0,"",INDEX('قاعدة البيانات'!$T$6:$T$305,$N38))</f>
        <v/>
      </c>
      <c r="G38" s="44" t="str">
        <f>IF($N38=0,"",INDEX('قاعدة البيانات'!$U$6:$U$305,$N38))</f>
        <v/>
      </c>
      <c r="H38" s="53" t="str">
        <f>IF($N38=0,"",IF(INDEX('قاعدة البيانات'!$H$6:$H$305,$N38)="","— مفيش رقم —",HYPERLINK("tel:"&amp;INDEX('قاعدة البيانات'!$H$6:$H$305,$N38),"📞 "&amp;INDEX('قاعدة البيانات'!$H$6:$H$305,$N38))))</f>
        <v/>
      </c>
      <c r="I38" s="54" t="str">
        <f>IF(OR($N38=0,INDEX('قاعدة البيانات'!$H$6:$H$305,$N38)=""),"",HYPERLINK("https://wa.me/20"&amp;RIGHT(INDEX('قاعدة البيانات'!$H$6:$H$305,$N38),10),"💬 واتساب"))</f>
        <v/>
      </c>
      <c r="J38" s="53" t="str">
        <f>IF($N38=0,"",IF(INDEX('قاعدة البيانات'!$I$6:$I$305,$N38)="","— مفيش رقم —",HYPERLINK("tel:"&amp;INDEX('قاعدة البيانات'!$I$6:$I$305,$N38),"📞 "&amp;INDEX('قاعدة البيانات'!$I$6:$I$305,$N38))))</f>
        <v/>
      </c>
      <c r="K38" s="54" t="str">
        <f>IF(OR($N38=0,INDEX('قاعدة البيانات'!$I$6:$I$305,$N38)=""),"",HYPERLINK("https://wa.me/20"&amp;RIGHT(INDEX('قاعدة البيانات'!$I$6:$I$305,$N38),10),"💬 واتساب"))</f>
        <v/>
      </c>
      <c r="L38" s="55" t="str">
        <f>IF($N38=0,"",IF(INDEX('قاعدة البيانات'!$J$6:$J$305,$N38)="","—",INDEX('قاعدة البيانات'!$J$6:$J$305,$N38)))</f>
        <v/>
      </c>
      <c r="N38">
        <f>IFERROR(MATCH(33,'قاعدة البيانات'!$W$6:$W$305,0),0)</f>
        <v>0</v>
      </c>
    </row>
    <row r="39" spans="1:14" ht="24" customHeight="1">
      <c r="A39" s="36" t="str">
        <f>IF($N39=0,"",34)</f>
        <v/>
      </c>
      <c r="B39" s="37" t="str">
        <f>IF($N39=0,"",INDEX('قاعدة البيانات'!$C$6:$C$305,$N39))</f>
        <v/>
      </c>
      <c r="C39" s="44" t="str">
        <f>IF($N39=0,"",INDEX('قاعدة البيانات'!$F$6:$F$305,$N39))</f>
        <v/>
      </c>
      <c r="D39" s="41" t="str">
        <f>IF($N39=0,"",INDEX('قاعدة البيانات'!$R$6:$R$305,$N39))</f>
        <v/>
      </c>
      <c r="E39" s="42" t="str">
        <f>IF($N39=0,"",INDEX('قاعدة البيانات'!$S$6:$S$305,$N39))</f>
        <v/>
      </c>
      <c r="F39" s="43" t="str">
        <f>IF($N39=0,"",INDEX('قاعدة البيانات'!$T$6:$T$305,$N39))</f>
        <v/>
      </c>
      <c r="G39" s="44" t="str">
        <f>IF($N39=0,"",INDEX('قاعدة البيانات'!$U$6:$U$305,$N39))</f>
        <v/>
      </c>
      <c r="H39" s="53" t="str">
        <f>IF($N39=0,"",IF(INDEX('قاعدة البيانات'!$H$6:$H$305,$N39)="","— مفيش رقم —",HYPERLINK("tel:"&amp;INDEX('قاعدة البيانات'!$H$6:$H$305,$N39),"📞 "&amp;INDEX('قاعدة البيانات'!$H$6:$H$305,$N39))))</f>
        <v/>
      </c>
      <c r="I39" s="54" t="str">
        <f>IF(OR($N39=0,INDEX('قاعدة البيانات'!$H$6:$H$305,$N39)=""),"",HYPERLINK("https://wa.me/20"&amp;RIGHT(INDEX('قاعدة البيانات'!$H$6:$H$305,$N39),10),"💬 واتساب"))</f>
        <v/>
      </c>
      <c r="J39" s="53" t="str">
        <f>IF($N39=0,"",IF(INDEX('قاعدة البيانات'!$I$6:$I$305,$N39)="","— مفيش رقم —",HYPERLINK("tel:"&amp;INDEX('قاعدة البيانات'!$I$6:$I$305,$N39),"📞 "&amp;INDEX('قاعدة البيانات'!$I$6:$I$305,$N39))))</f>
        <v/>
      </c>
      <c r="K39" s="54" t="str">
        <f>IF(OR($N39=0,INDEX('قاعدة البيانات'!$I$6:$I$305,$N39)=""),"",HYPERLINK("https://wa.me/20"&amp;RIGHT(INDEX('قاعدة البيانات'!$I$6:$I$305,$N39),10),"💬 واتساب"))</f>
        <v/>
      </c>
      <c r="L39" s="55" t="str">
        <f>IF($N39=0,"",IF(INDEX('قاعدة البيانات'!$J$6:$J$305,$N39)="","—",INDEX('قاعدة البيانات'!$J$6:$J$305,$N39)))</f>
        <v/>
      </c>
      <c r="N39">
        <f>IFERROR(MATCH(34,'قاعدة البيانات'!$W$6:$W$305,0),0)</f>
        <v>0</v>
      </c>
    </row>
    <row r="40" spans="1:14" ht="24" customHeight="1">
      <c r="A40" s="36" t="str">
        <f>IF($N40=0,"",35)</f>
        <v/>
      </c>
      <c r="B40" s="37" t="str">
        <f>IF($N40=0,"",INDEX('قاعدة البيانات'!$C$6:$C$305,$N40))</f>
        <v/>
      </c>
      <c r="C40" s="44" t="str">
        <f>IF($N40=0,"",INDEX('قاعدة البيانات'!$F$6:$F$305,$N40))</f>
        <v/>
      </c>
      <c r="D40" s="41" t="str">
        <f>IF($N40=0,"",INDEX('قاعدة البيانات'!$R$6:$R$305,$N40))</f>
        <v/>
      </c>
      <c r="E40" s="42" t="str">
        <f>IF($N40=0,"",INDEX('قاعدة البيانات'!$S$6:$S$305,$N40))</f>
        <v/>
      </c>
      <c r="F40" s="43" t="str">
        <f>IF($N40=0,"",INDEX('قاعدة البيانات'!$T$6:$T$305,$N40))</f>
        <v/>
      </c>
      <c r="G40" s="44" t="str">
        <f>IF($N40=0,"",INDEX('قاعدة البيانات'!$U$6:$U$305,$N40))</f>
        <v/>
      </c>
      <c r="H40" s="53" t="str">
        <f>IF($N40=0,"",IF(INDEX('قاعدة البيانات'!$H$6:$H$305,$N40)="","— مفيش رقم —",HYPERLINK("tel:"&amp;INDEX('قاعدة البيانات'!$H$6:$H$305,$N40),"📞 "&amp;INDEX('قاعدة البيانات'!$H$6:$H$305,$N40))))</f>
        <v/>
      </c>
      <c r="I40" s="54" t="str">
        <f>IF(OR($N40=0,INDEX('قاعدة البيانات'!$H$6:$H$305,$N40)=""),"",HYPERLINK("https://wa.me/20"&amp;RIGHT(INDEX('قاعدة البيانات'!$H$6:$H$305,$N40),10),"💬 واتساب"))</f>
        <v/>
      </c>
      <c r="J40" s="53" t="str">
        <f>IF($N40=0,"",IF(INDEX('قاعدة البيانات'!$I$6:$I$305,$N40)="","— مفيش رقم —",HYPERLINK("tel:"&amp;INDEX('قاعدة البيانات'!$I$6:$I$305,$N40),"📞 "&amp;INDEX('قاعدة البيانات'!$I$6:$I$305,$N40))))</f>
        <v/>
      </c>
      <c r="K40" s="54" t="str">
        <f>IF(OR($N40=0,INDEX('قاعدة البيانات'!$I$6:$I$305,$N40)=""),"",HYPERLINK("https://wa.me/20"&amp;RIGHT(INDEX('قاعدة البيانات'!$I$6:$I$305,$N40),10),"💬 واتساب"))</f>
        <v/>
      </c>
      <c r="L40" s="55" t="str">
        <f>IF($N40=0,"",IF(INDEX('قاعدة البيانات'!$J$6:$J$305,$N40)="","—",INDEX('قاعدة البيانات'!$J$6:$J$305,$N40)))</f>
        <v/>
      </c>
      <c r="N40">
        <f>IFERROR(MATCH(35,'قاعدة البيانات'!$W$6:$W$305,0),0)</f>
        <v>0</v>
      </c>
    </row>
    <row r="41" spans="1:14" ht="24" customHeight="1">
      <c r="A41" s="36" t="str">
        <f>IF($N41=0,"",36)</f>
        <v/>
      </c>
      <c r="B41" s="37" t="str">
        <f>IF($N41=0,"",INDEX('قاعدة البيانات'!$C$6:$C$305,$N41))</f>
        <v/>
      </c>
      <c r="C41" s="44" t="str">
        <f>IF($N41=0,"",INDEX('قاعدة البيانات'!$F$6:$F$305,$N41))</f>
        <v/>
      </c>
      <c r="D41" s="41" t="str">
        <f>IF($N41=0,"",INDEX('قاعدة البيانات'!$R$6:$R$305,$N41))</f>
        <v/>
      </c>
      <c r="E41" s="42" t="str">
        <f>IF($N41=0,"",INDEX('قاعدة البيانات'!$S$6:$S$305,$N41))</f>
        <v/>
      </c>
      <c r="F41" s="43" t="str">
        <f>IF($N41=0,"",INDEX('قاعدة البيانات'!$T$6:$T$305,$N41))</f>
        <v/>
      </c>
      <c r="G41" s="44" t="str">
        <f>IF($N41=0,"",INDEX('قاعدة البيانات'!$U$6:$U$305,$N41))</f>
        <v/>
      </c>
      <c r="H41" s="53" t="str">
        <f>IF($N41=0,"",IF(INDEX('قاعدة البيانات'!$H$6:$H$305,$N41)="","— مفيش رقم —",HYPERLINK("tel:"&amp;INDEX('قاعدة البيانات'!$H$6:$H$305,$N41),"📞 "&amp;INDEX('قاعدة البيانات'!$H$6:$H$305,$N41))))</f>
        <v/>
      </c>
      <c r="I41" s="54" t="str">
        <f>IF(OR($N41=0,INDEX('قاعدة البيانات'!$H$6:$H$305,$N41)=""),"",HYPERLINK("https://wa.me/20"&amp;RIGHT(INDEX('قاعدة البيانات'!$H$6:$H$305,$N41),10),"💬 واتساب"))</f>
        <v/>
      </c>
      <c r="J41" s="53" t="str">
        <f>IF($N41=0,"",IF(INDEX('قاعدة البيانات'!$I$6:$I$305,$N41)="","— مفيش رقم —",HYPERLINK("tel:"&amp;INDEX('قاعدة البيانات'!$I$6:$I$305,$N41),"📞 "&amp;INDEX('قاعدة البيانات'!$I$6:$I$305,$N41))))</f>
        <v/>
      </c>
      <c r="K41" s="54" t="str">
        <f>IF(OR($N41=0,INDEX('قاعدة البيانات'!$I$6:$I$305,$N41)=""),"",HYPERLINK("https://wa.me/20"&amp;RIGHT(INDEX('قاعدة البيانات'!$I$6:$I$305,$N41),10),"💬 واتساب"))</f>
        <v/>
      </c>
      <c r="L41" s="55" t="str">
        <f>IF($N41=0,"",IF(INDEX('قاعدة البيانات'!$J$6:$J$305,$N41)="","—",INDEX('قاعدة البيانات'!$J$6:$J$305,$N41)))</f>
        <v/>
      </c>
      <c r="N41">
        <f>IFERROR(MATCH(36,'قاعدة البيانات'!$W$6:$W$305,0),0)</f>
        <v>0</v>
      </c>
    </row>
    <row r="42" spans="1:14" ht="24" customHeight="1">
      <c r="A42" s="36" t="str">
        <f>IF($N42=0,"",37)</f>
        <v/>
      </c>
      <c r="B42" s="37" t="str">
        <f>IF($N42=0,"",INDEX('قاعدة البيانات'!$C$6:$C$305,$N42))</f>
        <v/>
      </c>
      <c r="C42" s="44" t="str">
        <f>IF($N42=0,"",INDEX('قاعدة البيانات'!$F$6:$F$305,$N42))</f>
        <v/>
      </c>
      <c r="D42" s="41" t="str">
        <f>IF($N42=0,"",INDEX('قاعدة البيانات'!$R$6:$R$305,$N42))</f>
        <v/>
      </c>
      <c r="E42" s="42" t="str">
        <f>IF($N42=0,"",INDEX('قاعدة البيانات'!$S$6:$S$305,$N42))</f>
        <v/>
      </c>
      <c r="F42" s="43" t="str">
        <f>IF($N42=0,"",INDEX('قاعدة البيانات'!$T$6:$T$305,$N42))</f>
        <v/>
      </c>
      <c r="G42" s="44" t="str">
        <f>IF($N42=0,"",INDEX('قاعدة البيانات'!$U$6:$U$305,$N42))</f>
        <v/>
      </c>
      <c r="H42" s="53" t="str">
        <f>IF($N42=0,"",IF(INDEX('قاعدة البيانات'!$H$6:$H$305,$N42)="","— مفيش رقم —",HYPERLINK("tel:"&amp;INDEX('قاعدة البيانات'!$H$6:$H$305,$N42),"📞 "&amp;INDEX('قاعدة البيانات'!$H$6:$H$305,$N42))))</f>
        <v/>
      </c>
      <c r="I42" s="54" t="str">
        <f>IF(OR($N42=0,INDEX('قاعدة البيانات'!$H$6:$H$305,$N42)=""),"",HYPERLINK("https://wa.me/20"&amp;RIGHT(INDEX('قاعدة البيانات'!$H$6:$H$305,$N42),10),"💬 واتساب"))</f>
        <v/>
      </c>
      <c r="J42" s="53" t="str">
        <f>IF($N42=0,"",IF(INDEX('قاعدة البيانات'!$I$6:$I$305,$N42)="","— مفيش رقم —",HYPERLINK("tel:"&amp;INDEX('قاعدة البيانات'!$I$6:$I$305,$N42),"📞 "&amp;INDEX('قاعدة البيانات'!$I$6:$I$305,$N42))))</f>
        <v/>
      </c>
      <c r="K42" s="54" t="str">
        <f>IF(OR($N42=0,INDEX('قاعدة البيانات'!$I$6:$I$305,$N42)=""),"",HYPERLINK("https://wa.me/20"&amp;RIGHT(INDEX('قاعدة البيانات'!$I$6:$I$305,$N42),10),"💬 واتساب"))</f>
        <v/>
      </c>
      <c r="L42" s="55" t="str">
        <f>IF($N42=0,"",IF(INDEX('قاعدة البيانات'!$J$6:$J$305,$N42)="","—",INDEX('قاعدة البيانات'!$J$6:$J$305,$N42)))</f>
        <v/>
      </c>
      <c r="N42">
        <f>IFERROR(MATCH(37,'قاعدة البيانات'!$W$6:$W$305,0),0)</f>
        <v>0</v>
      </c>
    </row>
    <row r="43" spans="1:14" ht="24" customHeight="1">
      <c r="A43" s="36" t="str">
        <f>IF($N43=0,"",38)</f>
        <v/>
      </c>
      <c r="B43" s="37" t="str">
        <f>IF($N43=0,"",INDEX('قاعدة البيانات'!$C$6:$C$305,$N43))</f>
        <v/>
      </c>
      <c r="C43" s="44" t="str">
        <f>IF($N43=0,"",INDEX('قاعدة البيانات'!$F$6:$F$305,$N43))</f>
        <v/>
      </c>
      <c r="D43" s="41" t="str">
        <f>IF($N43=0,"",INDEX('قاعدة البيانات'!$R$6:$R$305,$N43))</f>
        <v/>
      </c>
      <c r="E43" s="42" t="str">
        <f>IF($N43=0,"",INDEX('قاعدة البيانات'!$S$6:$S$305,$N43))</f>
        <v/>
      </c>
      <c r="F43" s="43" t="str">
        <f>IF($N43=0,"",INDEX('قاعدة البيانات'!$T$6:$T$305,$N43))</f>
        <v/>
      </c>
      <c r="G43" s="44" t="str">
        <f>IF($N43=0,"",INDEX('قاعدة البيانات'!$U$6:$U$305,$N43))</f>
        <v/>
      </c>
      <c r="H43" s="53" t="str">
        <f>IF($N43=0,"",IF(INDEX('قاعدة البيانات'!$H$6:$H$305,$N43)="","— مفيش رقم —",HYPERLINK("tel:"&amp;INDEX('قاعدة البيانات'!$H$6:$H$305,$N43),"📞 "&amp;INDEX('قاعدة البيانات'!$H$6:$H$305,$N43))))</f>
        <v/>
      </c>
      <c r="I43" s="54" t="str">
        <f>IF(OR($N43=0,INDEX('قاعدة البيانات'!$H$6:$H$305,$N43)=""),"",HYPERLINK("https://wa.me/20"&amp;RIGHT(INDEX('قاعدة البيانات'!$H$6:$H$305,$N43),10),"💬 واتساب"))</f>
        <v/>
      </c>
      <c r="J43" s="53" t="str">
        <f>IF($N43=0,"",IF(INDEX('قاعدة البيانات'!$I$6:$I$305,$N43)="","— مفيش رقم —",HYPERLINK("tel:"&amp;INDEX('قاعدة البيانات'!$I$6:$I$305,$N43),"📞 "&amp;INDEX('قاعدة البيانات'!$I$6:$I$305,$N43))))</f>
        <v/>
      </c>
      <c r="K43" s="54" t="str">
        <f>IF(OR($N43=0,INDEX('قاعدة البيانات'!$I$6:$I$305,$N43)=""),"",HYPERLINK("https://wa.me/20"&amp;RIGHT(INDEX('قاعدة البيانات'!$I$6:$I$305,$N43),10),"💬 واتساب"))</f>
        <v/>
      </c>
      <c r="L43" s="55" t="str">
        <f>IF($N43=0,"",IF(INDEX('قاعدة البيانات'!$J$6:$J$305,$N43)="","—",INDEX('قاعدة البيانات'!$J$6:$J$305,$N43)))</f>
        <v/>
      </c>
      <c r="N43">
        <f>IFERROR(MATCH(38,'قاعدة البيانات'!$W$6:$W$305,0),0)</f>
        <v>0</v>
      </c>
    </row>
    <row r="44" spans="1:14" ht="24" customHeight="1">
      <c r="A44" s="36" t="str">
        <f>IF($N44=0,"",39)</f>
        <v/>
      </c>
      <c r="B44" s="37" t="str">
        <f>IF($N44=0,"",INDEX('قاعدة البيانات'!$C$6:$C$305,$N44))</f>
        <v/>
      </c>
      <c r="C44" s="44" t="str">
        <f>IF($N44=0,"",INDEX('قاعدة البيانات'!$F$6:$F$305,$N44))</f>
        <v/>
      </c>
      <c r="D44" s="41" t="str">
        <f>IF($N44=0,"",INDEX('قاعدة البيانات'!$R$6:$R$305,$N44))</f>
        <v/>
      </c>
      <c r="E44" s="42" t="str">
        <f>IF($N44=0,"",INDEX('قاعدة البيانات'!$S$6:$S$305,$N44))</f>
        <v/>
      </c>
      <c r="F44" s="43" t="str">
        <f>IF($N44=0,"",INDEX('قاعدة البيانات'!$T$6:$T$305,$N44))</f>
        <v/>
      </c>
      <c r="G44" s="44" t="str">
        <f>IF($N44=0,"",INDEX('قاعدة البيانات'!$U$6:$U$305,$N44))</f>
        <v/>
      </c>
      <c r="H44" s="53" t="str">
        <f>IF($N44=0,"",IF(INDEX('قاعدة البيانات'!$H$6:$H$305,$N44)="","— مفيش رقم —",HYPERLINK("tel:"&amp;INDEX('قاعدة البيانات'!$H$6:$H$305,$N44),"📞 "&amp;INDEX('قاعدة البيانات'!$H$6:$H$305,$N44))))</f>
        <v/>
      </c>
      <c r="I44" s="54" t="str">
        <f>IF(OR($N44=0,INDEX('قاعدة البيانات'!$H$6:$H$305,$N44)=""),"",HYPERLINK("https://wa.me/20"&amp;RIGHT(INDEX('قاعدة البيانات'!$H$6:$H$305,$N44),10),"💬 واتساب"))</f>
        <v/>
      </c>
      <c r="J44" s="53" t="str">
        <f>IF($N44=0,"",IF(INDEX('قاعدة البيانات'!$I$6:$I$305,$N44)="","— مفيش رقم —",HYPERLINK("tel:"&amp;INDEX('قاعدة البيانات'!$I$6:$I$305,$N44),"📞 "&amp;INDEX('قاعدة البيانات'!$I$6:$I$305,$N44))))</f>
        <v/>
      </c>
      <c r="K44" s="54" t="str">
        <f>IF(OR($N44=0,INDEX('قاعدة البيانات'!$I$6:$I$305,$N44)=""),"",HYPERLINK("https://wa.me/20"&amp;RIGHT(INDEX('قاعدة البيانات'!$I$6:$I$305,$N44),10),"💬 واتساب"))</f>
        <v/>
      </c>
      <c r="L44" s="55" t="str">
        <f>IF($N44=0,"",IF(INDEX('قاعدة البيانات'!$J$6:$J$305,$N44)="","—",INDEX('قاعدة البيانات'!$J$6:$J$305,$N44)))</f>
        <v/>
      </c>
      <c r="N44">
        <f>IFERROR(MATCH(39,'قاعدة البيانات'!$W$6:$W$305,0),0)</f>
        <v>0</v>
      </c>
    </row>
    <row r="45" spans="1:14" ht="24" customHeight="1">
      <c r="A45" s="36" t="str">
        <f>IF($N45=0,"",40)</f>
        <v/>
      </c>
      <c r="B45" s="37" t="str">
        <f>IF($N45=0,"",INDEX('قاعدة البيانات'!$C$6:$C$305,$N45))</f>
        <v/>
      </c>
      <c r="C45" s="44" t="str">
        <f>IF($N45=0,"",INDEX('قاعدة البيانات'!$F$6:$F$305,$N45))</f>
        <v/>
      </c>
      <c r="D45" s="41" t="str">
        <f>IF($N45=0,"",INDEX('قاعدة البيانات'!$R$6:$R$305,$N45))</f>
        <v/>
      </c>
      <c r="E45" s="42" t="str">
        <f>IF($N45=0,"",INDEX('قاعدة البيانات'!$S$6:$S$305,$N45))</f>
        <v/>
      </c>
      <c r="F45" s="43" t="str">
        <f>IF($N45=0,"",INDEX('قاعدة البيانات'!$T$6:$T$305,$N45))</f>
        <v/>
      </c>
      <c r="G45" s="44" t="str">
        <f>IF($N45=0,"",INDEX('قاعدة البيانات'!$U$6:$U$305,$N45))</f>
        <v/>
      </c>
      <c r="H45" s="53" t="str">
        <f>IF($N45=0,"",IF(INDEX('قاعدة البيانات'!$H$6:$H$305,$N45)="","— مفيش رقم —",HYPERLINK("tel:"&amp;INDEX('قاعدة البيانات'!$H$6:$H$305,$N45),"📞 "&amp;INDEX('قاعدة البيانات'!$H$6:$H$305,$N45))))</f>
        <v/>
      </c>
      <c r="I45" s="54" t="str">
        <f>IF(OR($N45=0,INDEX('قاعدة البيانات'!$H$6:$H$305,$N45)=""),"",HYPERLINK("https://wa.me/20"&amp;RIGHT(INDEX('قاعدة البيانات'!$H$6:$H$305,$N45),10),"💬 واتساب"))</f>
        <v/>
      </c>
      <c r="J45" s="53" t="str">
        <f>IF($N45=0,"",IF(INDEX('قاعدة البيانات'!$I$6:$I$305,$N45)="","— مفيش رقم —",HYPERLINK("tel:"&amp;INDEX('قاعدة البيانات'!$I$6:$I$305,$N45),"📞 "&amp;INDEX('قاعدة البيانات'!$I$6:$I$305,$N45))))</f>
        <v/>
      </c>
      <c r="K45" s="54" t="str">
        <f>IF(OR($N45=0,INDEX('قاعدة البيانات'!$I$6:$I$305,$N45)=""),"",HYPERLINK("https://wa.me/20"&amp;RIGHT(INDEX('قاعدة البيانات'!$I$6:$I$305,$N45),10),"💬 واتساب"))</f>
        <v/>
      </c>
      <c r="L45" s="55" t="str">
        <f>IF($N45=0,"",IF(INDEX('قاعدة البيانات'!$J$6:$J$305,$N45)="","—",INDEX('قاعدة البيانات'!$J$6:$J$305,$N45)))</f>
        <v/>
      </c>
      <c r="N45">
        <f>IFERROR(MATCH(40,'قاعدة البيانات'!$W$6:$W$305,0),0)</f>
        <v>0</v>
      </c>
    </row>
    <row r="46" spans="1:14" ht="24" customHeight="1">
      <c r="A46" s="36" t="str">
        <f>IF($N46=0,"",41)</f>
        <v/>
      </c>
      <c r="B46" s="37" t="str">
        <f>IF($N46=0,"",INDEX('قاعدة البيانات'!$C$6:$C$305,$N46))</f>
        <v/>
      </c>
      <c r="C46" s="44" t="str">
        <f>IF($N46=0,"",INDEX('قاعدة البيانات'!$F$6:$F$305,$N46))</f>
        <v/>
      </c>
      <c r="D46" s="41" t="str">
        <f>IF($N46=0,"",INDEX('قاعدة البيانات'!$R$6:$R$305,$N46))</f>
        <v/>
      </c>
      <c r="E46" s="42" t="str">
        <f>IF($N46=0,"",INDEX('قاعدة البيانات'!$S$6:$S$305,$N46))</f>
        <v/>
      </c>
      <c r="F46" s="43" t="str">
        <f>IF($N46=0,"",INDEX('قاعدة البيانات'!$T$6:$T$305,$N46))</f>
        <v/>
      </c>
      <c r="G46" s="44" t="str">
        <f>IF($N46=0,"",INDEX('قاعدة البيانات'!$U$6:$U$305,$N46))</f>
        <v/>
      </c>
      <c r="H46" s="53" t="str">
        <f>IF($N46=0,"",IF(INDEX('قاعدة البيانات'!$H$6:$H$305,$N46)="","— مفيش رقم —",HYPERLINK("tel:"&amp;INDEX('قاعدة البيانات'!$H$6:$H$305,$N46),"📞 "&amp;INDEX('قاعدة البيانات'!$H$6:$H$305,$N46))))</f>
        <v/>
      </c>
      <c r="I46" s="54" t="str">
        <f>IF(OR($N46=0,INDEX('قاعدة البيانات'!$H$6:$H$305,$N46)=""),"",HYPERLINK("https://wa.me/20"&amp;RIGHT(INDEX('قاعدة البيانات'!$H$6:$H$305,$N46),10),"💬 واتساب"))</f>
        <v/>
      </c>
      <c r="J46" s="53" t="str">
        <f>IF($N46=0,"",IF(INDEX('قاعدة البيانات'!$I$6:$I$305,$N46)="","— مفيش رقم —",HYPERLINK("tel:"&amp;INDEX('قاعدة البيانات'!$I$6:$I$305,$N46),"📞 "&amp;INDEX('قاعدة البيانات'!$I$6:$I$305,$N46))))</f>
        <v/>
      </c>
      <c r="K46" s="54" t="str">
        <f>IF(OR($N46=0,INDEX('قاعدة البيانات'!$I$6:$I$305,$N46)=""),"",HYPERLINK("https://wa.me/20"&amp;RIGHT(INDEX('قاعدة البيانات'!$I$6:$I$305,$N46),10),"💬 واتساب"))</f>
        <v/>
      </c>
      <c r="L46" s="55" t="str">
        <f>IF($N46=0,"",IF(INDEX('قاعدة البيانات'!$J$6:$J$305,$N46)="","—",INDEX('قاعدة البيانات'!$J$6:$J$305,$N46)))</f>
        <v/>
      </c>
      <c r="N46">
        <f>IFERROR(MATCH(41,'قاعدة البيانات'!$W$6:$W$305,0),0)</f>
        <v>0</v>
      </c>
    </row>
    <row r="47" spans="1:14" ht="24" customHeight="1">
      <c r="A47" s="36" t="str">
        <f>IF($N47=0,"",42)</f>
        <v/>
      </c>
      <c r="B47" s="37" t="str">
        <f>IF($N47=0,"",INDEX('قاعدة البيانات'!$C$6:$C$305,$N47))</f>
        <v/>
      </c>
      <c r="C47" s="44" t="str">
        <f>IF($N47=0,"",INDEX('قاعدة البيانات'!$F$6:$F$305,$N47))</f>
        <v/>
      </c>
      <c r="D47" s="41" t="str">
        <f>IF($N47=0,"",INDEX('قاعدة البيانات'!$R$6:$R$305,$N47))</f>
        <v/>
      </c>
      <c r="E47" s="42" t="str">
        <f>IF($N47=0,"",INDEX('قاعدة البيانات'!$S$6:$S$305,$N47))</f>
        <v/>
      </c>
      <c r="F47" s="43" t="str">
        <f>IF($N47=0,"",INDEX('قاعدة البيانات'!$T$6:$T$305,$N47))</f>
        <v/>
      </c>
      <c r="G47" s="44" t="str">
        <f>IF($N47=0,"",INDEX('قاعدة البيانات'!$U$6:$U$305,$N47))</f>
        <v/>
      </c>
      <c r="H47" s="53" t="str">
        <f>IF($N47=0,"",IF(INDEX('قاعدة البيانات'!$H$6:$H$305,$N47)="","— مفيش رقم —",HYPERLINK("tel:"&amp;INDEX('قاعدة البيانات'!$H$6:$H$305,$N47),"📞 "&amp;INDEX('قاعدة البيانات'!$H$6:$H$305,$N47))))</f>
        <v/>
      </c>
      <c r="I47" s="54" t="str">
        <f>IF(OR($N47=0,INDEX('قاعدة البيانات'!$H$6:$H$305,$N47)=""),"",HYPERLINK("https://wa.me/20"&amp;RIGHT(INDEX('قاعدة البيانات'!$H$6:$H$305,$N47),10),"💬 واتساب"))</f>
        <v/>
      </c>
      <c r="J47" s="53" t="str">
        <f>IF($N47=0,"",IF(INDEX('قاعدة البيانات'!$I$6:$I$305,$N47)="","— مفيش رقم —",HYPERLINK("tel:"&amp;INDEX('قاعدة البيانات'!$I$6:$I$305,$N47),"📞 "&amp;INDEX('قاعدة البيانات'!$I$6:$I$305,$N47))))</f>
        <v/>
      </c>
      <c r="K47" s="54" t="str">
        <f>IF(OR($N47=0,INDEX('قاعدة البيانات'!$I$6:$I$305,$N47)=""),"",HYPERLINK("https://wa.me/20"&amp;RIGHT(INDEX('قاعدة البيانات'!$I$6:$I$305,$N47),10),"💬 واتساب"))</f>
        <v/>
      </c>
      <c r="L47" s="55" t="str">
        <f>IF($N47=0,"",IF(INDEX('قاعدة البيانات'!$J$6:$J$305,$N47)="","—",INDEX('قاعدة البيانات'!$J$6:$J$305,$N47)))</f>
        <v/>
      </c>
      <c r="N47">
        <f>IFERROR(MATCH(42,'قاعدة البيانات'!$W$6:$W$305,0),0)</f>
        <v>0</v>
      </c>
    </row>
    <row r="48" spans="1:14" ht="24" customHeight="1">
      <c r="A48" s="36" t="str">
        <f>IF($N48=0,"",43)</f>
        <v/>
      </c>
      <c r="B48" s="37" t="str">
        <f>IF($N48=0,"",INDEX('قاعدة البيانات'!$C$6:$C$305,$N48))</f>
        <v/>
      </c>
      <c r="C48" s="44" t="str">
        <f>IF($N48=0,"",INDEX('قاعدة البيانات'!$F$6:$F$305,$N48))</f>
        <v/>
      </c>
      <c r="D48" s="41" t="str">
        <f>IF($N48=0,"",INDEX('قاعدة البيانات'!$R$6:$R$305,$N48))</f>
        <v/>
      </c>
      <c r="E48" s="42" t="str">
        <f>IF($N48=0,"",INDEX('قاعدة البيانات'!$S$6:$S$305,$N48))</f>
        <v/>
      </c>
      <c r="F48" s="43" t="str">
        <f>IF($N48=0,"",INDEX('قاعدة البيانات'!$T$6:$T$305,$N48))</f>
        <v/>
      </c>
      <c r="G48" s="44" t="str">
        <f>IF($N48=0,"",INDEX('قاعدة البيانات'!$U$6:$U$305,$N48))</f>
        <v/>
      </c>
      <c r="H48" s="53" t="str">
        <f>IF($N48=0,"",IF(INDEX('قاعدة البيانات'!$H$6:$H$305,$N48)="","— مفيش رقم —",HYPERLINK("tel:"&amp;INDEX('قاعدة البيانات'!$H$6:$H$305,$N48),"📞 "&amp;INDEX('قاعدة البيانات'!$H$6:$H$305,$N48))))</f>
        <v/>
      </c>
      <c r="I48" s="54" t="str">
        <f>IF(OR($N48=0,INDEX('قاعدة البيانات'!$H$6:$H$305,$N48)=""),"",HYPERLINK("https://wa.me/20"&amp;RIGHT(INDEX('قاعدة البيانات'!$H$6:$H$305,$N48),10),"💬 واتساب"))</f>
        <v/>
      </c>
      <c r="J48" s="53" t="str">
        <f>IF($N48=0,"",IF(INDEX('قاعدة البيانات'!$I$6:$I$305,$N48)="","— مفيش رقم —",HYPERLINK("tel:"&amp;INDEX('قاعدة البيانات'!$I$6:$I$305,$N48),"📞 "&amp;INDEX('قاعدة البيانات'!$I$6:$I$305,$N48))))</f>
        <v/>
      </c>
      <c r="K48" s="54" t="str">
        <f>IF(OR($N48=0,INDEX('قاعدة البيانات'!$I$6:$I$305,$N48)=""),"",HYPERLINK("https://wa.me/20"&amp;RIGHT(INDEX('قاعدة البيانات'!$I$6:$I$305,$N48),10),"💬 واتساب"))</f>
        <v/>
      </c>
      <c r="L48" s="55" t="str">
        <f>IF($N48=0,"",IF(INDEX('قاعدة البيانات'!$J$6:$J$305,$N48)="","—",INDEX('قاعدة البيانات'!$J$6:$J$305,$N48)))</f>
        <v/>
      </c>
      <c r="N48">
        <f>IFERROR(MATCH(43,'قاعدة البيانات'!$W$6:$W$305,0),0)</f>
        <v>0</v>
      </c>
    </row>
    <row r="49" spans="1:14" ht="24" customHeight="1">
      <c r="A49" s="36" t="str">
        <f>IF($N49=0,"",44)</f>
        <v/>
      </c>
      <c r="B49" s="37" t="str">
        <f>IF($N49=0,"",INDEX('قاعدة البيانات'!$C$6:$C$305,$N49))</f>
        <v/>
      </c>
      <c r="C49" s="44" t="str">
        <f>IF($N49=0,"",INDEX('قاعدة البيانات'!$F$6:$F$305,$N49))</f>
        <v/>
      </c>
      <c r="D49" s="41" t="str">
        <f>IF($N49=0,"",INDEX('قاعدة البيانات'!$R$6:$R$305,$N49))</f>
        <v/>
      </c>
      <c r="E49" s="42" t="str">
        <f>IF($N49=0,"",INDEX('قاعدة البيانات'!$S$6:$S$305,$N49))</f>
        <v/>
      </c>
      <c r="F49" s="43" t="str">
        <f>IF($N49=0,"",INDEX('قاعدة البيانات'!$T$6:$T$305,$N49))</f>
        <v/>
      </c>
      <c r="G49" s="44" t="str">
        <f>IF($N49=0,"",INDEX('قاعدة البيانات'!$U$6:$U$305,$N49))</f>
        <v/>
      </c>
      <c r="H49" s="53" t="str">
        <f>IF($N49=0,"",IF(INDEX('قاعدة البيانات'!$H$6:$H$305,$N49)="","— مفيش رقم —",HYPERLINK("tel:"&amp;INDEX('قاعدة البيانات'!$H$6:$H$305,$N49),"📞 "&amp;INDEX('قاعدة البيانات'!$H$6:$H$305,$N49))))</f>
        <v/>
      </c>
      <c r="I49" s="54" t="str">
        <f>IF(OR($N49=0,INDEX('قاعدة البيانات'!$H$6:$H$305,$N49)=""),"",HYPERLINK("https://wa.me/20"&amp;RIGHT(INDEX('قاعدة البيانات'!$H$6:$H$305,$N49),10),"💬 واتساب"))</f>
        <v/>
      </c>
      <c r="J49" s="53" t="str">
        <f>IF($N49=0,"",IF(INDEX('قاعدة البيانات'!$I$6:$I$305,$N49)="","— مفيش رقم —",HYPERLINK("tel:"&amp;INDEX('قاعدة البيانات'!$I$6:$I$305,$N49),"📞 "&amp;INDEX('قاعدة البيانات'!$I$6:$I$305,$N49))))</f>
        <v/>
      </c>
      <c r="K49" s="54" t="str">
        <f>IF(OR($N49=0,INDEX('قاعدة البيانات'!$I$6:$I$305,$N49)=""),"",HYPERLINK("https://wa.me/20"&amp;RIGHT(INDEX('قاعدة البيانات'!$I$6:$I$305,$N49),10),"💬 واتساب"))</f>
        <v/>
      </c>
      <c r="L49" s="55" t="str">
        <f>IF($N49=0,"",IF(INDEX('قاعدة البيانات'!$J$6:$J$305,$N49)="","—",INDEX('قاعدة البيانات'!$J$6:$J$305,$N49)))</f>
        <v/>
      </c>
      <c r="N49">
        <f>IFERROR(MATCH(44,'قاعدة البيانات'!$W$6:$W$305,0),0)</f>
        <v>0</v>
      </c>
    </row>
    <row r="50" spans="1:14" ht="24" customHeight="1">
      <c r="A50" s="36" t="str">
        <f>IF($N50=0,"",45)</f>
        <v/>
      </c>
      <c r="B50" s="37" t="str">
        <f>IF($N50=0,"",INDEX('قاعدة البيانات'!$C$6:$C$305,$N50))</f>
        <v/>
      </c>
      <c r="C50" s="44" t="str">
        <f>IF($N50=0,"",INDEX('قاعدة البيانات'!$F$6:$F$305,$N50))</f>
        <v/>
      </c>
      <c r="D50" s="41" t="str">
        <f>IF($N50=0,"",INDEX('قاعدة البيانات'!$R$6:$R$305,$N50))</f>
        <v/>
      </c>
      <c r="E50" s="42" t="str">
        <f>IF($N50=0,"",INDEX('قاعدة البيانات'!$S$6:$S$305,$N50))</f>
        <v/>
      </c>
      <c r="F50" s="43" t="str">
        <f>IF($N50=0,"",INDEX('قاعدة البيانات'!$T$6:$T$305,$N50))</f>
        <v/>
      </c>
      <c r="G50" s="44" t="str">
        <f>IF($N50=0,"",INDEX('قاعدة البيانات'!$U$6:$U$305,$N50))</f>
        <v/>
      </c>
      <c r="H50" s="53" t="str">
        <f>IF($N50=0,"",IF(INDEX('قاعدة البيانات'!$H$6:$H$305,$N50)="","— مفيش رقم —",HYPERLINK("tel:"&amp;INDEX('قاعدة البيانات'!$H$6:$H$305,$N50),"📞 "&amp;INDEX('قاعدة البيانات'!$H$6:$H$305,$N50))))</f>
        <v/>
      </c>
      <c r="I50" s="54" t="str">
        <f>IF(OR($N50=0,INDEX('قاعدة البيانات'!$H$6:$H$305,$N50)=""),"",HYPERLINK("https://wa.me/20"&amp;RIGHT(INDEX('قاعدة البيانات'!$H$6:$H$305,$N50),10),"💬 واتساب"))</f>
        <v/>
      </c>
      <c r="J50" s="53" t="str">
        <f>IF($N50=0,"",IF(INDEX('قاعدة البيانات'!$I$6:$I$305,$N50)="","— مفيش رقم —",HYPERLINK("tel:"&amp;INDEX('قاعدة البيانات'!$I$6:$I$305,$N50),"📞 "&amp;INDEX('قاعدة البيانات'!$I$6:$I$305,$N50))))</f>
        <v/>
      </c>
      <c r="K50" s="54" t="str">
        <f>IF(OR($N50=0,INDEX('قاعدة البيانات'!$I$6:$I$305,$N50)=""),"",HYPERLINK("https://wa.me/20"&amp;RIGHT(INDEX('قاعدة البيانات'!$I$6:$I$305,$N50),10),"💬 واتساب"))</f>
        <v/>
      </c>
      <c r="L50" s="55" t="str">
        <f>IF($N50=0,"",IF(INDEX('قاعدة البيانات'!$J$6:$J$305,$N50)="","—",INDEX('قاعدة البيانات'!$J$6:$J$305,$N50)))</f>
        <v/>
      </c>
      <c r="N50">
        <f>IFERROR(MATCH(45,'قاعدة البيانات'!$W$6:$W$305,0),0)</f>
        <v>0</v>
      </c>
    </row>
    <row r="51" spans="1:14" ht="24" customHeight="1">
      <c r="A51" s="36" t="str">
        <f>IF($N51=0,"",46)</f>
        <v/>
      </c>
      <c r="B51" s="37" t="str">
        <f>IF($N51=0,"",INDEX('قاعدة البيانات'!$C$6:$C$305,$N51))</f>
        <v/>
      </c>
      <c r="C51" s="44" t="str">
        <f>IF($N51=0,"",INDEX('قاعدة البيانات'!$F$6:$F$305,$N51))</f>
        <v/>
      </c>
      <c r="D51" s="41" t="str">
        <f>IF($N51=0,"",INDEX('قاعدة البيانات'!$R$6:$R$305,$N51))</f>
        <v/>
      </c>
      <c r="E51" s="42" t="str">
        <f>IF($N51=0,"",INDEX('قاعدة البيانات'!$S$6:$S$305,$N51))</f>
        <v/>
      </c>
      <c r="F51" s="43" t="str">
        <f>IF($N51=0,"",INDEX('قاعدة البيانات'!$T$6:$T$305,$N51))</f>
        <v/>
      </c>
      <c r="G51" s="44" t="str">
        <f>IF($N51=0,"",INDEX('قاعدة البيانات'!$U$6:$U$305,$N51))</f>
        <v/>
      </c>
      <c r="H51" s="53" t="str">
        <f>IF($N51=0,"",IF(INDEX('قاعدة البيانات'!$H$6:$H$305,$N51)="","— مفيش رقم —",HYPERLINK("tel:"&amp;INDEX('قاعدة البيانات'!$H$6:$H$305,$N51),"📞 "&amp;INDEX('قاعدة البيانات'!$H$6:$H$305,$N51))))</f>
        <v/>
      </c>
      <c r="I51" s="54" t="str">
        <f>IF(OR($N51=0,INDEX('قاعدة البيانات'!$H$6:$H$305,$N51)=""),"",HYPERLINK("https://wa.me/20"&amp;RIGHT(INDEX('قاعدة البيانات'!$H$6:$H$305,$N51),10),"💬 واتساب"))</f>
        <v/>
      </c>
      <c r="J51" s="53" t="str">
        <f>IF($N51=0,"",IF(INDEX('قاعدة البيانات'!$I$6:$I$305,$N51)="","— مفيش رقم —",HYPERLINK("tel:"&amp;INDEX('قاعدة البيانات'!$I$6:$I$305,$N51),"📞 "&amp;INDEX('قاعدة البيانات'!$I$6:$I$305,$N51))))</f>
        <v/>
      </c>
      <c r="K51" s="54" t="str">
        <f>IF(OR($N51=0,INDEX('قاعدة البيانات'!$I$6:$I$305,$N51)=""),"",HYPERLINK("https://wa.me/20"&amp;RIGHT(INDEX('قاعدة البيانات'!$I$6:$I$305,$N51),10),"💬 واتساب"))</f>
        <v/>
      </c>
      <c r="L51" s="55" t="str">
        <f>IF($N51=0,"",IF(INDEX('قاعدة البيانات'!$J$6:$J$305,$N51)="","—",INDEX('قاعدة البيانات'!$J$6:$J$305,$N51)))</f>
        <v/>
      </c>
      <c r="N51">
        <f>IFERROR(MATCH(46,'قاعدة البيانات'!$W$6:$W$305,0),0)</f>
        <v>0</v>
      </c>
    </row>
    <row r="52" spans="1:14" ht="24" customHeight="1">
      <c r="A52" s="36" t="str">
        <f>IF($N52=0,"",47)</f>
        <v/>
      </c>
      <c r="B52" s="37" t="str">
        <f>IF($N52=0,"",INDEX('قاعدة البيانات'!$C$6:$C$305,$N52))</f>
        <v/>
      </c>
      <c r="C52" s="44" t="str">
        <f>IF($N52=0,"",INDEX('قاعدة البيانات'!$F$6:$F$305,$N52))</f>
        <v/>
      </c>
      <c r="D52" s="41" t="str">
        <f>IF($N52=0,"",INDEX('قاعدة البيانات'!$R$6:$R$305,$N52))</f>
        <v/>
      </c>
      <c r="E52" s="42" t="str">
        <f>IF($N52=0,"",INDEX('قاعدة البيانات'!$S$6:$S$305,$N52))</f>
        <v/>
      </c>
      <c r="F52" s="43" t="str">
        <f>IF($N52=0,"",INDEX('قاعدة البيانات'!$T$6:$T$305,$N52))</f>
        <v/>
      </c>
      <c r="G52" s="44" t="str">
        <f>IF($N52=0,"",INDEX('قاعدة البيانات'!$U$6:$U$305,$N52))</f>
        <v/>
      </c>
      <c r="H52" s="53" t="str">
        <f>IF($N52=0,"",IF(INDEX('قاعدة البيانات'!$H$6:$H$305,$N52)="","— مفيش رقم —",HYPERLINK("tel:"&amp;INDEX('قاعدة البيانات'!$H$6:$H$305,$N52),"📞 "&amp;INDEX('قاعدة البيانات'!$H$6:$H$305,$N52))))</f>
        <v/>
      </c>
      <c r="I52" s="54" t="str">
        <f>IF(OR($N52=0,INDEX('قاعدة البيانات'!$H$6:$H$305,$N52)=""),"",HYPERLINK("https://wa.me/20"&amp;RIGHT(INDEX('قاعدة البيانات'!$H$6:$H$305,$N52),10),"💬 واتساب"))</f>
        <v/>
      </c>
      <c r="J52" s="53" t="str">
        <f>IF($N52=0,"",IF(INDEX('قاعدة البيانات'!$I$6:$I$305,$N52)="","— مفيش رقم —",HYPERLINK("tel:"&amp;INDEX('قاعدة البيانات'!$I$6:$I$305,$N52),"📞 "&amp;INDEX('قاعدة البيانات'!$I$6:$I$305,$N52))))</f>
        <v/>
      </c>
      <c r="K52" s="54" t="str">
        <f>IF(OR($N52=0,INDEX('قاعدة البيانات'!$I$6:$I$305,$N52)=""),"",HYPERLINK("https://wa.me/20"&amp;RIGHT(INDEX('قاعدة البيانات'!$I$6:$I$305,$N52),10),"💬 واتساب"))</f>
        <v/>
      </c>
      <c r="L52" s="55" t="str">
        <f>IF($N52=0,"",IF(INDEX('قاعدة البيانات'!$J$6:$J$305,$N52)="","—",INDEX('قاعدة البيانات'!$J$6:$J$305,$N52)))</f>
        <v/>
      </c>
      <c r="N52">
        <f>IFERROR(MATCH(47,'قاعدة البيانات'!$W$6:$W$305,0),0)</f>
        <v>0</v>
      </c>
    </row>
    <row r="53" spans="1:14" ht="24" customHeight="1">
      <c r="A53" s="36" t="str">
        <f>IF($N53=0,"",48)</f>
        <v/>
      </c>
      <c r="B53" s="37" t="str">
        <f>IF($N53=0,"",INDEX('قاعدة البيانات'!$C$6:$C$305,$N53))</f>
        <v/>
      </c>
      <c r="C53" s="44" t="str">
        <f>IF($N53=0,"",INDEX('قاعدة البيانات'!$F$6:$F$305,$N53))</f>
        <v/>
      </c>
      <c r="D53" s="41" t="str">
        <f>IF($N53=0,"",INDEX('قاعدة البيانات'!$R$6:$R$305,$N53))</f>
        <v/>
      </c>
      <c r="E53" s="42" t="str">
        <f>IF($N53=0,"",INDEX('قاعدة البيانات'!$S$6:$S$305,$N53))</f>
        <v/>
      </c>
      <c r="F53" s="43" t="str">
        <f>IF($N53=0,"",INDEX('قاعدة البيانات'!$T$6:$T$305,$N53))</f>
        <v/>
      </c>
      <c r="G53" s="44" t="str">
        <f>IF($N53=0,"",INDEX('قاعدة البيانات'!$U$6:$U$305,$N53))</f>
        <v/>
      </c>
      <c r="H53" s="53" t="str">
        <f>IF($N53=0,"",IF(INDEX('قاعدة البيانات'!$H$6:$H$305,$N53)="","— مفيش رقم —",HYPERLINK("tel:"&amp;INDEX('قاعدة البيانات'!$H$6:$H$305,$N53),"📞 "&amp;INDEX('قاعدة البيانات'!$H$6:$H$305,$N53))))</f>
        <v/>
      </c>
      <c r="I53" s="54" t="str">
        <f>IF(OR($N53=0,INDEX('قاعدة البيانات'!$H$6:$H$305,$N53)=""),"",HYPERLINK("https://wa.me/20"&amp;RIGHT(INDEX('قاعدة البيانات'!$H$6:$H$305,$N53),10),"💬 واتساب"))</f>
        <v/>
      </c>
      <c r="J53" s="53" t="str">
        <f>IF($N53=0,"",IF(INDEX('قاعدة البيانات'!$I$6:$I$305,$N53)="","— مفيش رقم —",HYPERLINK("tel:"&amp;INDEX('قاعدة البيانات'!$I$6:$I$305,$N53),"📞 "&amp;INDEX('قاعدة البيانات'!$I$6:$I$305,$N53))))</f>
        <v/>
      </c>
      <c r="K53" s="54" t="str">
        <f>IF(OR($N53=0,INDEX('قاعدة البيانات'!$I$6:$I$305,$N53)=""),"",HYPERLINK("https://wa.me/20"&amp;RIGHT(INDEX('قاعدة البيانات'!$I$6:$I$305,$N53),10),"💬 واتساب"))</f>
        <v/>
      </c>
      <c r="L53" s="55" t="str">
        <f>IF($N53=0,"",IF(INDEX('قاعدة البيانات'!$J$6:$J$305,$N53)="","—",INDEX('قاعدة البيانات'!$J$6:$J$305,$N53)))</f>
        <v/>
      </c>
      <c r="N53">
        <f>IFERROR(MATCH(48,'قاعدة البيانات'!$W$6:$W$305,0),0)</f>
        <v>0</v>
      </c>
    </row>
    <row r="54" spans="1:14" ht="24" customHeight="1">
      <c r="A54" s="36" t="str">
        <f>IF($N54=0,"",49)</f>
        <v/>
      </c>
      <c r="B54" s="37" t="str">
        <f>IF($N54=0,"",INDEX('قاعدة البيانات'!$C$6:$C$305,$N54))</f>
        <v/>
      </c>
      <c r="C54" s="44" t="str">
        <f>IF($N54=0,"",INDEX('قاعدة البيانات'!$F$6:$F$305,$N54))</f>
        <v/>
      </c>
      <c r="D54" s="41" t="str">
        <f>IF($N54=0,"",INDEX('قاعدة البيانات'!$R$6:$R$305,$N54))</f>
        <v/>
      </c>
      <c r="E54" s="42" t="str">
        <f>IF($N54=0,"",INDEX('قاعدة البيانات'!$S$6:$S$305,$N54))</f>
        <v/>
      </c>
      <c r="F54" s="43" t="str">
        <f>IF($N54=0,"",INDEX('قاعدة البيانات'!$T$6:$T$305,$N54))</f>
        <v/>
      </c>
      <c r="G54" s="44" t="str">
        <f>IF($N54=0,"",INDEX('قاعدة البيانات'!$U$6:$U$305,$N54))</f>
        <v/>
      </c>
      <c r="H54" s="53" t="str">
        <f>IF($N54=0,"",IF(INDEX('قاعدة البيانات'!$H$6:$H$305,$N54)="","— مفيش رقم —",HYPERLINK("tel:"&amp;INDEX('قاعدة البيانات'!$H$6:$H$305,$N54),"📞 "&amp;INDEX('قاعدة البيانات'!$H$6:$H$305,$N54))))</f>
        <v/>
      </c>
      <c r="I54" s="54" t="str">
        <f>IF(OR($N54=0,INDEX('قاعدة البيانات'!$H$6:$H$305,$N54)=""),"",HYPERLINK("https://wa.me/20"&amp;RIGHT(INDEX('قاعدة البيانات'!$H$6:$H$305,$N54),10),"💬 واتساب"))</f>
        <v/>
      </c>
      <c r="J54" s="53" t="str">
        <f>IF($N54=0,"",IF(INDEX('قاعدة البيانات'!$I$6:$I$305,$N54)="","— مفيش رقم —",HYPERLINK("tel:"&amp;INDEX('قاعدة البيانات'!$I$6:$I$305,$N54),"📞 "&amp;INDEX('قاعدة البيانات'!$I$6:$I$305,$N54))))</f>
        <v/>
      </c>
      <c r="K54" s="54" t="str">
        <f>IF(OR($N54=0,INDEX('قاعدة البيانات'!$I$6:$I$305,$N54)=""),"",HYPERLINK("https://wa.me/20"&amp;RIGHT(INDEX('قاعدة البيانات'!$I$6:$I$305,$N54),10),"💬 واتساب"))</f>
        <v/>
      </c>
      <c r="L54" s="55" t="str">
        <f>IF($N54=0,"",IF(INDEX('قاعدة البيانات'!$J$6:$J$305,$N54)="","—",INDEX('قاعدة البيانات'!$J$6:$J$305,$N54)))</f>
        <v/>
      </c>
      <c r="N54">
        <f>IFERROR(MATCH(49,'قاعدة البيانات'!$W$6:$W$305,0),0)</f>
        <v>0</v>
      </c>
    </row>
    <row r="55" spans="1:14" ht="24" customHeight="1">
      <c r="A55" s="36" t="str">
        <f>IF($N55=0,"",50)</f>
        <v/>
      </c>
      <c r="B55" s="37" t="str">
        <f>IF($N55=0,"",INDEX('قاعدة البيانات'!$C$6:$C$305,$N55))</f>
        <v/>
      </c>
      <c r="C55" s="44" t="str">
        <f>IF($N55=0,"",INDEX('قاعدة البيانات'!$F$6:$F$305,$N55))</f>
        <v/>
      </c>
      <c r="D55" s="41" t="str">
        <f>IF($N55=0,"",INDEX('قاعدة البيانات'!$R$6:$R$305,$N55))</f>
        <v/>
      </c>
      <c r="E55" s="42" t="str">
        <f>IF($N55=0,"",INDEX('قاعدة البيانات'!$S$6:$S$305,$N55))</f>
        <v/>
      </c>
      <c r="F55" s="43" t="str">
        <f>IF($N55=0,"",INDEX('قاعدة البيانات'!$T$6:$T$305,$N55))</f>
        <v/>
      </c>
      <c r="G55" s="44" t="str">
        <f>IF($N55=0,"",INDEX('قاعدة البيانات'!$U$6:$U$305,$N55))</f>
        <v/>
      </c>
      <c r="H55" s="53" t="str">
        <f>IF($N55=0,"",IF(INDEX('قاعدة البيانات'!$H$6:$H$305,$N55)="","— مفيش رقم —",HYPERLINK("tel:"&amp;INDEX('قاعدة البيانات'!$H$6:$H$305,$N55),"📞 "&amp;INDEX('قاعدة البيانات'!$H$6:$H$305,$N55))))</f>
        <v/>
      </c>
      <c r="I55" s="54" t="str">
        <f>IF(OR($N55=0,INDEX('قاعدة البيانات'!$H$6:$H$305,$N55)=""),"",HYPERLINK("https://wa.me/20"&amp;RIGHT(INDEX('قاعدة البيانات'!$H$6:$H$305,$N55),10),"💬 واتساب"))</f>
        <v/>
      </c>
      <c r="J55" s="53" t="str">
        <f>IF($N55=0,"",IF(INDEX('قاعدة البيانات'!$I$6:$I$305,$N55)="","— مفيش رقم —",HYPERLINK("tel:"&amp;INDEX('قاعدة البيانات'!$I$6:$I$305,$N55),"📞 "&amp;INDEX('قاعدة البيانات'!$I$6:$I$305,$N55))))</f>
        <v/>
      </c>
      <c r="K55" s="54" t="str">
        <f>IF(OR($N55=0,INDEX('قاعدة البيانات'!$I$6:$I$305,$N55)=""),"",HYPERLINK("https://wa.me/20"&amp;RIGHT(INDEX('قاعدة البيانات'!$I$6:$I$305,$N55),10),"💬 واتساب"))</f>
        <v/>
      </c>
      <c r="L55" s="55" t="str">
        <f>IF($N55=0,"",IF(INDEX('قاعدة البيانات'!$J$6:$J$305,$N55)="","—",INDEX('قاعدة البيانات'!$J$6:$J$305,$N55)))</f>
        <v/>
      </c>
      <c r="N55">
        <f>IFERROR(MATCH(50,'قاعدة البيانات'!$W$6:$W$305,0),0)</f>
        <v>0</v>
      </c>
    </row>
    <row r="56" spans="1:14" ht="24" customHeight="1">
      <c r="A56" s="36" t="str">
        <f>IF($N56=0,"",51)</f>
        <v/>
      </c>
      <c r="B56" s="37" t="str">
        <f>IF($N56=0,"",INDEX('قاعدة البيانات'!$C$6:$C$305,$N56))</f>
        <v/>
      </c>
      <c r="C56" s="44" t="str">
        <f>IF($N56=0,"",INDEX('قاعدة البيانات'!$F$6:$F$305,$N56))</f>
        <v/>
      </c>
      <c r="D56" s="41" t="str">
        <f>IF($N56=0,"",INDEX('قاعدة البيانات'!$R$6:$R$305,$N56))</f>
        <v/>
      </c>
      <c r="E56" s="42" t="str">
        <f>IF($N56=0,"",INDEX('قاعدة البيانات'!$S$6:$S$305,$N56))</f>
        <v/>
      </c>
      <c r="F56" s="43" t="str">
        <f>IF($N56=0,"",INDEX('قاعدة البيانات'!$T$6:$T$305,$N56))</f>
        <v/>
      </c>
      <c r="G56" s="44" t="str">
        <f>IF($N56=0,"",INDEX('قاعدة البيانات'!$U$6:$U$305,$N56))</f>
        <v/>
      </c>
      <c r="H56" s="53" t="str">
        <f>IF($N56=0,"",IF(INDEX('قاعدة البيانات'!$H$6:$H$305,$N56)="","— مفيش رقم —",HYPERLINK("tel:"&amp;INDEX('قاعدة البيانات'!$H$6:$H$305,$N56),"📞 "&amp;INDEX('قاعدة البيانات'!$H$6:$H$305,$N56))))</f>
        <v/>
      </c>
      <c r="I56" s="54" t="str">
        <f>IF(OR($N56=0,INDEX('قاعدة البيانات'!$H$6:$H$305,$N56)=""),"",HYPERLINK("https://wa.me/20"&amp;RIGHT(INDEX('قاعدة البيانات'!$H$6:$H$305,$N56),10),"💬 واتساب"))</f>
        <v/>
      </c>
      <c r="J56" s="53" t="str">
        <f>IF($N56=0,"",IF(INDEX('قاعدة البيانات'!$I$6:$I$305,$N56)="","— مفيش رقم —",HYPERLINK("tel:"&amp;INDEX('قاعدة البيانات'!$I$6:$I$305,$N56),"📞 "&amp;INDEX('قاعدة البيانات'!$I$6:$I$305,$N56))))</f>
        <v/>
      </c>
      <c r="K56" s="54" t="str">
        <f>IF(OR($N56=0,INDEX('قاعدة البيانات'!$I$6:$I$305,$N56)=""),"",HYPERLINK("https://wa.me/20"&amp;RIGHT(INDEX('قاعدة البيانات'!$I$6:$I$305,$N56),10),"💬 واتساب"))</f>
        <v/>
      </c>
      <c r="L56" s="55" t="str">
        <f>IF($N56=0,"",IF(INDEX('قاعدة البيانات'!$J$6:$J$305,$N56)="","—",INDEX('قاعدة البيانات'!$J$6:$J$305,$N56)))</f>
        <v/>
      </c>
      <c r="N56">
        <f>IFERROR(MATCH(51,'قاعدة البيانات'!$W$6:$W$305,0),0)</f>
        <v>0</v>
      </c>
    </row>
    <row r="57" spans="1:14" ht="24" customHeight="1">
      <c r="A57" s="36" t="str">
        <f>IF($N57=0,"",52)</f>
        <v/>
      </c>
      <c r="B57" s="37" t="str">
        <f>IF($N57=0,"",INDEX('قاعدة البيانات'!$C$6:$C$305,$N57))</f>
        <v/>
      </c>
      <c r="C57" s="44" t="str">
        <f>IF($N57=0,"",INDEX('قاعدة البيانات'!$F$6:$F$305,$N57))</f>
        <v/>
      </c>
      <c r="D57" s="41" t="str">
        <f>IF($N57=0,"",INDEX('قاعدة البيانات'!$R$6:$R$305,$N57))</f>
        <v/>
      </c>
      <c r="E57" s="42" t="str">
        <f>IF($N57=0,"",INDEX('قاعدة البيانات'!$S$6:$S$305,$N57))</f>
        <v/>
      </c>
      <c r="F57" s="43" t="str">
        <f>IF($N57=0,"",INDEX('قاعدة البيانات'!$T$6:$T$305,$N57))</f>
        <v/>
      </c>
      <c r="G57" s="44" t="str">
        <f>IF($N57=0,"",INDEX('قاعدة البيانات'!$U$6:$U$305,$N57))</f>
        <v/>
      </c>
      <c r="H57" s="53" t="str">
        <f>IF($N57=0,"",IF(INDEX('قاعدة البيانات'!$H$6:$H$305,$N57)="","— مفيش رقم —",HYPERLINK("tel:"&amp;INDEX('قاعدة البيانات'!$H$6:$H$305,$N57),"📞 "&amp;INDEX('قاعدة البيانات'!$H$6:$H$305,$N57))))</f>
        <v/>
      </c>
      <c r="I57" s="54" t="str">
        <f>IF(OR($N57=0,INDEX('قاعدة البيانات'!$H$6:$H$305,$N57)=""),"",HYPERLINK("https://wa.me/20"&amp;RIGHT(INDEX('قاعدة البيانات'!$H$6:$H$305,$N57),10),"💬 واتساب"))</f>
        <v/>
      </c>
      <c r="J57" s="53" t="str">
        <f>IF($N57=0,"",IF(INDEX('قاعدة البيانات'!$I$6:$I$305,$N57)="","— مفيش رقم —",HYPERLINK("tel:"&amp;INDEX('قاعدة البيانات'!$I$6:$I$305,$N57),"📞 "&amp;INDEX('قاعدة البيانات'!$I$6:$I$305,$N57))))</f>
        <v/>
      </c>
      <c r="K57" s="54" t="str">
        <f>IF(OR($N57=0,INDEX('قاعدة البيانات'!$I$6:$I$305,$N57)=""),"",HYPERLINK("https://wa.me/20"&amp;RIGHT(INDEX('قاعدة البيانات'!$I$6:$I$305,$N57),10),"💬 واتساب"))</f>
        <v/>
      </c>
      <c r="L57" s="55" t="str">
        <f>IF($N57=0,"",IF(INDEX('قاعدة البيانات'!$J$6:$J$305,$N57)="","—",INDEX('قاعدة البيانات'!$J$6:$J$305,$N57)))</f>
        <v/>
      </c>
      <c r="N57">
        <f>IFERROR(MATCH(52,'قاعدة البيانات'!$W$6:$W$305,0),0)</f>
        <v>0</v>
      </c>
    </row>
    <row r="58" spans="1:14" ht="24" customHeight="1">
      <c r="A58" s="36" t="str">
        <f>IF($N58=0,"",53)</f>
        <v/>
      </c>
      <c r="B58" s="37" t="str">
        <f>IF($N58=0,"",INDEX('قاعدة البيانات'!$C$6:$C$305,$N58))</f>
        <v/>
      </c>
      <c r="C58" s="44" t="str">
        <f>IF($N58=0,"",INDEX('قاعدة البيانات'!$F$6:$F$305,$N58))</f>
        <v/>
      </c>
      <c r="D58" s="41" t="str">
        <f>IF($N58=0,"",INDEX('قاعدة البيانات'!$R$6:$R$305,$N58))</f>
        <v/>
      </c>
      <c r="E58" s="42" t="str">
        <f>IF($N58=0,"",INDEX('قاعدة البيانات'!$S$6:$S$305,$N58))</f>
        <v/>
      </c>
      <c r="F58" s="43" t="str">
        <f>IF($N58=0,"",INDEX('قاعدة البيانات'!$T$6:$T$305,$N58))</f>
        <v/>
      </c>
      <c r="G58" s="44" t="str">
        <f>IF($N58=0,"",INDEX('قاعدة البيانات'!$U$6:$U$305,$N58))</f>
        <v/>
      </c>
      <c r="H58" s="53" t="str">
        <f>IF($N58=0,"",IF(INDEX('قاعدة البيانات'!$H$6:$H$305,$N58)="","— مفيش رقم —",HYPERLINK("tel:"&amp;INDEX('قاعدة البيانات'!$H$6:$H$305,$N58),"📞 "&amp;INDEX('قاعدة البيانات'!$H$6:$H$305,$N58))))</f>
        <v/>
      </c>
      <c r="I58" s="54" t="str">
        <f>IF(OR($N58=0,INDEX('قاعدة البيانات'!$H$6:$H$305,$N58)=""),"",HYPERLINK("https://wa.me/20"&amp;RIGHT(INDEX('قاعدة البيانات'!$H$6:$H$305,$N58),10),"💬 واتساب"))</f>
        <v/>
      </c>
      <c r="J58" s="53" t="str">
        <f>IF($N58=0,"",IF(INDEX('قاعدة البيانات'!$I$6:$I$305,$N58)="","— مفيش رقم —",HYPERLINK("tel:"&amp;INDEX('قاعدة البيانات'!$I$6:$I$305,$N58),"📞 "&amp;INDEX('قاعدة البيانات'!$I$6:$I$305,$N58))))</f>
        <v/>
      </c>
      <c r="K58" s="54" t="str">
        <f>IF(OR($N58=0,INDEX('قاعدة البيانات'!$I$6:$I$305,$N58)=""),"",HYPERLINK("https://wa.me/20"&amp;RIGHT(INDEX('قاعدة البيانات'!$I$6:$I$305,$N58),10),"💬 واتساب"))</f>
        <v/>
      </c>
      <c r="L58" s="55" t="str">
        <f>IF($N58=0,"",IF(INDEX('قاعدة البيانات'!$J$6:$J$305,$N58)="","—",INDEX('قاعدة البيانات'!$J$6:$J$305,$N58)))</f>
        <v/>
      </c>
      <c r="N58">
        <f>IFERROR(MATCH(53,'قاعدة البيانات'!$W$6:$W$305,0),0)</f>
        <v>0</v>
      </c>
    </row>
    <row r="59" spans="1:14" ht="24" customHeight="1">
      <c r="A59" s="36" t="str">
        <f>IF($N59=0,"",54)</f>
        <v/>
      </c>
      <c r="B59" s="37" t="str">
        <f>IF($N59=0,"",INDEX('قاعدة البيانات'!$C$6:$C$305,$N59))</f>
        <v/>
      </c>
      <c r="C59" s="44" t="str">
        <f>IF($N59=0,"",INDEX('قاعدة البيانات'!$F$6:$F$305,$N59))</f>
        <v/>
      </c>
      <c r="D59" s="41" t="str">
        <f>IF($N59=0,"",INDEX('قاعدة البيانات'!$R$6:$R$305,$N59))</f>
        <v/>
      </c>
      <c r="E59" s="42" t="str">
        <f>IF($N59=0,"",INDEX('قاعدة البيانات'!$S$6:$S$305,$N59))</f>
        <v/>
      </c>
      <c r="F59" s="43" t="str">
        <f>IF($N59=0,"",INDEX('قاعدة البيانات'!$T$6:$T$305,$N59))</f>
        <v/>
      </c>
      <c r="G59" s="44" t="str">
        <f>IF($N59=0,"",INDEX('قاعدة البيانات'!$U$6:$U$305,$N59))</f>
        <v/>
      </c>
      <c r="H59" s="53" t="str">
        <f>IF($N59=0,"",IF(INDEX('قاعدة البيانات'!$H$6:$H$305,$N59)="","— مفيش رقم —",HYPERLINK("tel:"&amp;INDEX('قاعدة البيانات'!$H$6:$H$305,$N59),"📞 "&amp;INDEX('قاعدة البيانات'!$H$6:$H$305,$N59))))</f>
        <v/>
      </c>
      <c r="I59" s="54" t="str">
        <f>IF(OR($N59=0,INDEX('قاعدة البيانات'!$H$6:$H$305,$N59)=""),"",HYPERLINK("https://wa.me/20"&amp;RIGHT(INDEX('قاعدة البيانات'!$H$6:$H$305,$N59),10),"💬 واتساب"))</f>
        <v/>
      </c>
      <c r="J59" s="53" t="str">
        <f>IF($N59=0,"",IF(INDEX('قاعدة البيانات'!$I$6:$I$305,$N59)="","— مفيش رقم —",HYPERLINK("tel:"&amp;INDEX('قاعدة البيانات'!$I$6:$I$305,$N59),"📞 "&amp;INDEX('قاعدة البيانات'!$I$6:$I$305,$N59))))</f>
        <v/>
      </c>
      <c r="K59" s="54" t="str">
        <f>IF(OR($N59=0,INDEX('قاعدة البيانات'!$I$6:$I$305,$N59)=""),"",HYPERLINK("https://wa.me/20"&amp;RIGHT(INDEX('قاعدة البيانات'!$I$6:$I$305,$N59),10),"💬 واتساب"))</f>
        <v/>
      </c>
      <c r="L59" s="55" t="str">
        <f>IF($N59=0,"",IF(INDEX('قاعدة البيانات'!$J$6:$J$305,$N59)="","—",INDEX('قاعدة البيانات'!$J$6:$J$305,$N59)))</f>
        <v/>
      </c>
      <c r="N59">
        <f>IFERROR(MATCH(54,'قاعدة البيانات'!$W$6:$W$305,0),0)</f>
        <v>0</v>
      </c>
    </row>
    <row r="60" spans="1:14" ht="24" customHeight="1">
      <c r="A60" s="36" t="str">
        <f>IF($N60=0,"",55)</f>
        <v/>
      </c>
      <c r="B60" s="37" t="str">
        <f>IF($N60=0,"",INDEX('قاعدة البيانات'!$C$6:$C$305,$N60))</f>
        <v/>
      </c>
      <c r="C60" s="44" t="str">
        <f>IF($N60=0,"",INDEX('قاعدة البيانات'!$F$6:$F$305,$N60))</f>
        <v/>
      </c>
      <c r="D60" s="41" t="str">
        <f>IF($N60=0,"",INDEX('قاعدة البيانات'!$R$6:$R$305,$N60))</f>
        <v/>
      </c>
      <c r="E60" s="42" t="str">
        <f>IF($N60=0,"",INDEX('قاعدة البيانات'!$S$6:$S$305,$N60))</f>
        <v/>
      </c>
      <c r="F60" s="43" t="str">
        <f>IF($N60=0,"",INDEX('قاعدة البيانات'!$T$6:$T$305,$N60))</f>
        <v/>
      </c>
      <c r="G60" s="44" t="str">
        <f>IF($N60=0,"",INDEX('قاعدة البيانات'!$U$6:$U$305,$N60))</f>
        <v/>
      </c>
      <c r="H60" s="53" t="str">
        <f>IF($N60=0,"",IF(INDEX('قاعدة البيانات'!$H$6:$H$305,$N60)="","— مفيش رقم —",HYPERLINK("tel:"&amp;INDEX('قاعدة البيانات'!$H$6:$H$305,$N60),"📞 "&amp;INDEX('قاعدة البيانات'!$H$6:$H$305,$N60))))</f>
        <v/>
      </c>
      <c r="I60" s="54" t="str">
        <f>IF(OR($N60=0,INDEX('قاعدة البيانات'!$H$6:$H$305,$N60)=""),"",HYPERLINK("https://wa.me/20"&amp;RIGHT(INDEX('قاعدة البيانات'!$H$6:$H$305,$N60),10),"💬 واتساب"))</f>
        <v/>
      </c>
      <c r="J60" s="53" t="str">
        <f>IF($N60=0,"",IF(INDEX('قاعدة البيانات'!$I$6:$I$305,$N60)="","— مفيش رقم —",HYPERLINK("tel:"&amp;INDEX('قاعدة البيانات'!$I$6:$I$305,$N60),"📞 "&amp;INDEX('قاعدة البيانات'!$I$6:$I$305,$N60))))</f>
        <v/>
      </c>
      <c r="K60" s="54" t="str">
        <f>IF(OR($N60=0,INDEX('قاعدة البيانات'!$I$6:$I$305,$N60)=""),"",HYPERLINK("https://wa.me/20"&amp;RIGHT(INDEX('قاعدة البيانات'!$I$6:$I$305,$N60),10),"💬 واتساب"))</f>
        <v/>
      </c>
      <c r="L60" s="55" t="str">
        <f>IF($N60=0,"",IF(INDEX('قاعدة البيانات'!$J$6:$J$305,$N60)="","—",INDEX('قاعدة البيانات'!$J$6:$J$305,$N60)))</f>
        <v/>
      </c>
      <c r="N60">
        <f>IFERROR(MATCH(55,'قاعدة البيانات'!$W$6:$W$305,0),0)</f>
        <v>0</v>
      </c>
    </row>
    <row r="61" spans="1:14" ht="24" customHeight="1">
      <c r="A61" s="36" t="str">
        <f>IF($N61=0,"",56)</f>
        <v/>
      </c>
      <c r="B61" s="37" t="str">
        <f>IF($N61=0,"",INDEX('قاعدة البيانات'!$C$6:$C$305,$N61))</f>
        <v/>
      </c>
      <c r="C61" s="44" t="str">
        <f>IF($N61=0,"",INDEX('قاعدة البيانات'!$F$6:$F$305,$N61))</f>
        <v/>
      </c>
      <c r="D61" s="41" t="str">
        <f>IF($N61=0,"",INDEX('قاعدة البيانات'!$R$6:$R$305,$N61))</f>
        <v/>
      </c>
      <c r="E61" s="42" t="str">
        <f>IF($N61=0,"",INDEX('قاعدة البيانات'!$S$6:$S$305,$N61))</f>
        <v/>
      </c>
      <c r="F61" s="43" t="str">
        <f>IF($N61=0,"",INDEX('قاعدة البيانات'!$T$6:$T$305,$N61))</f>
        <v/>
      </c>
      <c r="G61" s="44" t="str">
        <f>IF($N61=0,"",INDEX('قاعدة البيانات'!$U$6:$U$305,$N61))</f>
        <v/>
      </c>
      <c r="H61" s="53" t="str">
        <f>IF($N61=0,"",IF(INDEX('قاعدة البيانات'!$H$6:$H$305,$N61)="","— مفيش رقم —",HYPERLINK("tel:"&amp;INDEX('قاعدة البيانات'!$H$6:$H$305,$N61),"📞 "&amp;INDEX('قاعدة البيانات'!$H$6:$H$305,$N61))))</f>
        <v/>
      </c>
      <c r="I61" s="54" t="str">
        <f>IF(OR($N61=0,INDEX('قاعدة البيانات'!$H$6:$H$305,$N61)=""),"",HYPERLINK("https://wa.me/20"&amp;RIGHT(INDEX('قاعدة البيانات'!$H$6:$H$305,$N61),10),"💬 واتساب"))</f>
        <v/>
      </c>
      <c r="J61" s="53" t="str">
        <f>IF($N61=0,"",IF(INDEX('قاعدة البيانات'!$I$6:$I$305,$N61)="","— مفيش رقم —",HYPERLINK("tel:"&amp;INDEX('قاعدة البيانات'!$I$6:$I$305,$N61),"📞 "&amp;INDEX('قاعدة البيانات'!$I$6:$I$305,$N61))))</f>
        <v/>
      </c>
      <c r="K61" s="54" t="str">
        <f>IF(OR($N61=0,INDEX('قاعدة البيانات'!$I$6:$I$305,$N61)=""),"",HYPERLINK("https://wa.me/20"&amp;RIGHT(INDEX('قاعدة البيانات'!$I$6:$I$305,$N61),10),"💬 واتساب"))</f>
        <v/>
      </c>
      <c r="L61" s="55" t="str">
        <f>IF($N61=0,"",IF(INDEX('قاعدة البيانات'!$J$6:$J$305,$N61)="","—",INDEX('قاعدة البيانات'!$J$6:$J$305,$N61)))</f>
        <v/>
      </c>
      <c r="N61">
        <f>IFERROR(MATCH(56,'قاعدة البيانات'!$W$6:$W$305,0),0)</f>
        <v>0</v>
      </c>
    </row>
    <row r="62" spans="1:14" ht="24" customHeight="1">
      <c r="A62" s="36" t="str">
        <f>IF($N62=0,"",57)</f>
        <v/>
      </c>
      <c r="B62" s="37" t="str">
        <f>IF($N62=0,"",INDEX('قاعدة البيانات'!$C$6:$C$305,$N62))</f>
        <v/>
      </c>
      <c r="C62" s="44" t="str">
        <f>IF($N62=0,"",INDEX('قاعدة البيانات'!$F$6:$F$305,$N62))</f>
        <v/>
      </c>
      <c r="D62" s="41" t="str">
        <f>IF($N62=0,"",INDEX('قاعدة البيانات'!$R$6:$R$305,$N62))</f>
        <v/>
      </c>
      <c r="E62" s="42" t="str">
        <f>IF($N62=0,"",INDEX('قاعدة البيانات'!$S$6:$S$305,$N62))</f>
        <v/>
      </c>
      <c r="F62" s="43" t="str">
        <f>IF($N62=0,"",INDEX('قاعدة البيانات'!$T$6:$T$305,$N62))</f>
        <v/>
      </c>
      <c r="G62" s="44" t="str">
        <f>IF($N62=0,"",INDEX('قاعدة البيانات'!$U$6:$U$305,$N62))</f>
        <v/>
      </c>
      <c r="H62" s="53" t="str">
        <f>IF($N62=0,"",IF(INDEX('قاعدة البيانات'!$H$6:$H$305,$N62)="","— مفيش رقم —",HYPERLINK("tel:"&amp;INDEX('قاعدة البيانات'!$H$6:$H$305,$N62),"📞 "&amp;INDEX('قاعدة البيانات'!$H$6:$H$305,$N62))))</f>
        <v/>
      </c>
      <c r="I62" s="54" t="str">
        <f>IF(OR($N62=0,INDEX('قاعدة البيانات'!$H$6:$H$305,$N62)=""),"",HYPERLINK("https://wa.me/20"&amp;RIGHT(INDEX('قاعدة البيانات'!$H$6:$H$305,$N62),10),"💬 واتساب"))</f>
        <v/>
      </c>
      <c r="J62" s="53" t="str">
        <f>IF($N62=0,"",IF(INDEX('قاعدة البيانات'!$I$6:$I$305,$N62)="","— مفيش رقم —",HYPERLINK("tel:"&amp;INDEX('قاعدة البيانات'!$I$6:$I$305,$N62),"📞 "&amp;INDEX('قاعدة البيانات'!$I$6:$I$305,$N62))))</f>
        <v/>
      </c>
      <c r="K62" s="54" t="str">
        <f>IF(OR($N62=0,INDEX('قاعدة البيانات'!$I$6:$I$305,$N62)=""),"",HYPERLINK("https://wa.me/20"&amp;RIGHT(INDEX('قاعدة البيانات'!$I$6:$I$305,$N62),10),"💬 واتساب"))</f>
        <v/>
      </c>
      <c r="L62" s="55" t="str">
        <f>IF($N62=0,"",IF(INDEX('قاعدة البيانات'!$J$6:$J$305,$N62)="","—",INDEX('قاعدة البيانات'!$J$6:$J$305,$N62)))</f>
        <v/>
      </c>
      <c r="N62">
        <f>IFERROR(MATCH(57,'قاعدة البيانات'!$W$6:$W$305,0),0)</f>
        <v>0</v>
      </c>
    </row>
    <row r="63" spans="1:14" ht="24" customHeight="1">
      <c r="A63" s="36" t="str">
        <f>IF($N63=0,"",58)</f>
        <v/>
      </c>
      <c r="B63" s="37" t="str">
        <f>IF($N63=0,"",INDEX('قاعدة البيانات'!$C$6:$C$305,$N63))</f>
        <v/>
      </c>
      <c r="C63" s="44" t="str">
        <f>IF($N63=0,"",INDEX('قاعدة البيانات'!$F$6:$F$305,$N63))</f>
        <v/>
      </c>
      <c r="D63" s="41" t="str">
        <f>IF($N63=0,"",INDEX('قاعدة البيانات'!$R$6:$R$305,$N63))</f>
        <v/>
      </c>
      <c r="E63" s="42" t="str">
        <f>IF($N63=0,"",INDEX('قاعدة البيانات'!$S$6:$S$305,$N63))</f>
        <v/>
      </c>
      <c r="F63" s="43" t="str">
        <f>IF($N63=0,"",INDEX('قاعدة البيانات'!$T$6:$T$305,$N63))</f>
        <v/>
      </c>
      <c r="G63" s="44" t="str">
        <f>IF($N63=0,"",INDEX('قاعدة البيانات'!$U$6:$U$305,$N63))</f>
        <v/>
      </c>
      <c r="H63" s="53" t="str">
        <f>IF($N63=0,"",IF(INDEX('قاعدة البيانات'!$H$6:$H$305,$N63)="","— مفيش رقم —",HYPERLINK("tel:"&amp;INDEX('قاعدة البيانات'!$H$6:$H$305,$N63),"📞 "&amp;INDEX('قاعدة البيانات'!$H$6:$H$305,$N63))))</f>
        <v/>
      </c>
      <c r="I63" s="54" t="str">
        <f>IF(OR($N63=0,INDEX('قاعدة البيانات'!$H$6:$H$305,$N63)=""),"",HYPERLINK("https://wa.me/20"&amp;RIGHT(INDEX('قاعدة البيانات'!$H$6:$H$305,$N63),10),"💬 واتساب"))</f>
        <v/>
      </c>
      <c r="J63" s="53" t="str">
        <f>IF($N63=0,"",IF(INDEX('قاعدة البيانات'!$I$6:$I$305,$N63)="","— مفيش رقم —",HYPERLINK("tel:"&amp;INDEX('قاعدة البيانات'!$I$6:$I$305,$N63),"📞 "&amp;INDEX('قاعدة البيانات'!$I$6:$I$305,$N63))))</f>
        <v/>
      </c>
      <c r="K63" s="54" t="str">
        <f>IF(OR($N63=0,INDEX('قاعدة البيانات'!$I$6:$I$305,$N63)=""),"",HYPERLINK("https://wa.me/20"&amp;RIGHT(INDEX('قاعدة البيانات'!$I$6:$I$305,$N63),10),"💬 واتساب"))</f>
        <v/>
      </c>
      <c r="L63" s="55" t="str">
        <f>IF($N63=0,"",IF(INDEX('قاعدة البيانات'!$J$6:$J$305,$N63)="","—",INDEX('قاعدة البيانات'!$J$6:$J$305,$N63)))</f>
        <v/>
      </c>
      <c r="N63">
        <f>IFERROR(MATCH(58,'قاعدة البيانات'!$W$6:$W$305,0),0)</f>
        <v>0</v>
      </c>
    </row>
    <row r="64" spans="1:14" ht="24" customHeight="1">
      <c r="A64" s="36" t="str">
        <f>IF($N64=0,"",59)</f>
        <v/>
      </c>
      <c r="B64" s="37" t="str">
        <f>IF($N64=0,"",INDEX('قاعدة البيانات'!$C$6:$C$305,$N64))</f>
        <v/>
      </c>
      <c r="C64" s="44" t="str">
        <f>IF($N64=0,"",INDEX('قاعدة البيانات'!$F$6:$F$305,$N64))</f>
        <v/>
      </c>
      <c r="D64" s="41" t="str">
        <f>IF($N64=0,"",INDEX('قاعدة البيانات'!$R$6:$R$305,$N64))</f>
        <v/>
      </c>
      <c r="E64" s="42" t="str">
        <f>IF($N64=0,"",INDEX('قاعدة البيانات'!$S$6:$S$305,$N64))</f>
        <v/>
      </c>
      <c r="F64" s="43" t="str">
        <f>IF($N64=0,"",INDEX('قاعدة البيانات'!$T$6:$T$305,$N64))</f>
        <v/>
      </c>
      <c r="G64" s="44" t="str">
        <f>IF($N64=0,"",INDEX('قاعدة البيانات'!$U$6:$U$305,$N64))</f>
        <v/>
      </c>
      <c r="H64" s="53" t="str">
        <f>IF($N64=0,"",IF(INDEX('قاعدة البيانات'!$H$6:$H$305,$N64)="","— مفيش رقم —",HYPERLINK("tel:"&amp;INDEX('قاعدة البيانات'!$H$6:$H$305,$N64),"📞 "&amp;INDEX('قاعدة البيانات'!$H$6:$H$305,$N64))))</f>
        <v/>
      </c>
      <c r="I64" s="54" t="str">
        <f>IF(OR($N64=0,INDEX('قاعدة البيانات'!$H$6:$H$305,$N64)=""),"",HYPERLINK("https://wa.me/20"&amp;RIGHT(INDEX('قاعدة البيانات'!$H$6:$H$305,$N64),10),"💬 واتساب"))</f>
        <v/>
      </c>
      <c r="J64" s="53" t="str">
        <f>IF($N64=0,"",IF(INDEX('قاعدة البيانات'!$I$6:$I$305,$N64)="","— مفيش رقم —",HYPERLINK("tel:"&amp;INDEX('قاعدة البيانات'!$I$6:$I$305,$N64),"📞 "&amp;INDEX('قاعدة البيانات'!$I$6:$I$305,$N64))))</f>
        <v/>
      </c>
      <c r="K64" s="54" t="str">
        <f>IF(OR($N64=0,INDEX('قاعدة البيانات'!$I$6:$I$305,$N64)=""),"",HYPERLINK("https://wa.me/20"&amp;RIGHT(INDEX('قاعدة البيانات'!$I$6:$I$305,$N64),10),"💬 واتساب"))</f>
        <v/>
      </c>
      <c r="L64" s="55" t="str">
        <f>IF($N64=0,"",IF(INDEX('قاعدة البيانات'!$J$6:$J$305,$N64)="","—",INDEX('قاعدة البيانات'!$J$6:$J$305,$N64)))</f>
        <v/>
      </c>
      <c r="N64">
        <f>IFERROR(MATCH(59,'قاعدة البيانات'!$W$6:$W$305,0),0)</f>
        <v>0</v>
      </c>
    </row>
    <row r="65" spans="1:14" ht="24" customHeight="1">
      <c r="A65" s="36" t="str">
        <f>IF($N65=0,"",60)</f>
        <v/>
      </c>
      <c r="B65" s="37" t="str">
        <f>IF($N65=0,"",INDEX('قاعدة البيانات'!$C$6:$C$305,$N65))</f>
        <v/>
      </c>
      <c r="C65" s="44" t="str">
        <f>IF($N65=0,"",INDEX('قاعدة البيانات'!$F$6:$F$305,$N65))</f>
        <v/>
      </c>
      <c r="D65" s="41" t="str">
        <f>IF($N65=0,"",INDEX('قاعدة البيانات'!$R$6:$R$305,$N65))</f>
        <v/>
      </c>
      <c r="E65" s="42" t="str">
        <f>IF($N65=0,"",INDEX('قاعدة البيانات'!$S$6:$S$305,$N65))</f>
        <v/>
      </c>
      <c r="F65" s="43" t="str">
        <f>IF($N65=0,"",INDEX('قاعدة البيانات'!$T$6:$T$305,$N65))</f>
        <v/>
      </c>
      <c r="G65" s="44" t="str">
        <f>IF($N65=0,"",INDEX('قاعدة البيانات'!$U$6:$U$305,$N65))</f>
        <v/>
      </c>
      <c r="H65" s="53" t="str">
        <f>IF($N65=0,"",IF(INDEX('قاعدة البيانات'!$H$6:$H$305,$N65)="","— مفيش رقم —",HYPERLINK("tel:"&amp;INDEX('قاعدة البيانات'!$H$6:$H$305,$N65),"📞 "&amp;INDEX('قاعدة البيانات'!$H$6:$H$305,$N65))))</f>
        <v/>
      </c>
      <c r="I65" s="54" t="str">
        <f>IF(OR($N65=0,INDEX('قاعدة البيانات'!$H$6:$H$305,$N65)=""),"",HYPERLINK("https://wa.me/20"&amp;RIGHT(INDEX('قاعدة البيانات'!$H$6:$H$305,$N65),10),"💬 واتساب"))</f>
        <v/>
      </c>
      <c r="J65" s="53" t="str">
        <f>IF($N65=0,"",IF(INDEX('قاعدة البيانات'!$I$6:$I$305,$N65)="","— مفيش رقم —",HYPERLINK("tel:"&amp;INDEX('قاعدة البيانات'!$I$6:$I$305,$N65),"📞 "&amp;INDEX('قاعدة البيانات'!$I$6:$I$305,$N65))))</f>
        <v/>
      </c>
      <c r="K65" s="54" t="str">
        <f>IF(OR($N65=0,INDEX('قاعدة البيانات'!$I$6:$I$305,$N65)=""),"",HYPERLINK("https://wa.me/20"&amp;RIGHT(INDEX('قاعدة البيانات'!$I$6:$I$305,$N65),10),"💬 واتساب"))</f>
        <v/>
      </c>
      <c r="L65" s="55" t="str">
        <f>IF($N65=0,"",IF(INDEX('قاعدة البيانات'!$J$6:$J$305,$N65)="","—",INDEX('قاعدة البيانات'!$J$6:$J$305,$N65)))</f>
        <v/>
      </c>
      <c r="N65">
        <f>IFERROR(MATCH(60,'قاعدة البيانات'!$W$6:$W$305,0),0)</f>
        <v>0</v>
      </c>
    </row>
  </sheetData>
  <sheetProtection sheet="1"/>
  <mergeCells count="7">
    <mergeCell ref="A3:L3"/>
    <mergeCell ref="A4:L4"/>
    <mergeCell ref="A1:L1"/>
    <mergeCell ref="A2:B2"/>
    <mergeCell ref="C2:E2"/>
    <mergeCell ref="F2:G2"/>
    <mergeCell ref="H2:I2"/>
  </mergeCells>
  <conditionalFormatting sqref="A6:L65">
    <cfRule type="expression" dxfId="1" priority="2">
      <formula>AND($N6&gt;0,MOD($A6,2)=0)</formula>
    </cfRule>
  </conditionalFormatting>
  <conditionalFormatting sqref="D6:E65">
    <cfRule type="expression" dxfId="0" priority="3">
      <formula>$N6&gt;0</formula>
    </cfRule>
  </conditionalFormatting>
  <printOptions horizontalCentered="1"/>
  <pageMargins left="0.75" right="0.75" top="1" bottom="1" header="0.511811023622047" footer="0.511811023622047"/>
  <pageSetup fitToHeight="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7F8C8D"/>
    <pageSetUpPr fitToPage="1"/>
  </sheetPr>
  <dimension ref="A1:I22"/>
  <sheetViews>
    <sheetView showGridLines="0" rightToLeft="1" zoomScale="90" zoomScaleNormal="90" workbookViewId="0">
      <selection activeCell="B17" sqref="B17"/>
    </sheetView>
  </sheetViews>
  <sheetFormatPr defaultColWidth="8.6640625" defaultRowHeight="14.4"/>
  <cols>
    <col min="1" max="1" width="26" customWidth="1"/>
    <col min="2" max="2" width="20" customWidth="1"/>
    <col min="3" max="3" width="3" customWidth="1"/>
    <col min="4" max="4" width="16" customWidth="1"/>
    <col min="5" max="6" width="10" customWidth="1"/>
    <col min="7" max="8" width="12" customWidth="1"/>
    <col min="9" max="9" width="8" customWidth="1"/>
  </cols>
  <sheetData>
    <row r="1" spans="1:9" ht="42" customHeight="1">
      <c r="A1" s="131" t="s">
        <v>64</v>
      </c>
      <c r="B1" s="131"/>
      <c r="C1" s="131"/>
      <c r="D1" s="131"/>
      <c r="E1" s="131"/>
      <c r="F1" s="131"/>
      <c r="G1" s="131"/>
      <c r="H1" s="131"/>
      <c r="I1" s="131"/>
    </row>
    <row r="2" spans="1:9">
      <c r="A2" s="83" t="str">
        <f>HYPERLINK("#'الرئيسية'!A1","🏠 الرئيسية")</f>
        <v>🏠 الرئيسية</v>
      </c>
      <c r="B2" s="83"/>
    </row>
    <row r="3" spans="1:9" ht="15.6">
      <c r="A3" s="56" t="s">
        <v>65</v>
      </c>
      <c r="D3" s="57" t="s">
        <v>24</v>
      </c>
      <c r="E3" s="57" t="s">
        <v>23</v>
      </c>
      <c r="F3" s="57" t="s">
        <v>66</v>
      </c>
      <c r="G3" s="57" t="s">
        <v>32</v>
      </c>
      <c r="H3" s="57" t="s">
        <v>67</v>
      </c>
      <c r="I3" s="57" t="s">
        <v>68</v>
      </c>
    </row>
    <row r="4" spans="1:9">
      <c r="A4" s="58" t="s">
        <v>69</v>
      </c>
      <c r="B4" s="72" t="s">
        <v>45</v>
      </c>
      <c r="D4" s="60" t="s">
        <v>44</v>
      </c>
      <c r="E4" s="60" t="s">
        <v>43</v>
      </c>
      <c r="F4" s="60" t="s">
        <v>70</v>
      </c>
      <c r="G4" s="60" t="s">
        <v>46</v>
      </c>
      <c r="H4" s="60" t="s">
        <v>71</v>
      </c>
      <c r="I4" s="60" t="s">
        <v>72</v>
      </c>
    </row>
    <row r="5" spans="1:9">
      <c r="A5" s="58" t="s">
        <v>73</v>
      </c>
      <c r="B5" s="59" t="s">
        <v>48</v>
      </c>
      <c r="D5" s="60" t="s">
        <v>49</v>
      </c>
      <c r="E5" s="60" t="s">
        <v>47</v>
      </c>
      <c r="F5" s="60" t="s">
        <v>74</v>
      </c>
      <c r="G5" s="60" t="s">
        <v>75</v>
      </c>
      <c r="H5" s="60" t="s">
        <v>76</v>
      </c>
      <c r="I5" s="60" t="s">
        <v>77</v>
      </c>
    </row>
    <row r="6" spans="1:9">
      <c r="A6" s="58" t="s">
        <v>78</v>
      </c>
      <c r="B6" s="59" t="s">
        <v>50</v>
      </c>
      <c r="D6" s="60" t="s">
        <v>79</v>
      </c>
      <c r="H6" s="60" t="s">
        <v>80</v>
      </c>
      <c r="I6" s="60" t="s">
        <v>81</v>
      </c>
    </row>
    <row r="7" spans="1:9">
      <c r="A7" s="58" t="s">
        <v>82</v>
      </c>
      <c r="B7" s="59" t="s">
        <v>51</v>
      </c>
      <c r="D7" s="60" t="s">
        <v>83</v>
      </c>
      <c r="H7" s="60" t="s">
        <v>84</v>
      </c>
    </row>
    <row r="8" spans="1:9">
      <c r="A8" s="61" t="s">
        <v>85</v>
      </c>
      <c r="D8" s="60" t="s">
        <v>86</v>
      </c>
      <c r="H8" s="60" t="s">
        <v>87</v>
      </c>
    </row>
    <row r="9" spans="1:9" ht="15.6">
      <c r="A9" s="56" t="s">
        <v>88</v>
      </c>
      <c r="D9" s="60" t="s">
        <v>89</v>
      </c>
      <c r="H9" s="60" t="s">
        <v>90</v>
      </c>
    </row>
    <row r="10" spans="1:9">
      <c r="A10" s="62" t="s">
        <v>91</v>
      </c>
      <c r="B10" s="63">
        <v>46296</v>
      </c>
      <c r="D10" s="60"/>
      <c r="H10" s="60" t="s">
        <v>92</v>
      </c>
    </row>
    <row r="11" spans="1:9">
      <c r="A11" s="62" t="s">
        <v>93</v>
      </c>
      <c r="B11" s="64">
        <f>EDATE(B10,12)</f>
        <v>46661</v>
      </c>
      <c r="D11" s="60"/>
    </row>
    <row r="12" spans="1:9">
      <c r="A12" s="62" t="s">
        <v>94</v>
      </c>
      <c r="B12" s="59" t="s">
        <v>90</v>
      </c>
      <c r="D12" s="60"/>
    </row>
    <row r="13" spans="1:9">
      <c r="A13" s="62" t="s">
        <v>95</v>
      </c>
      <c r="B13" s="65">
        <f>MATCH(B12,$H$4:$H$10,0)</f>
        <v>6</v>
      </c>
      <c r="D13" s="60"/>
    </row>
    <row r="14" spans="1:9">
      <c r="A14" s="62" t="s">
        <v>96</v>
      </c>
      <c r="B14" s="64">
        <f>B10+MOD(B13-WEEKDAY(B10),7)</f>
        <v>46297</v>
      </c>
    </row>
    <row r="15" spans="1:9" ht="15.6">
      <c r="A15" s="56" t="s">
        <v>97</v>
      </c>
      <c r="D15" s="66" t="s">
        <v>98</v>
      </c>
    </row>
    <row r="16" spans="1:9">
      <c r="A16" s="62" t="s">
        <v>99</v>
      </c>
      <c r="B16" s="67">
        <v>0.85</v>
      </c>
    </row>
    <row r="17" spans="1:2">
      <c r="A17" s="62" t="s">
        <v>100</v>
      </c>
      <c r="B17" s="67">
        <v>0.7</v>
      </c>
    </row>
    <row r="18" spans="1:2">
      <c r="A18" s="62" t="s">
        <v>101</v>
      </c>
      <c r="B18" s="68">
        <v>3</v>
      </c>
    </row>
    <row r="20" spans="1:2">
      <c r="A20" s="66" t="s">
        <v>102</v>
      </c>
    </row>
    <row r="21" spans="1:2">
      <c r="A21" s="66" t="s">
        <v>103</v>
      </c>
    </row>
    <row r="22" spans="1:2">
      <c r="A22" s="66" t="s">
        <v>104</v>
      </c>
    </row>
  </sheetData>
  <mergeCells count="2">
    <mergeCell ref="A1:I1"/>
    <mergeCell ref="A2:B2"/>
  </mergeCells>
  <dataValidations count="1">
    <dataValidation type="list" sqref="B12" xr:uid="{00000000-0002-0000-0B00-000000000000}">
      <formula1>$H$4:$H$10</formula1>
      <formula2>0</formula2>
    </dataValidation>
  </dataValidations>
  <printOptions horizontalCentered="1"/>
  <pageMargins left="0.75" right="0.75" top="1" bottom="1" header="0.511811023622047" footer="0.511811023622047"/>
  <pageSetup fitToHeight="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C11"/>
  <sheetViews>
    <sheetView showGridLines="0" rightToLeft="1" zoomScale="90" zoomScaleNormal="90" workbookViewId="0"/>
  </sheetViews>
  <sheetFormatPr defaultColWidth="8.6640625" defaultRowHeight="14.4"/>
  <cols>
    <col min="1" max="1" width="3" customWidth="1"/>
    <col min="2" max="2" width="34" customWidth="1"/>
    <col min="3" max="3" width="90" customWidth="1"/>
  </cols>
  <sheetData>
    <row r="1" spans="1:3" ht="45.75" customHeight="1">
      <c r="A1" s="164" t="s">
        <v>105</v>
      </c>
      <c r="B1" s="164"/>
      <c r="C1" s="164"/>
    </row>
    <row r="2" spans="1:3">
      <c r="B2" s="5" t="str">
        <f>HYPERLINK("#'الرئيسية'!A1","🏠 الرئيسية")</f>
        <v>🏠 الرئيسية</v>
      </c>
    </row>
    <row r="4" spans="1:3" ht="61.5" customHeight="1">
      <c r="B4" s="69" t="s">
        <v>106</v>
      </c>
      <c r="C4" s="70" t="s">
        <v>107</v>
      </c>
    </row>
    <row r="5" spans="1:3" ht="61.5" customHeight="1">
      <c r="B5" s="69" t="s">
        <v>108</v>
      </c>
      <c r="C5" s="70" t="s">
        <v>109</v>
      </c>
    </row>
    <row r="6" spans="1:3" ht="61.5" customHeight="1">
      <c r="B6" s="69" t="s">
        <v>110</v>
      </c>
      <c r="C6" s="70" t="s">
        <v>111</v>
      </c>
    </row>
    <row r="7" spans="1:3" ht="61.5" customHeight="1">
      <c r="B7" s="69" t="s">
        <v>112</v>
      </c>
      <c r="C7" s="70" t="s">
        <v>113</v>
      </c>
    </row>
    <row r="8" spans="1:3" ht="61.5" customHeight="1">
      <c r="B8" s="69" t="s">
        <v>114</v>
      </c>
      <c r="C8" s="70" t="s">
        <v>115</v>
      </c>
    </row>
    <row r="9" spans="1:3" ht="61.5" customHeight="1">
      <c r="B9" s="69" t="s">
        <v>116</v>
      </c>
      <c r="C9" s="70" t="s">
        <v>117</v>
      </c>
    </row>
    <row r="10" spans="1:3" ht="61.5" customHeight="1">
      <c r="B10" s="69" t="s">
        <v>118</v>
      </c>
      <c r="C10" s="70" t="s">
        <v>119</v>
      </c>
    </row>
    <row r="11" spans="1:3" ht="61.5" customHeight="1">
      <c r="B11" s="69" t="s">
        <v>120</v>
      </c>
      <c r="C11" s="70" t="s">
        <v>121</v>
      </c>
    </row>
  </sheetData>
  <sheetProtection sheet="1"/>
  <mergeCells count="1">
    <mergeCell ref="A1:C1"/>
  </mergeCells>
  <printOptions horizontalCentered="1"/>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الرئيسية</vt:lpstr>
      <vt:lpstr>قاعدة البيانات</vt:lpstr>
      <vt:lpstr>فصل سوريال</vt:lpstr>
      <vt:lpstr>فصل غبريال</vt:lpstr>
      <vt:lpstr>فصل رفائيل</vt:lpstr>
      <vt:lpstr>فصل ميخائيل</vt:lpstr>
      <vt:lpstr>حضور سوريال</vt:lpstr>
      <vt:lpstr>حضور غبريال</vt:lpstr>
      <vt:lpstr>حضور رفائيل</vt:lpstr>
      <vt:lpstr>حضور ميخائيل</vt:lpstr>
      <vt:lpstr>الافتقاد</vt:lpstr>
      <vt:lpstr>الإعدادات</vt:lpstr>
      <vt:lpstr>دليل الاستخدام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Meena 20230619</cp:lastModifiedBy>
  <cp:revision>1</cp:revision>
  <cp:lastPrinted>2026-10-25T14:08:19Z</cp:lastPrinted>
  <dcterms:created xsi:type="dcterms:W3CDTF">2026-10-20T10:39:05Z</dcterms:created>
  <dcterms:modified xsi:type="dcterms:W3CDTF">2026-10-25T19:46:14Z</dcterms:modified>
  <dc:language>en-US</dc:language>
</cp:coreProperties>
</file>