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MINA\Downloads\"/>
    </mc:Choice>
  </mc:AlternateContent>
  <xr:revisionPtr revIDLastSave="0" documentId="13_ncr:1_{886856AD-CACC-4C21-B6E2-E691FA942C16}" xr6:coauthVersionLast="47" xr6:coauthVersionMax="47" xr10:uidLastSave="{00000000-0000-0000-0000-000000000000}"/>
  <bookViews>
    <workbookView xWindow="-108" yWindow="-108" windowWidth="23256" windowHeight="12456" tabRatio="500" activeTab="2" xr2:uid="{00000000-000D-0000-FFFF-FFFF00000000}"/>
  </bookViews>
  <sheets>
    <sheet name="الرئيسية" sheetId="1" r:id="rId1"/>
    <sheet name="قاعدة البيانات" sheetId="2" r:id="rId2"/>
    <sheet name="فصل سوريال" sheetId="3" r:id="rId3"/>
    <sheet name="فصل غبريال" sheetId="4" r:id="rId4"/>
    <sheet name="فصل رفائيل" sheetId="5" r:id="rId5"/>
    <sheet name="فصل ميخائيل" sheetId="6" r:id="rId6"/>
    <sheet name="حضور سوريال" sheetId="7" r:id="rId7"/>
    <sheet name="حضور غبريال" sheetId="8" r:id="rId8"/>
    <sheet name="حضور رفائيل" sheetId="9" r:id="rId9"/>
    <sheet name="حضور ميخائيل" sheetId="10" r:id="rId10"/>
    <sheet name="الافتقاد" sheetId="11" r:id="rId11"/>
    <sheet name="الإعدادات" sheetId="12" r:id="rId12"/>
    <sheet name="دليل الاستخدام"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3" l="1"/>
  <c r="B13" i="12"/>
  <c r="B14" i="12" s="1"/>
  <c r="B11" i="12"/>
  <c r="A2" i="12"/>
  <c r="H2" i="11"/>
  <c r="F2" i="11"/>
  <c r="C2" i="11"/>
  <c r="A2" i="11"/>
  <c r="P2" i="10"/>
  <c r="J2" i="10"/>
  <c r="G2" i="10"/>
  <c r="C2" i="10"/>
  <c r="A2" i="10"/>
  <c r="A1" i="10"/>
  <c r="P2" i="9"/>
  <c r="J2" i="9"/>
  <c r="G2" i="9"/>
  <c r="C2" i="9"/>
  <c r="A2" i="9"/>
  <c r="A1" i="9"/>
  <c r="P2" i="8"/>
  <c r="J2" i="8"/>
  <c r="G2" i="8"/>
  <c r="C2" i="8"/>
  <c r="A2" i="8"/>
  <c r="A1" i="8"/>
  <c r="P2" i="7"/>
  <c r="J2" i="7"/>
  <c r="G2" i="7"/>
  <c r="C2" i="7"/>
  <c r="A2" i="7"/>
  <c r="A1" i="7"/>
  <c r="F5" i="6"/>
  <c r="B5" i="6"/>
  <c r="L2" i="6"/>
  <c r="J2" i="6"/>
  <c r="G2" i="6"/>
  <c r="D2" i="6"/>
  <c r="B2" i="6"/>
  <c r="B1" i="6"/>
  <c r="F5" i="5"/>
  <c r="B5" i="5"/>
  <c r="L2" i="5"/>
  <c r="J2" i="5"/>
  <c r="G2" i="5"/>
  <c r="D2" i="5"/>
  <c r="B2" i="5"/>
  <c r="B1" i="5"/>
  <c r="F5" i="4"/>
  <c r="B5" i="4"/>
  <c r="L2" i="4"/>
  <c r="J2" i="4"/>
  <c r="G2" i="4"/>
  <c r="D2" i="4"/>
  <c r="B2" i="4"/>
  <c r="B1" i="4"/>
  <c r="F5" i="3"/>
  <c r="B5" i="3"/>
  <c r="L2" i="3"/>
  <c r="J2" i="3"/>
  <c r="G2" i="3"/>
  <c r="D2" i="3"/>
  <c r="B2" i="3"/>
  <c r="B1" i="3"/>
  <c r="O305" i="2"/>
  <c r="N305" i="2" s="1"/>
  <c r="B305" i="2"/>
  <c r="A305" i="2"/>
  <c r="O304" i="2"/>
  <c r="N304" i="2" s="1"/>
  <c r="B304" i="2"/>
  <c r="A304" i="2"/>
  <c r="O303" i="2"/>
  <c r="N303" i="2" s="1"/>
  <c r="B303" i="2"/>
  <c r="A303" i="2"/>
  <c r="O302" i="2"/>
  <c r="N302" i="2" s="1"/>
  <c r="B302" i="2"/>
  <c r="A302" i="2"/>
  <c r="O301" i="2"/>
  <c r="N301" i="2" s="1"/>
  <c r="B301" i="2"/>
  <c r="A301" i="2"/>
  <c r="O300" i="2"/>
  <c r="N300" i="2"/>
  <c r="B300" i="2"/>
  <c r="A300" i="2"/>
  <c r="O299" i="2"/>
  <c r="N299" i="2" s="1"/>
  <c r="B299" i="2"/>
  <c r="A299" i="2"/>
  <c r="O298" i="2"/>
  <c r="N298" i="2" s="1"/>
  <c r="B298" i="2"/>
  <c r="A298" i="2"/>
  <c r="O297" i="2"/>
  <c r="N297" i="2" s="1"/>
  <c r="B297" i="2"/>
  <c r="A297" i="2"/>
  <c r="O296" i="2"/>
  <c r="N296" i="2" s="1"/>
  <c r="B296" i="2"/>
  <c r="A296" i="2"/>
  <c r="O295" i="2"/>
  <c r="N295" i="2" s="1"/>
  <c r="B295" i="2"/>
  <c r="A295" i="2"/>
  <c r="O294" i="2"/>
  <c r="N294" i="2" s="1"/>
  <c r="B294" i="2"/>
  <c r="A294" i="2"/>
  <c r="O293" i="2"/>
  <c r="N293" i="2" s="1"/>
  <c r="B293" i="2"/>
  <c r="A293" i="2"/>
  <c r="O292" i="2"/>
  <c r="N292" i="2" s="1"/>
  <c r="B292" i="2"/>
  <c r="A292" i="2"/>
  <c r="O291" i="2"/>
  <c r="N291" i="2" s="1"/>
  <c r="B291" i="2"/>
  <c r="A291" i="2"/>
  <c r="O290" i="2"/>
  <c r="N290" i="2" s="1"/>
  <c r="B290" i="2"/>
  <c r="A290" i="2"/>
  <c r="O289" i="2"/>
  <c r="N289" i="2" s="1"/>
  <c r="B289" i="2"/>
  <c r="A289" i="2"/>
  <c r="O288" i="2"/>
  <c r="N288" i="2" s="1"/>
  <c r="B288" i="2"/>
  <c r="A288" i="2"/>
  <c r="O287" i="2"/>
  <c r="N287" i="2" s="1"/>
  <c r="B287" i="2"/>
  <c r="A287" i="2"/>
  <c r="O286" i="2"/>
  <c r="N286" i="2" s="1"/>
  <c r="B286" i="2"/>
  <c r="A286" i="2"/>
  <c r="O285" i="2"/>
  <c r="N285" i="2" s="1"/>
  <c r="B285" i="2"/>
  <c r="A285" i="2"/>
  <c r="O284" i="2"/>
  <c r="N284" i="2" s="1"/>
  <c r="B284" i="2"/>
  <c r="A284" i="2"/>
  <c r="O283" i="2"/>
  <c r="N283" i="2"/>
  <c r="B283" i="2"/>
  <c r="A283" i="2"/>
  <c r="O282" i="2"/>
  <c r="N282" i="2" s="1"/>
  <c r="B282" i="2"/>
  <c r="A282" i="2"/>
  <c r="O281" i="2"/>
  <c r="N281" i="2" s="1"/>
  <c r="B281" i="2"/>
  <c r="A281" i="2"/>
  <c r="O280" i="2"/>
  <c r="N280" i="2" s="1"/>
  <c r="B280" i="2"/>
  <c r="A280" i="2"/>
  <c r="O279" i="2"/>
  <c r="N279" i="2" s="1"/>
  <c r="B279" i="2"/>
  <c r="A279" i="2"/>
  <c r="O278" i="2"/>
  <c r="N278" i="2" s="1"/>
  <c r="B278" i="2"/>
  <c r="A278" i="2"/>
  <c r="O277" i="2"/>
  <c r="N277" i="2" s="1"/>
  <c r="B277" i="2"/>
  <c r="A277" i="2"/>
  <c r="O276" i="2"/>
  <c r="N276" i="2" s="1"/>
  <c r="B276" i="2"/>
  <c r="A276" i="2"/>
  <c r="O275" i="2"/>
  <c r="N275" i="2" s="1"/>
  <c r="B275" i="2"/>
  <c r="A275" i="2"/>
  <c r="O274" i="2"/>
  <c r="N274" i="2" s="1"/>
  <c r="B274" i="2"/>
  <c r="A274" i="2"/>
  <c r="O273" i="2"/>
  <c r="N273" i="2" s="1"/>
  <c r="B273" i="2"/>
  <c r="A273" i="2"/>
  <c r="O272" i="2"/>
  <c r="N272" i="2" s="1"/>
  <c r="B272" i="2"/>
  <c r="A272" i="2"/>
  <c r="O271" i="2"/>
  <c r="N271" i="2" s="1"/>
  <c r="B271" i="2"/>
  <c r="A271" i="2"/>
  <c r="O270" i="2"/>
  <c r="N270" i="2" s="1"/>
  <c r="B270" i="2"/>
  <c r="A270" i="2"/>
  <c r="O269" i="2"/>
  <c r="N269" i="2" s="1"/>
  <c r="B269" i="2"/>
  <c r="A269" i="2"/>
  <c r="O268" i="2"/>
  <c r="N268" i="2" s="1"/>
  <c r="B268" i="2"/>
  <c r="A268" i="2"/>
  <c r="O267" i="2"/>
  <c r="N267" i="2" s="1"/>
  <c r="B267" i="2"/>
  <c r="A267" i="2"/>
  <c r="O266" i="2"/>
  <c r="N266" i="2" s="1"/>
  <c r="B266" i="2"/>
  <c r="A266" i="2"/>
  <c r="O265" i="2"/>
  <c r="N265" i="2" s="1"/>
  <c r="B265" i="2"/>
  <c r="A265" i="2"/>
  <c r="O264" i="2"/>
  <c r="N264" i="2" s="1"/>
  <c r="B264" i="2"/>
  <c r="A264" i="2"/>
  <c r="O263" i="2"/>
  <c r="N263" i="2" s="1"/>
  <c r="B263" i="2"/>
  <c r="A263" i="2"/>
  <c r="O262" i="2"/>
  <c r="N262" i="2" s="1"/>
  <c r="B262" i="2"/>
  <c r="A262" i="2"/>
  <c r="O261" i="2"/>
  <c r="N261" i="2" s="1"/>
  <c r="B261" i="2"/>
  <c r="A261" i="2"/>
  <c r="O260" i="2"/>
  <c r="N260" i="2" s="1"/>
  <c r="B260" i="2"/>
  <c r="A260" i="2"/>
  <c r="O259" i="2"/>
  <c r="N259" i="2" s="1"/>
  <c r="B259" i="2"/>
  <c r="A259" i="2"/>
  <c r="O258" i="2"/>
  <c r="N258" i="2" s="1"/>
  <c r="B258" i="2"/>
  <c r="A258" i="2"/>
  <c r="O257" i="2"/>
  <c r="N257" i="2" s="1"/>
  <c r="B257" i="2"/>
  <c r="A257" i="2"/>
  <c r="O256" i="2"/>
  <c r="N256" i="2" s="1"/>
  <c r="B256" i="2"/>
  <c r="A256" i="2"/>
  <c r="O255" i="2"/>
  <c r="N255" i="2" s="1"/>
  <c r="B255" i="2"/>
  <c r="A255" i="2"/>
  <c r="O254" i="2"/>
  <c r="N254" i="2" s="1"/>
  <c r="B254" i="2"/>
  <c r="A254" i="2"/>
  <c r="O253" i="2"/>
  <c r="N253" i="2" s="1"/>
  <c r="B253" i="2"/>
  <c r="A253" i="2"/>
  <c r="O252" i="2"/>
  <c r="N252" i="2" s="1"/>
  <c r="B252" i="2"/>
  <c r="A252" i="2"/>
  <c r="O251" i="2"/>
  <c r="N251" i="2" s="1"/>
  <c r="B251" i="2"/>
  <c r="A251" i="2"/>
  <c r="O250" i="2"/>
  <c r="N250" i="2" s="1"/>
  <c r="B250" i="2"/>
  <c r="A250" i="2"/>
  <c r="O249" i="2"/>
  <c r="N249" i="2" s="1"/>
  <c r="B249" i="2"/>
  <c r="A249" i="2"/>
  <c r="O248" i="2"/>
  <c r="N248" i="2" s="1"/>
  <c r="B248" i="2"/>
  <c r="A248" i="2"/>
  <c r="O247" i="2"/>
  <c r="N247" i="2" s="1"/>
  <c r="B247" i="2"/>
  <c r="A247" i="2"/>
  <c r="O246" i="2"/>
  <c r="N246" i="2" s="1"/>
  <c r="B246" i="2"/>
  <c r="A246" i="2"/>
  <c r="O245" i="2"/>
  <c r="N245" i="2" s="1"/>
  <c r="B245" i="2"/>
  <c r="A245" i="2"/>
  <c r="O244" i="2"/>
  <c r="N244" i="2" s="1"/>
  <c r="B244" i="2"/>
  <c r="A244" i="2"/>
  <c r="O243" i="2"/>
  <c r="N243" i="2" s="1"/>
  <c r="B243" i="2"/>
  <c r="A243" i="2"/>
  <c r="O242" i="2"/>
  <c r="N242" i="2" s="1"/>
  <c r="B242" i="2"/>
  <c r="A242" i="2"/>
  <c r="O241" i="2"/>
  <c r="N241" i="2" s="1"/>
  <c r="B241" i="2"/>
  <c r="A241" i="2"/>
  <c r="O240" i="2"/>
  <c r="N240" i="2" s="1"/>
  <c r="B240" i="2"/>
  <c r="A240" i="2"/>
  <c r="O239" i="2"/>
  <c r="N239" i="2" s="1"/>
  <c r="B239" i="2"/>
  <c r="A239" i="2"/>
  <c r="O238" i="2"/>
  <c r="B238" i="2"/>
  <c r="A238" i="2"/>
  <c r="O237" i="2"/>
  <c r="N237" i="2" s="1"/>
  <c r="B237" i="2"/>
  <c r="A237" i="2"/>
  <c r="O236" i="2"/>
  <c r="N236" i="2" s="1"/>
  <c r="B236" i="2"/>
  <c r="A236" i="2"/>
  <c r="O235" i="2"/>
  <c r="N235" i="2" s="1"/>
  <c r="B235" i="2"/>
  <c r="A235" i="2"/>
  <c r="O234" i="2"/>
  <c r="N234" i="2" s="1"/>
  <c r="B234" i="2"/>
  <c r="A234" i="2"/>
  <c r="O233" i="2"/>
  <c r="N233" i="2" s="1"/>
  <c r="B233" i="2"/>
  <c r="A233" i="2"/>
  <c r="O232" i="2"/>
  <c r="N232" i="2" s="1"/>
  <c r="B232" i="2"/>
  <c r="A232" i="2"/>
  <c r="O231" i="2"/>
  <c r="N231" i="2" s="1"/>
  <c r="B231" i="2"/>
  <c r="A231" i="2"/>
  <c r="O230" i="2"/>
  <c r="N230" i="2" s="1"/>
  <c r="B230" i="2"/>
  <c r="A230" i="2"/>
  <c r="O229" i="2"/>
  <c r="N229" i="2" s="1"/>
  <c r="B229" i="2"/>
  <c r="A229" i="2"/>
  <c r="O228" i="2"/>
  <c r="N228" i="2" s="1"/>
  <c r="B228" i="2"/>
  <c r="A228" i="2"/>
  <c r="O227" i="2"/>
  <c r="N227" i="2" s="1"/>
  <c r="B227" i="2"/>
  <c r="A227" i="2"/>
  <c r="O226" i="2"/>
  <c r="N226" i="2" s="1"/>
  <c r="B226" i="2"/>
  <c r="A226" i="2"/>
  <c r="O225" i="2"/>
  <c r="N225" i="2" s="1"/>
  <c r="B225" i="2"/>
  <c r="A225" i="2"/>
  <c r="O224" i="2"/>
  <c r="N224" i="2" s="1"/>
  <c r="B224" i="2"/>
  <c r="A224" i="2"/>
  <c r="O223" i="2"/>
  <c r="N223" i="2" s="1"/>
  <c r="B223" i="2"/>
  <c r="A223" i="2"/>
  <c r="O222" i="2"/>
  <c r="N222" i="2" s="1"/>
  <c r="B222" i="2"/>
  <c r="A222" i="2"/>
  <c r="O221" i="2"/>
  <c r="N221" i="2" s="1"/>
  <c r="B221" i="2"/>
  <c r="A221" i="2"/>
  <c r="O220" i="2"/>
  <c r="N220" i="2" s="1"/>
  <c r="B220" i="2"/>
  <c r="A220" i="2"/>
  <c r="O219" i="2"/>
  <c r="N219" i="2" s="1"/>
  <c r="B219" i="2"/>
  <c r="A219" i="2"/>
  <c r="O218" i="2"/>
  <c r="N218" i="2" s="1"/>
  <c r="B218" i="2"/>
  <c r="A218" i="2"/>
  <c r="O217" i="2"/>
  <c r="N217" i="2" s="1"/>
  <c r="B217" i="2"/>
  <c r="A217" i="2"/>
  <c r="O216" i="2"/>
  <c r="N216" i="2" s="1"/>
  <c r="B216" i="2"/>
  <c r="A216" i="2"/>
  <c r="O215" i="2"/>
  <c r="N215" i="2" s="1"/>
  <c r="B215" i="2"/>
  <c r="A215" i="2"/>
  <c r="O214" i="2"/>
  <c r="N214" i="2" s="1"/>
  <c r="B214" i="2"/>
  <c r="A214" i="2"/>
  <c r="O213" i="2"/>
  <c r="N213" i="2" s="1"/>
  <c r="B213" i="2"/>
  <c r="A213" i="2"/>
  <c r="O212" i="2"/>
  <c r="N212" i="2" s="1"/>
  <c r="B212" i="2"/>
  <c r="A212" i="2"/>
  <c r="O211" i="2"/>
  <c r="N211" i="2" s="1"/>
  <c r="B211" i="2"/>
  <c r="A211" i="2"/>
  <c r="O210" i="2"/>
  <c r="N210" i="2" s="1"/>
  <c r="B210" i="2"/>
  <c r="A210" i="2"/>
  <c r="O209" i="2"/>
  <c r="N209" i="2" s="1"/>
  <c r="B209" i="2"/>
  <c r="A209" i="2"/>
  <c r="O208" i="2"/>
  <c r="N208" i="2" s="1"/>
  <c r="B208" i="2"/>
  <c r="A208" i="2"/>
  <c r="O207" i="2"/>
  <c r="N207" i="2" s="1"/>
  <c r="B207" i="2"/>
  <c r="A207" i="2"/>
  <c r="O206" i="2"/>
  <c r="N206" i="2" s="1"/>
  <c r="B206" i="2"/>
  <c r="A206" i="2"/>
  <c r="O205" i="2"/>
  <c r="N205" i="2" s="1"/>
  <c r="B205" i="2"/>
  <c r="A205" i="2"/>
  <c r="O204" i="2"/>
  <c r="N204" i="2" s="1"/>
  <c r="B204" i="2"/>
  <c r="A204" i="2"/>
  <c r="O203" i="2"/>
  <c r="N203" i="2" s="1"/>
  <c r="B203" i="2"/>
  <c r="A203" i="2"/>
  <c r="O202" i="2"/>
  <c r="N202" i="2" s="1"/>
  <c r="B202" i="2"/>
  <c r="A202" i="2"/>
  <c r="O201" i="2"/>
  <c r="N201" i="2" s="1"/>
  <c r="B201" i="2"/>
  <c r="A201" i="2"/>
  <c r="O200" i="2"/>
  <c r="N200" i="2" s="1"/>
  <c r="B200" i="2"/>
  <c r="A200" i="2"/>
  <c r="O199" i="2"/>
  <c r="N199" i="2" s="1"/>
  <c r="B199" i="2"/>
  <c r="A199" i="2"/>
  <c r="O198" i="2"/>
  <c r="N198" i="2" s="1"/>
  <c r="B198" i="2"/>
  <c r="A198" i="2"/>
  <c r="O197" i="2"/>
  <c r="N197" i="2" s="1"/>
  <c r="B197" i="2"/>
  <c r="A197" i="2"/>
  <c r="O196" i="2"/>
  <c r="N196" i="2" s="1"/>
  <c r="B196" i="2"/>
  <c r="A196" i="2"/>
  <c r="O195" i="2"/>
  <c r="N195" i="2" s="1"/>
  <c r="B195" i="2"/>
  <c r="A195" i="2"/>
  <c r="O194" i="2"/>
  <c r="N194" i="2" s="1"/>
  <c r="B194" i="2"/>
  <c r="A194" i="2"/>
  <c r="O193" i="2"/>
  <c r="N193" i="2" s="1"/>
  <c r="B193" i="2"/>
  <c r="A193" i="2"/>
  <c r="O192" i="2"/>
  <c r="N192" i="2" s="1"/>
  <c r="B192" i="2"/>
  <c r="A192" i="2"/>
  <c r="O191" i="2"/>
  <c r="N191" i="2" s="1"/>
  <c r="B191" i="2"/>
  <c r="A191" i="2"/>
  <c r="O190" i="2"/>
  <c r="B190" i="2"/>
  <c r="A190" i="2"/>
  <c r="O189" i="2"/>
  <c r="N189" i="2" s="1"/>
  <c r="B189" i="2"/>
  <c r="A189" i="2"/>
  <c r="O188" i="2"/>
  <c r="N188" i="2" s="1"/>
  <c r="B188" i="2"/>
  <c r="A188" i="2"/>
  <c r="O187" i="2"/>
  <c r="N187" i="2" s="1"/>
  <c r="B187" i="2"/>
  <c r="A187" i="2"/>
  <c r="O186" i="2"/>
  <c r="N186" i="2" s="1"/>
  <c r="B186" i="2"/>
  <c r="A186" i="2"/>
  <c r="O185" i="2"/>
  <c r="N185" i="2" s="1"/>
  <c r="B185" i="2"/>
  <c r="A185" i="2"/>
  <c r="O184" i="2"/>
  <c r="N184" i="2" s="1"/>
  <c r="B184" i="2"/>
  <c r="A184" i="2"/>
  <c r="O183" i="2"/>
  <c r="N183" i="2" s="1"/>
  <c r="B183" i="2"/>
  <c r="A183" i="2"/>
  <c r="O182" i="2"/>
  <c r="B182" i="2"/>
  <c r="A182" i="2"/>
  <c r="O181" i="2"/>
  <c r="B181" i="2"/>
  <c r="A181" i="2"/>
  <c r="O180" i="2"/>
  <c r="B180" i="2"/>
  <c r="A180" i="2"/>
  <c r="O179" i="2"/>
  <c r="B179" i="2"/>
  <c r="A179" i="2"/>
  <c r="O178" i="2"/>
  <c r="B178" i="2"/>
  <c r="A178" i="2"/>
  <c r="O177" i="2"/>
  <c r="N177" i="2" s="1"/>
  <c r="B177" i="2"/>
  <c r="A177" i="2"/>
  <c r="O176" i="2"/>
  <c r="B176" i="2"/>
  <c r="A176" i="2"/>
  <c r="O175" i="2"/>
  <c r="B175" i="2"/>
  <c r="A175" i="2"/>
  <c r="O174" i="2"/>
  <c r="B174" i="2"/>
  <c r="A174" i="2"/>
  <c r="O173" i="2"/>
  <c r="B173" i="2"/>
  <c r="A173" i="2"/>
  <c r="O172" i="2"/>
  <c r="B172" i="2"/>
  <c r="A172" i="2"/>
  <c r="O171" i="2"/>
  <c r="B171" i="2"/>
  <c r="A171" i="2"/>
  <c r="O170" i="2"/>
  <c r="B170" i="2"/>
  <c r="A170" i="2"/>
  <c r="O169" i="2"/>
  <c r="B169" i="2"/>
  <c r="A169" i="2"/>
  <c r="O168" i="2"/>
  <c r="B168" i="2"/>
  <c r="A168" i="2"/>
  <c r="O167" i="2"/>
  <c r="B167" i="2"/>
  <c r="A167" i="2"/>
  <c r="O166" i="2"/>
  <c r="B166" i="2"/>
  <c r="A166" i="2"/>
  <c r="O165" i="2"/>
  <c r="B165" i="2"/>
  <c r="A165" i="2"/>
  <c r="O164" i="2"/>
  <c r="N164" i="2" s="1"/>
  <c r="B164" i="2"/>
  <c r="A164" i="2"/>
  <c r="O163" i="2"/>
  <c r="N163" i="2" s="1"/>
  <c r="B163" i="2"/>
  <c r="A163" i="2"/>
  <c r="O162" i="2"/>
  <c r="B162" i="2"/>
  <c r="A162" i="2"/>
  <c r="O161" i="2"/>
  <c r="B161" i="2"/>
  <c r="A161" i="2"/>
  <c r="O160" i="2"/>
  <c r="B160" i="2"/>
  <c r="A160" i="2"/>
  <c r="O159" i="2"/>
  <c r="B159" i="2"/>
  <c r="A159" i="2"/>
  <c r="O158" i="2"/>
  <c r="N158" i="2" s="1"/>
  <c r="B158" i="2"/>
  <c r="A158" i="2"/>
  <c r="O157" i="2"/>
  <c r="B157" i="2"/>
  <c r="A157" i="2"/>
  <c r="O156" i="2"/>
  <c r="B156" i="2"/>
  <c r="A156" i="2"/>
  <c r="O155" i="2"/>
  <c r="N155" i="2" s="1"/>
  <c r="B155" i="2"/>
  <c r="A155" i="2"/>
  <c r="O154" i="2"/>
  <c r="B154" i="2"/>
  <c r="A154" i="2"/>
  <c r="O153" i="2"/>
  <c r="B153" i="2"/>
  <c r="A153" i="2"/>
  <c r="O152" i="2"/>
  <c r="B152" i="2"/>
  <c r="A152" i="2"/>
  <c r="O151" i="2"/>
  <c r="B151" i="2"/>
  <c r="A151" i="2"/>
  <c r="O150" i="2"/>
  <c r="B150" i="2"/>
  <c r="A150" i="2"/>
  <c r="O149" i="2"/>
  <c r="B149" i="2"/>
  <c r="A149" i="2"/>
  <c r="O148" i="2"/>
  <c r="B148" i="2"/>
  <c r="A148" i="2"/>
  <c r="O147" i="2"/>
  <c r="B147" i="2"/>
  <c r="A147" i="2"/>
  <c r="O146" i="2"/>
  <c r="B146" i="2"/>
  <c r="A146" i="2"/>
  <c r="O145" i="2"/>
  <c r="B145" i="2"/>
  <c r="A145" i="2"/>
  <c r="O144" i="2"/>
  <c r="B144" i="2"/>
  <c r="A144" i="2"/>
  <c r="O143" i="2"/>
  <c r="B143" i="2"/>
  <c r="A143" i="2"/>
  <c r="O142" i="2"/>
  <c r="N142" i="2" s="1"/>
  <c r="B142" i="2"/>
  <c r="A142" i="2"/>
  <c r="O141" i="2"/>
  <c r="N141" i="2" s="1"/>
  <c r="B141" i="2"/>
  <c r="A141" i="2"/>
  <c r="O140" i="2"/>
  <c r="N140" i="2" s="1"/>
  <c r="B140" i="2"/>
  <c r="A140" i="2"/>
  <c r="O139" i="2"/>
  <c r="N139" i="2" s="1"/>
  <c r="B139" i="2"/>
  <c r="A139" i="2"/>
  <c r="O138" i="2"/>
  <c r="N138" i="2" s="1"/>
  <c r="B138" i="2"/>
  <c r="A138" i="2"/>
  <c r="O137" i="2"/>
  <c r="N137" i="2" s="1"/>
  <c r="B137" i="2"/>
  <c r="A137" i="2"/>
  <c r="O136" i="2"/>
  <c r="N136" i="2" s="1"/>
  <c r="B136" i="2"/>
  <c r="A136" i="2"/>
  <c r="O135" i="2"/>
  <c r="N135" i="2" s="1"/>
  <c r="B135" i="2"/>
  <c r="A135" i="2"/>
  <c r="O134" i="2"/>
  <c r="N134" i="2" s="1"/>
  <c r="B134" i="2"/>
  <c r="A134" i="2"/>
  <c r="O133" i="2"/>
  <c r="N133" i="2" s="1"/>
  <c r="B133" i="2"/>
  <c r="A133" i="2"/>
  <c r="O132" i="2"/>
  <c r="N132" i="2" s="1"/>
  <c r="B132" i="2"/>
  <c r="A132" i="2"/>
  <c r="O131" i="2"/>
  <c r="N131" i="2" s="1"/>
  <c r="B131" i="2"/>
  <c r="A131" i="2"/>
  <c r="O130" i="2"/>
  <c r="N130" i="2" s="1"/>
  <c r="B130" i="2"/>
  <c r="A130" i="2"/>
  <c r="O129" i="2"/>
  <c r="N129" i="2" s="1"/>
  <c r="B129" i="2"/>
  <c r="A129" i="2"/>
  <c r="O128" i="2"/>
  <c r="N128" i="2" s="1"/>
  <c r="B128" i="2"/>
  <c r="A128" i="2"/>
  <c r="O127" i="2"/>
  <c r="N127" i="2" s="1"/>
  <c r="B127" i="2"/>
  <c r="A127" i="2"/>
  <c r="O126" i="2"/>
  <c r="N126" i="2" s="1"/>
  <c r="B126" i="2"/>
  <c r="A126" i="2"/>
  <c r="O125" i="2"/>
  <c r="N125" i="2" s="1"/>
  <c r="B125" i="2"/>
  <c r="A125" i="2"/>
  <c r="O124" i="2"/>
  <c r="N124" i="2" s="1"/>
  <c r="B124" i="2"/>
  <c r="A124" i="2"/>
  <c r="O123" i="2"/>
  <c r="N123" i="2" s="1"/>
  <c r="B123" i="2"/>
  <c r="A123" i="2"/>
  <c r="O122" i="2"/>
  <c r="N122" i="2" s="1"/>
  <c r="B122" i="2"/>
  <c r="A122" i="2"/>
  <c r="O121" i="2"/>
  <c r="N121" i="2" s="1"/>
  <c r="B121" i="2"/>
  <c r="A121" i="2"/>
  <c r="O120" i="2"/>
  <c r="N120" i="2" s="1"/>
  <c r="B120" i="2"/>
  <c r="A120" i="2"/>
  <c r="O119" i="2"/>
  <c r="N119" i="2" s="1"/>
  <c r="B119" i="2"/>
  <c r="A119" i="2"/>
  <c r="O118" i="2"/>
  <c r="N118" i="2" s="1"/>
  <c r="B118" i="2"/>
  <c r="A118" i="2"/>
  <c r="O117" i="2"/>
  <c r="N117" i="2" s="1"/>
  <c r="B117" i="2"/>
  <c r="A117" i="2"/>
  <c r="O116" i="2"/>
  <c r="N116" i="2" s="1"/>
  <c r="B116" i="2"/>
  <c r="A116" i="2"/>
  <c r="O115" i="2"/>
  <c r="N115" i="2" s="1"/>
  <c r="B115" i="2"/>
  <c r="A115" i="2"/>
  <c r="O114" i="2"/>
  <c r="N114" i="2" s="1"/>
  <c r="B114" i="2"/>
  <c r="A114" i="2"/>
  <c r="O113" i="2"/>
  <c r="N113" i="2" s="1"/>
  <c r="B113" i="2"/>
  <c r="A113" i="2"/>
  <c r="O112" i="2"/>
  <c r="N112" i="2" s="1"/>
  <c r="B112" i="2"/>
  <c r="A112" i="2"/>
  <c r="O111" i="2"/>
  <c r="N111" i="2" s="1"/>
  <c r="B111" i="2"/>
  <c r="A111" i="2"/>
  <c r="O110" i="2"/>
  <c r="N110" i="2" s="1"/>
  <c r="B110" i="2"/>
  <c r="A110" i="2"/>
  <c r="O109" i="2"/>
  <c r="N109" i="2" s="1"/>
  <c r="B109" i="2"/>
  <c r="A109" i="2"/>
  <c r="O108" i="2"/>
  <c r="N108" i="2" s="1"/>
  <c r="B108" i="2"/>
  <c r="A108" i="2"/>
  <c r="O107" i="2"/>
  <c r="N107" i="2" s="1"/>
  <c r="B107" i="2"/>
  <c r="A107" i="2"/>
  <c r="O106" i="2"/>
  <c r="N106" i="2" s="1"/>
  <c r="B106" i="2"/>
  <c r="A106" i="2"/>
  <c r="O105" i="2"/>
  <c r="N105" i="2" s="1"/>
  <c r="B105" i="2"/>
  <c r="A105" i="2"/>
  <c r="O104" i="2"/>
  <c r="N104" i="2" s="1"/>
  <c r="B104" i="2"/>
  <c r="A104" i="2"/>
  <c r="O103" i="2"/>
  <c r="N103" i="2" s="1"/>
  <c r="B103" i="2"/>
  <c r="A103" i="2"/>
  <c r="O102" i="2"/>
  <c r="N102" i="2" s="1"/>
  <c r="B102" i="2"/>
  <c r="A102" i="2"/>
  <c r="O101" i="2"/>
  <c r="N101" i="2" s="1"/>
  <c r="B101" i="2"/>
  <c r="A101" i="2"/>
  <c r="O100" i="2"/>
  <c r="S100" i="2" s="1"/>
  <c r="B100" i="2"/>
  <c r="A100" i="2"/>
  <c r="O99" i="2"/>
  <c r="B99" i="2"/>
  <c r="A99" i="2"/>
  <c r="O98" i="2"/>
  <c r="B98" i="2"/>
  <c r="A98" i="2"/>
  <c r="O97" i="2"/>
  <c r="B97" i="2"/>
  <c r="A97" i="2"/>
  <c r="O96" i="2"/>
  <c r="B96" i="2"/>
  <c r="A96" i="2"/>
  <c r="O95" i="2"/>
  <c r="B95" i="2"/>
  <c r="A95" i="2"/>
  <c r="O94" i="2"/>
  <c r="B94" i="2"/>
  <c r="A94" i="2"/>
  <c r="O93" i="2"/>
  <c r="B93" i="2"/>
  <c r="A93" i="2"/>
  <c r="O92" i="2"/>
  <c r="B92" i="2"/>
  <c r="A92" i="2"/>
  <c r="O91" i="2"/>
  <c r="B91" i="2"/>
  <c r="A91" i="2"/>
  <c r="O90" i="2"/>
  <c r="B90" i="2"/>
  <c r="A90" i="2"/>
  <c r="O89" i="2"/>
  <c r="B89" i="2"/>
  <c r="A89" i="2"/>
  <c r="O88" i="2"/>
  <c r="B88" i="2"/>
  <c r="A88" i="2"/>
  <c r="O87" i="2"/>
  <c r="B87" i="2"/>
  <c r="A87" i="2"/>
  <c r="O86" i="2"/>
  <c r="B86" i="2"/>
  <c r="A86" i="2"/>
  <c r="O85" i="2"/>
  <c r="B85" i="2"/>
  <c r="A85" i="2"/>
  <c r="O84" i="2"/>
  <c r="B84" i="2"/>
  <c r="A84" i="2"/>
  <c r="O83" i="2"/>
  <c r="B83" i="2"/>
  <c r="A83" i="2"/>
  <c r="O82" i="2"/>
  <c r="B82" i="2"/>
  <c r="A82" i="2"/>
  <c r="O81" i="2"/>
  <c r="B81" i="2"/>
  <c r="A81" i="2"/>
  <c r="O80" i="2"/>
  <c r="B80" i="2"/>
  <c r="A80" i="2"/>
  <c r="O79" i="2"/>
  <c r="B79" i="2"/>
  <c r="A79" i="2"/>
  <c r="O78" i="2"/>
  <c r="B78" i="2"/>
  <c r="A78" i="2"/>
  <c r="O77" i="2"/>
  <c r="B77" i="2"/>
  <c r="A77" i="2"/>
  <c r="O76" i="2"/>
  <c r="B76" i="2"/>
  <c r="A76" i="2"/>
  <c r="O75" i="2"/>
  <c r="N75" i="2" s="1"/>
  <c r="B75" i="2"/>
  <c r="A75" i="2"/>
  <c r="O74" i="2"/>
  <c r="N74" i="2" s="1"/>
  <c r="B74" i="2"/>
  <c r="A74" i="2"/>
  <c r="O73" i="2"/>
  <c r="N73" i="2" s="1"/>
  <c r="B73" i="2"/>
  <c r="A73" i="2"/>
  <c r="O72" i="2"/>
  <c r="N72" i="2" s="1"/>
  <c r="B72" i="2"/>
  <c r="A72" i="2"/>
  <c r="O71" i="2"/>
  <c r="N71" i="2" s="1"/>
  <c r="B71" i="2"/>
  <c r="A71" i="2"/>
  <c r="O70" i="2"/>
  <c r="N70" i="2" s="1"/>
  <c r="B70" i="2"/>
  <c r="A70" i="2"/>
  <c r="O69" i="2"/>
  <c r="N69" i="2" s="1"/>
  <c r="B69" i="2"/>
  <c r="A69" i="2"/>
  <c r="O68" i="2"/>
  <c r="N68" i="2" s="1"/>
  <c r="B68" i="2"/>
  <c r="A68" i="2"/>
  <c r="O67" i="2"/>
  <c r="N67" i="2" s="1"/>
  <c r="B67" i="2"/>
  <c r="A67" i="2"/>
  <c r="O66" i="2"/>
  <c r="B66" i="2"/>
  <c r="A66" i="2"/>
  <c r="O65" i="2"/>
  <c r="B65" i="2"/>
  <c r="A65" i="2"/>
  <c r="O64" i="2"/>
  <c r="N64" i="2" s="1"/>
  <c r="B64" i="2"/>
  <c r="A64" i="2"/>
  <c r="O63" i="2"/>
  <c r="B63" i="2"/>
  <c r="A63" i="2"/>
  <c r="O62" i="2"/>
  <c r="B62" i="2"/>
  <c r="A62" i="2"/>
  <c r="O61" i="2"/>
  <c r="B61" i="2"/>
  <c r="A61" i="2"/>
  <c r="O60" i="2"/>
  <c r="B60" i="2"/>
  <c r="A60" i="2"/>
  <c r="O59" i="2"/>
  <c r="B59" i="2"/>
  <c r="A59" i="2"/>
  <c r="O58" i="2"/>
  <c r="B58" i="2"/>
  <c r="A58" i="2"/>
  <c r="O57" i="2"/>
  <c r="B57" i="2"/>
  <c r="A57" i="2"/>
  <c r="O56" i="2"/>
  <c r="B56" i="2"/>
  <c r="A56" i="2"/>
  <c r="O55" i="2"/>
  <c r="B55" i="2"/>
  <c r="A55" i="2"/>
  <c r="O54" i="2"/>
  <c r="B54" i="2"/>
  <c r="A54" i="2"/>
  <c r="O53" i="2"/>
  <c r="B53" i="2"/>
  <c r="A53" i="2"/>
  <c r="O52" i="2"/>
  <c r="B52" i="2"/>
  <c r="A52" i="2"/>
  <c r="O51" i="2"/>
  <c r="B51" i="2"/>
  <c r="A51" i="2"/>
  <c r="O50" i="2"/>
  <c r="B50" i="2"/>
  <c r="A50" i="2"/>
  <c r="O49" i="2"/>
  <c r="N49" i="2" s="1"/>
  <c r="B49" i="2"/>
  <c r="A49" i="2"/>
  <c r="O48" i="2"/>
  <c r="B48" i="2"/>
  <c r="A48" i="2"/>
  <c r="O47" i="2"/>
  <c r="N47" i="2" s="1"/>
  <c r="B47" i="2"/>
  <c r="A47" i="2"/>
  <c r="O46" i="2"/>
  <c r="N46" i="2" s="1"/>
  <c r="B46" i="2"/>
  <c r="A46" i="2"/>
  <c r="O45" i="2"/>
  <c r="B45" i="2"/>
  <c r="A45" i="2"/>
  <c r="O44" i="2"/>
  <c r="B44" i="2"/>
  <c r="A44" i="2"/>
  <c r="O43" i="2"/>
  <c r="B43" i="2"/>
  <c r="A43" i="2"/>
  <c r="O42" i="2"/>
  <c r="B42" i="2"/>
  <c r="A42" i="2"/>
  <c r="O41" i="2"/>
  <c r="B41" i="2"/>
  <c r="A41" i="2"/>
  <c r="O40" i="2"/>
  <c r="N40" i="2" s="1"/>
  <c r="B40" i="2"/>
  <c r="A40" i="2"/>
  <c r="O39" i="2"/>
  <c r="B39" i="2"/>
  <c r="A39" i="2"/>
  <c r="O38" i="2"/>
  <c r="B38" i="2"/>
  <c r="A38" i="2"/>
  <c r="O37" i="2"/>
  <c r="B37" i="2"/>
  <c r="A37" i="2"/>
  <c r="O36" i="2"/>
  <c r="B36" i="2"/>
  <c r="A36" i="2"/>
  <c r="O35" i="2"/>
  <c r="B35" i="2"/>
  <c r="A35" i="2"/>
  <c r="O34" i="2"/>
  <c r="N34" i="2" s="1"/>
  <c r="B34" i="2"/>
  <c r="A34" i="2"/>
  <c r="O33" i="2"/>
  <c r="B33" i="2"/>
  <c r="A33" i="2"/>
  <c r="O32" i="2"/>
  <c r="B32" i="2"/>
  <c r="A32" i="2"/>
  <c r="O31" i="2"/>
  <c r="B31" i="2"/>
  <c r="A31" i="2"/>
  <c r="O30" i="2"/>
  <c r="B30" i="2"/>
  <c r="A30" i="2"/>
  <c r="O29" i="2"/>
  <c r="B29" i="2"/>
  <c r="A29" i="2"/>
  <c r="O28" i="2"/>
  <c r="B28" i="2"/>
  <c r="A28" i="2"/>
  <c r="O27" i="2"/>
  <c r="B27" i="2"/>
  <c r="A27" i="2"/>
  <c r="O26" i="2"/>
  <c r="B26" i="2"/>
  <c r="A26" i="2"/>
  <c r="O25" i="2"/>
  <c r="B25" i="2"/>
  <c r="A25" i="2"/>
  <c r="O24" i="2"/>
  <c r="B24" i="2"/>
  <c r="A24" i="2"/>
  <c r="O23" i="2"/>
  <c r="B23" i="2"/>
  <c r="A23" i="2"/>
  <c r="O22" i="2"/>
  <c r="B22" i="2"/>
  <c r="A22" i="2"/>
  <c r="O21" i="2"/>
  <c r="B21" i="2"/>
  <c r="A21" i="2"/>
  <c r="O20" i="2"/>
  <c r="B20" i="2"/>
  <c r="A20" i="2"/>
  <c r="O19" i="2"/>
  <c r="B19" i="2"/>
  <c r="A19" i="2"/>
  <c r="O18" i="2"/>
  <c r="B18" i="2"/>
  <c r="A18" i="2"/>
  <c r="O17" i="2"/>
  <c r="B17" i="2"/>
  <c r="A17" i="2"/>
  <c r="O16" i="2"/>
  <c r="B16" i="2"/>
  <c r="A16" i="2"/>
  <c r="O15" i="2"/>
  <c r="B15" i="2"/>
  <c r="A15" i="2"/>
  <c r="O14" i="2"/>
  <c r="B14" i="2"/>
  <c r="A14" i="2"/>
  <c r="O13" i="2"/>
  <c r="B13" i="2"/>
  <c r="A13" i="2"/>
  <c r="O12" i="2"/>
  <c r="B12" i="2"/>
  <c r="A12" i="2"/>
  <c r="O11" i="2"/>
  <c r="B11" i="2"/>
  <c r="A11" i="2"/>
  <c r="O10" i="2"/>
  <c r="B10" i="2"/>
  <c r="A10" i="2"/>
  <c r="O9" i="2"/>
  <c r="B9" i="2"/>
  <c r="A9" i="2"/>
  <c r="O8" i="2"/>
  <c r="B8" i="2"/>
  <c r="A8" i="2"/>
  <c r="O7" i="2"/>
  <c r="B7" i="2"/>
  <c r="A7" i="2"/>
  <c r="O6" i="2"/>
  <c r="B6" i="2"/>
  <c r="A6" i="2"/>
  <c r="A3" i="2"/>
  <c r="M2" i="2"/>
  <c r="K2" i="2"/>
  <c r="J2" i="2"/>
  <c r="I2" i="2"/>
  <c r="H2" i="2"/>
  <c r="G2" i="2"/>
  <c r="D2" i="2"/>
  <c r="C2" i="2"/>
  <c r="A2" i="2"/>
  <c r="K19" i="1"/>
  <c r="F19" i="1"/>
  <c r="E19" i="1"/>
  <c r="D19" i="1"/>
  <c r="B19" i="1"/>
  <c r="K18" i="1"/>
  <c r="F18" i="1"/>
  <c r="E18" i="1"/>
  <c r="D18" i="1"/>
  <c r="B18" i="1"/>
  <c r="K17" i="1"/>
  <c r="F17" i="1"/>
  <c r="E17" i="1"/>
  <c r="D17" i="1"/>
  <c r="B17" i="1"/>
  <c r="K16" i="1"/>
  <c r="F16" i="1"/>
  <c r="E16" i="1"/>
  <c r="D16" i="1"/>
  <c r="B16" i="1"/>
  <c r="F12" i="1"/>
  <c r="D12" i="1"/>
  <c r="B12" i="1"/>
  <c r="K8" i="1"/>
  <c r="H8" i="1"/>
  <c r="E8" i="1"/>
  <c r="B8" i="1"/>
  <c r="K7" i="1"/>
  <c r="H7" i="1"/>
  <c r="E7" i="1"/>
  <c r="B7" i="1"/>
  <c r="L5" i="1"/>
  <c r="J5" i="1"/>
  <c r="H5" i="1"/>
  <c r="E5" i="1"/>
  <c r="B5" i="1"/>
  <c r="B2" i="1"/>
  <c r="D20" i="1" l="1"/>
  <c r="E20" i="1"/>
  <c r="F20" i="1"/>
  <c r="V285" i="2"/>
  <c r="W285" i="2" s="1"/>
  <c r="U285" i="2"/>
  <c r="T285" i="2"/>
  <c r="V190" i="2"/>
  <c r="W190" i="2" s="1"/>
  <c r="U190" i="2"/>
  <c r="N190" i="2"/>
  <c r="R159" i="2"/>
  <c r="N159" i="2"/>
  <c r="S76" i="2"/>
  <c r="N76" i="2"/>
  <c r="J6" i="7"/>
  <c r="J6" i="10"/>
  <c r="J6" i="8"/>
  <c r="J6" i="9"/>
  <c r="V305" i="2"/>
  <c r="W305" i="2" s="1"/>
  <c r="U305" i="2"/>
  <c r="T305" i="2"/>
  <c r="S305" i="2"/>
  <c r="R305" i="2"/>
  <c r="Q305" i="2"/>
  <c r="P305" i="2"/>
  <c r="V304" i="2"/>
  <c r="W304" i="2" s="1"/>
  <c r="U304" i="2"/>
  <c r="T304" i="2"/>
  <c r="S304" i="2"/>
  <c r="R304" i="2"/>
  <c r="Q304" i="2"/>
  <c r="P304" i="2"/>
  <c r="V303" i="2"/>
  <c r="W303" i="2" s="1"/>
  <c r="U303" i="2"/>
  <c r="T303" i="2"/>
  <c r="S303" i="2"/>
  <c r="R303" i="2"/>
  <c r="Q303" i="2"/>
  <c r="P303" i="2"/>
  <c r="V302" i="2"/>
  <c r="W302" i="2" s="1"/>
  <c r="U302" i="2"/>
  <c r="T302" i="2"/>
  <c r="S302" i="2"/>
  <c r="R302" i="2"/>
  <c r="Q302" i="2"/>
  <c r="P302" i="2"/>
  <c r="V301" i="2"/>
  <c r="W301" i="2" s="1"/>
  <c r="U301" i="2"/>
  <c r="T301" i="2"/>
  <c r="S301" i="2"/>
  <c r="R301" i="2"/>
  <c r="Q301" i="2"/>
  <c r="P301" i="2"/>
  <c r="V300" i="2"/>
  <c r="W300" i="2" s="1"/>
  <c r="U300" i="2"/>
  <c r="T300" i="2"/>
  <c r="S300" i="2"/>
  <c r="R300" i="2"/>
  <c r="Q300" i="2"/>
  <c r="P300" i="2"/>
  <c r="V299" i="2"/>
  <c r="W299" i="2" s="1"/>
  <c r="U299" i="2"/>
  <c r="T299" i="2"/>
  <c r="S299" i="2"/>
  <c r="R299" i="2"/>
  <c r="Q299" i="2"/>
  <c r="P299" i="2"/>
  <c r="V298" i="2"/>
  <c r="W298" i="2" s="1"/>
  <c r="U298" i="2"/>
  <c r="T298" i="2"/>
  <c r="S298" i="2"/>
  <c r="R298" i="2"/>
  <c r="Q298" i="2"/>
  <c r="P298" i="2"/>
  <c r="V297" i="2"/>
  <c r="W297" i="2" s="1"/>
  <c r="U297" i="2"/>
  <c r="T297" i="2"/>
  <c r="S297" i="2"/>
  <c r="R297" i="2"/>
  <c r="Q297" i="2"/>
  <c r="P297" i="2"/>
  <c r="V296" i="2"/>
  <c r="W296" i="2" s="1"/>
  <c r="U296" i="2"/>
  <c r="T296" i="2"/>
  <c r="S296" i="2"/>
  <c r="R296" i="2"/>
  <c r="Q296" i="2"/>
  <c r="P296" i="2"/>
  <c r="V295" i="2"/>
  <c r="W295" i="2" s="1"/>
  <c r="U295" i="2"/>
  <c r="T295" i="2"/>
  <c r="S295" i="2"/>
  <c r="R295" i="2"/>
  <c r="Q295" i="2"/>
  <c r="P295" i="2"/>
  <c r="V294" i="2"/>
  <c r="W294" i="2" s="1"/>
  <c r="U294" i="2"/>
  <c r="T294" i="2"/>
  <c r="S294" i="2"/>
  <c r="R294" i="2"/>
  <c r="Q294" i="2"/>
  <c r="P294" i="2"/>
  <c r="V293" i="2"/>
  <c r="W293" i="2" s="1"/>
  <c r="U293" i="2"/>
  <c r="T293" i="2"/>
  <c r="S293" i="2"/>
  <c r="R293" i="2"/>
  <c r="Q293" i="2"/>
  <c r="P293" i="2"/>
  <c r="V292" i="2"/>
  <c r="W292" i="2" s="1"/>
  <c r="U292" i="2"/>
  <c r="T292" i="2"/>
  <c r="S292" i="2"/>
  <c r="R292" i="2"/>
  <c r="Q292" i="2"/>
  <c r="P292" i="2"/>
  <c r="V291" i="2"/>
  <c r="W291" i="2" s="1"/>
  <c r="U291" i="2"/>
  <c r="T291" i="2"/>
  <c r="S291" i="2"/>
  <c r="R291" i="2"/>
  <c r="Q291" i="2"/>
  <c r="P291" i="2"/>
  <c r="V290" i="2"/>
  <c r="W290" i="2" s="1"/>
  <c r="U290" i="2"/>
  <c r="T290" i="2"/>
  <c r="S290" i="2"/>
  <c r="R290" i="2"/>
  <c r="Q290" i="2"/>
  <c r="P290" i="2"/>
  <c r="V289" i="2"/>
  <c r="W289" i="2" s="1"/>
  <c r="U289" i="2"/>
  <c r="T289" i="2"/>
  <c r="S289" i="2"/>
  <c r="R289" i="2"/>
  <c r="Q289" i="2"/>
  <c r="P289" i="2"/>
  <c r="V288" i="2"/>
  <c r="W288" i="2" s="1"/>
  <c r="U288" i="2"/>
  <c r="T288" i="2"/>
  <c r="S288" i="2"/>
  <c r="R288" i="2"/>
  <c r="Q288" i="2"/>
  <c r="P288" i="2"/>
  <c r="V287" i="2"/>
  <c r="W287" i="2" s="1"/>
  <c r="U287" i="2"/>
  <c r="T287" i="2"/>
  <c r="S287" i="2"/>
  <c r="R287" i="2"/>
  <c r="Q287" i="2"/>
  <c r="P287" i="2"/>
  <c r="V286" i="2"/>
  <c r="W286" i="2" s="1"/>
  <c r="U286" i="2"/>
  <c r="T286" i="2"/>
  <c r="S286" i="2"/>
  <c r="R286" i="2"/>
  <c r="Q286" i="2"/>
  <c r="P286" i="2"/>
  <c r="S285" i="2"/>
  <c r="R285" i="2"/>
  <c r="P285" i="2"/>
  <c r="Q285" i="2"/>
  <c r="P284" i="2"/>
  <c r="Q284" i="2"/>
  <c r="R284" i="2"/>
  <c r="S284" i="2"/>
  <c r="T284" i="2"/>
  <c r="U284" i="2"/>
  <c r="V284" i="2"/>
  <c r="W284" i="2" s="1"/>
  <c r="P283" i="2"/>
  <c r="Q283" i="2"/>
  <c r="R283" i="2"/>
  <c r="S283" i="2"/>
  <c r="V283" i="2"/>
  <c r="W283" i="2" s="1"/>
  <c r="U283" i="2"/>
  <c r="T283" i="2"/>
  <c r="P282" i="2"/>
  <c r="Q282" i="2"/>
  <c r="R282" i="2"/>
  <c r="S282" i="2"/>
  <c r="T282" i="2"/>
  <c r="U282" i="2"/>
  <c r="V282" i="2"/>
  <c r="W282" i="2" s="1"/>
  <c r="P281" i="2"/>
  <c r="V281" i="2"/>
  <c r="W281" i="2" s="1"/>
  <c r="U281" i="2"/>
  <c r="T281" i="2"/>
  <c r="S281" i="2"/>
  <c r="R281" i="2"/>
  <c r="Q281" i="2"/>
  <c r="V280" i="2"/>
  <c r="W280" i="2" s="1"/>
  <c r="R280" i="2"/>
  <c r="U280" i="2"/>
  <c r="S280" i="2"/>
  <c r="T280" i="2"/>
  <c r="Q280" i="2"/>
  <c r="P280" i="2"/>
  <c r="P279" i="2"/>
  <c r="U279" i="2"/>
  <c r="T279" i="2"/>
  <c r="S279" i="2"/>
  <c r="R279" i="2"/>
  <c r="Q279" i="2"/>
  <c r="V279" i="2"/>
  <c r="W279" i="2" s="1"/>
  <c r="R278" i="2"/>
  <c r="U278" i="2"/>
  <c r="V278" i="2"/>
  <c r="W278" i="2" s="1"/>
  <c r="T278" i="2"/>
  <c r="S278" i="2"/>
  <c r="Q278" i="2"/>
  <c r="P278" i="2"/>
  <c r="T277" i="2"/>
  <c r="R277" i="2"/>
  <c r="Q277" i="2"/>
  <c r="S277" i="2"/>
  <c r="P277" i="2"/>
  <c r="V277" i="2"/>
  <c r="W277" i="2" s="1"/>
  <c r="U277" i="2"/>
  <c r="V276" i="2"/>
  <c r="W276" i="2" s="1"/>
  <c r="U276" i="2"/>
  <c r="T276" i="2"/>
  <c r="S276" i="2"/>
  <c r="R276" i="2"/>
  <c r="Q276" i="2"/>
  <c r="P276" i="2"/>
  <c r="V275" i="2"/>
  <c r="W275" i="2" s="1"/>
  <c r="U275" i="2"/>
  <c r="T275" i="2"/>
  <c r="S275" i="2"/>
  <c r="R275" i="2"/>
  <c r="Q275" i="2"/>
  <c r="P275" i="2"/>
  <c r="V274" i="2"/>
  <c r="W274" i="2" s="1"/>
  <c r="U274" i="2"/>
  <c r="T274" i="2"/>
  <c r="S274" i="2"/>
  <c r="R274" i="2"/>
  <c r="Q274" i="2"/>
  <c r="P274" i="2"/>
  <c r="U273" i="2"/>
  <c r="V273" i="2"/>
  <c r="W273" i="2" s="1"/>
  <c r="T273" i="2"/>
  <c r="S273" i="2"/>
  <c r="R273" i="2"/>
  <c r="Q273" i="2"/>
  <c r="P273" i="2"/>
  <c r="V272" i="2"/>
  <c r="W272" i="2" s="1"/>
  <c r="U272" i="2"/>
  <c r="T272" i="2"/>
  <c r="S272" i="2"/>
  <c r="R272" i="2"/>
  <c r="Q272" i="2"/>
  <c r="P272" i="2"/>
  <c r="V271" i="2"/>
  <c r="W271" i="2" s="1"/>
  <c r="U271" i="2"/>
  <c r="T271" i="2"/>
  <c r="S271" i="2"/>
  <c r="R271" i="2"/>
  <c r="Q271" i="2"/>
  <c r="P271" i="2"/>
  <c r="V270" i="2"/>
  <c r="W270" i="2" s="1"/>
  <c r="U270" i="2"/>
  <c r="T270" i="2"/>
  <c r="S270" i="2"/>
  <c r="R270" i="2"/>
  <c r="Q270" i="2"/>
  <c r="P270" i="2"/>
  <c r="Q269" i="2"/>
  <c r="P269" i="2"/>
  <c r="V269" i="2"/>
  <c r="W269" i="2" s="1"/>
  <c r="U269" i="2"/>
  <c r="T269" i="2"/>
  <c r="S269" i="2"/>
  <c r="R269" i="2"/>
  <c r="V268" i="2"/>
  <c r="W268" i="2" s="1"/>
  <c r="U268" i="2"/>
  <c r="T268" i="2"/>
  <c r="S268" i="2"/>
  <c r="R268" i="2"/>
  <c r="Q268" i="2"/>
  <c r="P268" i="2"/>
  <c r="P267" i="2"/>
  <c r="V267" i="2"/>
  <c r="W267" i="2" s="1"/>
  <c r="U267" i="2"/>
  <c r="T267" i="2"/>
  <c r="S267" i="2"/>
  <c r="R267" i="2"/>
  <c r="Q267" i="2"/>
  <c r="V266" i="2"/>
  <c r="W266" i="2" s="1"/>
  <c r="U266" i="2"/>
  <c r="T266" i="2"/>
  <c r="S266" i="2"/>
  <c r="R266" i="2"/>
  <c r="Q266" i="2"/>
  <c r="P266" i="2"/>
  <c r="P265" i="2"/>
  <c r="Q265" i="2"/>
  <c r="R265" i="2"/>
  <c r="S265" i="2"/>
  <c r="T265" i="2"/>
  <c r="V265" i="2"/>
  <c r="W265" i="2" s="1"/>
  <c r="U265" i="2"/>
  <c r="T264" i="2"/>
  <c r="U264" i="2"/>
  <c r="V264" i="2"/>
  <c r="W264" i="2" s="1"/>
  <c r="S264" i="2"/>
  <c r="P264" i="2"/>
  <c r="Q264" i="2"/>
  <c r="R264" i="2"/>
  <c r="U263" i="2"/>
  <c r="V263" i="2"/>
  <c r="W263" i="2" s="1"/>
  <c r="R263" i="2"/>
  <c r="P263" i="2"/>
  <c r="S263" i="2"/>
  <c r="T263" i="2"/>
  <c r="Q263" i="2"/>
  <c r="P262" i="2"/>
  <c r="Q262" i="2"/>
  <c r="R262" i="2"/>
  <c r="T262" i="2"/>
  <c r="U262" i="2"/>
  <c r="V262" i="2"/>
  <c r="W262" i="2" s="1"/>
  <c r="S262" i="2"/>
  <c r="S261" i="2"/>
  <c r="V261" i="2"/>
  <c r="W261" i="2" s="1"/>
  <c r="U261" i="2"/>
  <c r="T261" i="2"/>
  <c r="R261" i="2"/>
  <c r="Q261" i="2"/>
  <c r="P261" i="2"/>
  <c r="T260" i="2"/>
  <c r="U260" i="2"/>
  <c r="V260" i="2"/>
  <c r="W260" i="2" s="1"/>
  <c r="S260" i="2"/>
  <c r="R260" i="2"/>
  <c r="Q260" i="2"/>
  <c r="P260" i="2"/>
  <c r="V259" i="2"/>
  <c r="W259" i="2" s="1"/>
  <c r="U259" i="2"/>
  <c r="T259" i="2"/>
  <c r="S259" i="2"/>
  <c r="R259" i="2"/>
  <c r="Q259" i="2"/>
  <c r="P259" i="2"/>
  <c r="V258" i="2"/>
  <c r="W258" i="2" s="1"/>
  <c r="U258" i="2"/>
  <c r="T258" i="2"/>
  <c r="S258" i="2"/>
  <c r="R258" i="2"/>
  <c r="Q258" i="2"/>
  <c r="P258" i="2"/>
  <c r="V257" i="2"/>
  <c r="W257" i="2" s="1"/>
  <c r="U257" i="2"/>
  <c r="T257" i="2"/>
  <c r="S257" i="2"/>
  <c r="R257" i="2"/>
  <c r="Q257" i="2"/>
  <c r="P257" i="2"/>
  <c r="V256" i="2"/>
  <c r="W256" i="2" s="1"/>
  <c r="U256" i="2"/>
  <c r="T256" i="2"/>
  <c r="S256" i="2"/>
  <c r="R256" i="2"/>
  <c r="Q256" i="2"/>
  <c r="P256" i="2"/>
  <c r="P255" i="2"/>
  <c r="V255" i="2"/>
  <c r="W255" i="2" s="1"/>
  <c r="U255" i="2"/>
  <c r="T255" i="2"/>
  <c r="S255" i="2"/>
  <c r="R255" i="2"/>
  <c r="Q255" i="2"/>
  <c r="P254" i="2"/>
  <c r="Q254" i="2"/>
  <c r="R254" i="2"/>
  <c r="S254" i="2"/>
  <c r="U254" i="2"/>
  <c r="V254" i="2"/>
  <c r="W254" i="2" s="1"/>
  <c r="T254" i="2"/>
  <c r="P253" i="2"/>
  <c r="Q253" i="2"/>
  <c r="R253" i="2"/>
  <c r="S253" i="2"/>
  <c r="T253" i="2"/>
  <c r="U253" i="2"/>
  <c r="V253" i="2"/>
  <c r="W253" i="2" s="1"/>
  <c r="R252" i="2"/>
  <c r="S252" i="2"/>
  <c r="T252" i="2"/>
  <c r="U252" i="2"/>
  <c r="V252" i="2"/>
  <c r="W252" i="2" s="1"/>
  <c r="Q252" i="2"/>
  <c r="P252" i="2"/>
  <c r="S251" i="2"/>
  <c r="R251" i="2"/>
  <c r="P251" i="2"/>
  <c r="U251" i="2"/>
  <c r="Q251" i="2"/>
  <c r="V251" i="2"/>
  <c r="W251" i="2" s="1"/>
  <c r="T251" i="2"/>
  <c r="S250" i="2"/>
  <c r="V250" i="2"/>
  <c r="W250" i="2" s="1"/>
  <c r="P250" i="2"/>
  <c r="Q250" i="2"/>
  <c r="R250" i="2"/>
  <c r="T250" i="2"/>
  <c r="U250" i="2"/>
  <c r="P249" i="2"/>
  <c r="Q249" i="2"/>
  <c r="R249" i="2"/>
  <c r="T249" i="2"/>
  <c r="U249" i="2"/>
  <c r="S249" i="2"/>
  <c r="V249" i="2"/>
  <c r="W249" i="2" s="1"/>
  <c r="P248" i="2"/>
  <c r="Q248" i="2"/>
  <c r="R248" i="2"/>
  <c r="S248" i="2"/>
  <c r="T248" i="2"/>
  <c r="U248" i="2"/>
  <c r="V248" i="2"/>
  <c r="W248" i="2" s="1"/>
  <c r="V247" i="2"/>
  <c r="W247" i="2" s="1"/>
  <c r="U247" i="2"/>
  <c r="T247" i="2"/>
  <c r="S247" i="2"/>
  <c r="R247" i="2"/>
  <c r="Q247" i="2"/>
  <c r="P247" i="2"/>
  <c r="T246" i="2"/>
  <c r="U246" i="2"/>
  <c r="S246" i="2"/>
  <c r="R246" i="2"/>
  <c r="Q246" i="2"/>
  <c r="P246" i="2"/>
  <c r="V246" i="2"/>
  <c r="W246" i="2" s="1"/>
  <c r="V245" i="2"/>
  <c r="W245" i="2" s="1"/>
  <c r="U245" i="2"/>
  <c r="T245" i="2"/>
  <c r="S245" i="2"/>
  <c r="R245" i="2"/>
  <c r="Q245" i="2"/>
  <c r="P245" i="2"/>
  <c r="U244" i="2"/>
  <c r="T244" i="2"/>
  <c r="S244" i="2"/>
  <c r="R244" i="2"/>
  <c r="Q244" i="2"/>
  <c r="P244" i="2"/>
  <c r="V244" i="2"/>
  <c r="W244" i="2" s="1"/>
  <c r="V243" i="2"/>
  <c r="W243" i="2" s="1"/>
  <c r="T243" i="2"/>
  <c r="S243" i="2"/>
  <c r="R243" i="2"/>
  <c r="Q243" i="2"/>
  <c r="P243" i="2"/>
  <c r="U243" i="2"/>
  <c r="T242" i="2"/>
  <c r="V242" i="2"/>
  <c r="W242" i="2" s="1"/>
  <c r="U242" i="2"/>
  <c r="P242" i="2"/>
  <c r="S242" i="2"/>
  <c r="R242" i="2"/>
  <c r="Q242" i="2"/>
  <c r="V241" i="2"/>
  <c r="W241" i="2" s="1"/>
  <c r="U241" i="2"/>
  <c r="T241" i="2"/>
  <c r="S241" i="2"/>
  <c r="R241" i="2"/>
  <c r="Q241" i="2"/>
  <c r="P241" i="2"/>
  <c r="P240" i="2"/>
  <c r="Q240" i="2"/>
  <c r="R240" i="2"/>
  <c r="S240" i="2"/>
  <c r="T240" i="2"/>
  <c r="U240" i="2"/>
  <c r="V240" i="2"/>
  <c r="W240" i="2" s="1"/>
  <c r="S239" i="2"/>
  <c r="U239" i="2"/>
  <c r="T239" i="2"/>
  <c r="R239" i="2"/>
  <c r="Q239" i="2"/>
  <c r="P239" i="2"/>
  <c r="V239" i="2"/>
  <c r="W239" i="2" s="1"/>
  <c r="R238" i="2"/>
  <c r="S238" i="2"/>
  <c r="T238" i="2"/>
  <c r="V238" i="2"/>
  <c r="W238" i="2" s="1"/>
  <c r="P238" i="2"/>
  <c r="Q238" i="2"/>
  <c r="U238" i="2"/>
  <c r="N238" i="2"/>
  <c r="Q237" i="2"/>
  <c r="R237" i="2"/>
  <c r="P237" i="2"/>
  <c r="S237" i="2"/>
  <c r="T237" i="2"/>
  <c r="U237" i="2"/>
  <c r="V237" i="2"/>
  <c r="W237" i="2" s="1"/>
  <c r="U236" i="2"/>
  <c r="V236" i="2"/>
  <c r="W236" i="2" s="1"/>
  <c r="P236" i="2"/>
  <c r="Q236" i="2"/>
  <c r="R236" i="2"/>
  <c r="S236" i="2"/>
  <c r="T236" i="2"/>
  <c r="V235" i="2"/>
  <c r="W235" i="2" s="1"/>
  <c r="U235" i="2"/>
  <c r="T235" i="2"/>
  <c r="S235" i="2"/>
  <c r="R235" i="2"/>
  <c r="Q235" i="2"/>
  <c r="P235" i="2"/>
  <c r="T234" i="2"/>
  <c r="R234" i="2"/>
  <c r="S234" i="2"/>
  <c r="Q234" i="2"/>
  <c r="P234" i="2"/>
  <c r="V234" i="2"/>
  <c r="W234" i="2" s="1"/>
  <c r="U234" i="2"/>
  <c r="P233" i="2"/>
  <c r="Q233" i="2"/>
  <c r="R233" i="2"/>
  <c r="S233" i="2"/>
  <c r="T233" i="2"/>
  <c r="U233" i="2"/>
  <c r="V233" i="2"/>
  <c r="W233" i="2" s="1"/>
  <c r="U232" i="2"/>
  <c r="T232" i="2"/>
  <c r="S232" i="2"/>
  <c r="V232" i="2"/>
  <c r="W232" i="2" s="1"/>
  <c r="R232" i="2"/>
  <c r="P232" i="2"/>
  <c r="Q232" i="2"/>
  <c r="P231" i="2"/>
  <c r="Q231" i="2"/>
  <c r="R231" i="2"/>
  <c r="S231" i="2"/>
  <c r="T231" i="2"/>
  <c r="U231" i="2"/>
  <c r="V231" i="2"/>
  <c r="W231" i="2" s="1"/>
  <c r="T230" i="2"/>
  <c r="V230" i="2"/>
  <c r="W230" i="2" s="1"/>
  <c r="Q230" i="2"/>
  <c r="R230" i="2"/>
  <c r="S230" i="2"/>
  <c r="U230" i="2"/>
  <c r="P230" i="2"/>
  <c r="P229" i="2"/>
  <c r="Q229" i="2"/>
  <c r="S229" i="2"/>
  <c r="T229" i="2"/>
  <c r="U229" i="2"/>
  <c r="V229" i="2"/>
  <c r="W229" i="2" s="1"/>
  <c r="R229" i="2"/>
  <c r="V228" i="2"/>
  <c r="W228" i="2" s="1"/>
  <c r="U228" i="2"/>
  <c r="T228" i="2"/>
  <c r="R228" i="2"/>
  <c r="Q228" i="2"/>
  <c r="P228" i="2"/>
  <c r="S228" i="2"/>
  <c r="V227" i="2"/>
  <c r="W227" i="2" s="1"/>
  <c r="U227" i="2"/>
  <c r="T227" i="2"/>
  <c r="S227" i="2"/>
  <c r="Q227" i="2"/>
  <c r="P227" i="2"/>
  <c r="R227" i="2"/>
  <c r="V226" i="2"/>
  <c r="W226" i="2" s="1"/>
  <c r="R226" i="2"/>
  <c r="U226" i="2"/>
  <c r="T226" i="2"/>
  <c r="S226" i="2"/>
  <c r="Q226" i="2"/>
  <c r="P226" i="2"/>
  <c r="V225" i="2"/>
  <c r="W225" i="2" s="1"/>
  <c r="U225" i="2"/>
  <c r="T225" i="2"/>
  <c r="S225" i="2"/>
  <c r="R225" i="2"/>
  <c r="Q225" i="2"/>
  <c r="P225" i="2"/>
  <c r="V224" i="2"/>
  <c r="W224" i="2" s="1"/>
  <c r="T224" i="2"/>
  <c r="S224" i="2"/>
  <c r="R224" i="2"/>
  <c r="U224" i="2"/>
  <c r="Q224" i="2"/>
  <c r="P224" i="2"/>
  <c r="R223" i="2"/>
  <c r="S223" i="2"/>
  <c r="T223" i="2"/>
  <c r="P223" i="2"/>
  <c r="V223" i="2"/>
  <c r="W223" i="2" s="1"/>
  <c r="U223" i="2"/>
  <c r="Q223" i="2"/>
  <c r="V222" i="2"/>
  <c r="W222" i="2" s="1"/>
  <c r="U222" i="2"/>
  <c r="Q222" i="2"/>
  <c r="R222" i="2"/>
  <c r="P222" i="2"/>
  <c r="S222" i="2"/>
  <c r="T222" i="2"/>
  <c r="Q221" i="2"/>
  <c r="R221" i="2"/>
  <c r="S221" i="2"/>
  <c r="P221" i="2"/>
  <c r="T221" i="2"/>
  <c r="U221" i="2"/>
  <c r="V221" i="2"/>
  <c r="W221" i="2" s="1"/>
  <c r="P220" i="2"/>
  <c r="Q220" i="2"/>
  <c r="R220" i="2"/>
  <c r="S220" i="2"/>
  <c r="T220" i="2"/>
  <c r="U220" i="2"/>
  <c r="V220" i="2"/>
  <c r="W220" i="2" s="1"/>
  <c r="P219" i="2"/>
  <c r="Q219" i="2"/>
  <c r="R219" i="2"/>
  <c r="S219" i="2"/>
  <c r="T219" i="2"/>
  <c r="U219" i="2"/>
  <c r="V219" i="2"/>
  <c r="W219" i="2" s="1"/>
  <c r="V218" i="2"/>
  <c r="W218" i="2" s="1"/>
  <c r="U218" i="2"/>
  <c r="T218" i="2"/>
  <c r="R218" i="2"/>
  <c r="Q218" i="2"/>
  <c r="P218" i="2"/>
  <c r="S218" i="2"/>
  <c r="V217" i="2"/>
  <c r="W217" i="2" s="1"/>
  <c r="U217" i="2"/>
  <c r="T217" i="2"/>
  <c r="S217" i="2"/>
  <c r="R217" i="2"/>
  <c r="Q217" i="2"/>
  <c r="P217" i="2"/>
  <c r="V216" i="2"/>
  <c r="W216" i="2" s="1"/>
  <c r="U216" i="2"/>
  <c r="T216" i="2"/>
  <c r="S216" i="2"/>
  <c r="R216" i="2"/>
  <c r="Q216" i="2"/>
  <c r="P216" i="2"/>
  <c r="U215" i="2"/>
  <c r="V215" i="2"/>
  <c r="W215" i="2" s="1"/>
  <c r="T215" i="2"/>
  <c r="S215" i="2"/>
  <c r="R215" i="2"/>
  <c r="Q215" i="2"/>
  <c r="P215" i="2"/>
  <c r="R214" i="2"/>
  <c r="Q214" i="2"/>
  <c r="P214" i="2"/>
  <c r="V214" i="2"/>
  <c r="W214" i="2" s="1"/>
  <c r="U214" i="2"/>
  <c r="T214" i="2"/>
  <c r="S214" i="2"/>
  <c r="P213" i="2"/>
  <c r="S213" i="2"/>
  <c r="T213" i="2"/>
  <c r="V213" i="2"/>
  <c r="W213" i="2" s="1"/>
  <c r="U213" i="2"/>
  <c r="Q213" i="2"/>
  <c r="R213" i="2"/>
  <c r="P212" i="2"/>
  <c r="V212" i="2"/>
  <c r="W212" i="2" s="1"/>
  <c r="Q212" i="2"/>
  <c r="R212" i="2"/>
  <c r="S212" i="2"/>
  <c r="T212" i="2"/>
  <c r="U212" i="2"/>
  <c r="Q211" i="2"/>
  <c r="P211" i="2"/>
  <c r="R211" i="2"/>
  <c r="S211" i="2"/>
  <c r="T211" i="2"/>
  <c r="U211" i="2"/>
  <c r="V211" i="2"/>
  <c r="W211" i="2" s="1"/>
  <c r="P210" i="2"/>
  <c r="Q210" i="2"/>
  <c r="R210" i="2"/>
  <c r="S210" i="2"/>
  <c r="T210" i="2"/>
  <c r="U210" i="2"/>
  <c r="V210" i="2"/>
  <c r="W210" i="2" s="1"/>
  <c r="R209" i="2"/>
  <c r="S209" i="2"/>
  <c r="T209" i="2"/>
  <c r="U209" i="2"/>
  <c r="V209" i="2"/>
  <c r="W209" i="2" s="1"/>
  <c r="P209" i="2"/>
  <c r="Q209" i="2"/>
  <c r="S208" i="2"/>
  <c r="U208" i="2"/>
  <c r="V208" i="2"/>
  <c r="W208" i="2" s="1"/>
  <c r="T208" i="2"/>
  <c r="R208" i="2"/>
  <c r="Q208" i="2"/>
  <c r="P208" i="2"/>
  <c r="V207" i="2"/>
  <c r="W207" i="2" s="1"/>
  <c r="P207" i="2"/>
  <c r="Q207" i="2"/>
  <c r="U207" i="2"/>
  <c r="T207" i="2"/>
  <c r="S207" i="2"/>
  <c r="R207" i="2"/>
  <c r="Q206" i="2"/>
  <c r="R206" i="2"/>
  <c r="S206" i="2"/>
  <c r="T206" i="2"/>
  <c r="V206" i="2"/>
  <c r="W206" i="2" s="1"/>
  <c r="U206" i="2"/>
  <c r="P206" i="2"/>
  <c r="S205" i="2"/>
  <c r="T205" i="2"/>
  <c r="R205" i="2"/>
  <c r="P205" i="2"/>
  <c r="V205" i="2"/>
  <c r="W205" i="2" s="1"/>
  <c r="Q205" i="2"/>
  <c r="U205" i="2"/>
  <c r="Q204" i="2"/>
  <c r="P204" i="2"/>
  <c r="R204" i="2"/>
  <c r="T204" i="2"/>
  <c r="U204" i="2"/>
  <c r="V204" i="2"/>
  <c r="W204" i="2" s="1"/>
  <c r="S204" i="2"/>
  <c r="T203" i="2"/>
  <c r="R203" i="2"/>
  <c r="S203" i="2"/>
  <c r="V203" i="2"/>
  <c r="W203" i="2" s="1"/>
  <c r="U203" i="2"/>
  <c r="Q203" i="2"/>
  <c r="P203" i="2"/>
  <c r="R202" i="2"/>
  <c r="P202" i="2"/>
  <c r="Q202" i="2"/>
  <c r="T202" i="2"/>
  <c r="U202" i="2"/>
  <c r="V202" i="2"/>
  <c r="W202" i="2" s="1"/>
  <c r="S202" i="2"/>
  <c r="S201" i="2"/>
  <c r="T201" i="2"/>
  <c r="U201" i="2"/>
  <c r="V201" i="2"/>
  <c r="W201" i="2" s="1"/>
  <c r="Q201" i="2"/>
  <c r="R201" i="2"/>
  <c r="P201" i="2"/>
  <c r="P200" i="2"/>
  <c r="Q200" i="2"/>
  <c r="R200" i="2"/>
  <c r="S200" i="2"/>
  <c r="T200" i="2"/>
  <c r="U200" i="2"/>
  <c r="V200" i="2"/>
  <c r="W200" i="2" s="1"/>
  <c r="U199" i="2"/>
  <c r="Q199" i="2"/>
  <c r="V199" i="2"/>
  <c r="W199" i="2" s="1"/>
  <c r="P199" i="2"/>
  <c r="R199" i="2"/>
  <c r="S199" i="2"/>
  <c r="T199" i="2"/>
  <c r="P198" i="2"/>
  <c r="V198" i="2"/>
  <c r="W198" i="2" s="1"/>
  <c r="U198" i="2"/>
  <c r="T198" i="2"/>
  <c r="S198" i="2"/>
  <c r="R198" i="2"/>
  <c r="Q198" i="2"/>
  <c r="U197" i="2"/>
  <c r="T197" i="2"/>
  <c r="S197" i="2"/>
  <c r="R197" i="2"/>
  <c r="Q197" i="2"/>
  <c r="P197" i="2"/>
  <c r="V197" i="2"/>
  <c r="W197" i="2" s="1"/>
  <c r="U196" i="2"/>
  <c r="T196" i="2"/>
  <c r="V196" i="2"/>
  <c r="W196" i="2" s="1"/>
  <c r="Q196" i="2"/>
  <c r="S196" i="2"/>
  <c r="R196" i="2"/>
  <c r="P196" i="2"/>
  <c r="V195" i="2"/>
  <c r="W195" i="2" s="1"/>
  <c r="U195" i="2"/>
  <c r="T195" i="2"/>
  <c r="S195" i="2"/>
  <c r="R195" i="2"/>
  <c r="Q195" i="2"/>
  <c r="P195" i="2"/>
  <c r="P194" i="2"/>
  <c r="V194" i="2"/>
  <c r="W194" i="2" s="1"/>
  <c r="U194" i="2"/>
  <c r="S194" i="2"/>
  <c r="R194" i="2"/>
  <c r="Q194" i="2"/>
  <c r="T194" i="2"/>
  <c r="V193" i="2"/>
  <c r="W193" i="2" s="1"/>
  <c r="U193" i="2"/>
  <c r="T193" i="2"/>
  <c r="S193" i="2"/>
  <c r="R193" i="2"/>
  <c r="Q193" i="2"/>
  <c r="P193" i="2"/>
  <c r="P192" i="2"/>
  <c r="Q192" i="2"/>
  <c r="V192" i="2"/>
  <c r="W192" i="2" s="1"/>
  <c r="U192" i="2"/>
  <c r="T192" i="2"/>
  <c r="S192" i="2"/>
  <c r="R192" i="2"/>
  <c r="V191" i="2"/>
  <c r="W191" i="2" s="1"/>
  <c r="U191" i="2"/>
  <c r="T191" i="2"/>
  <c r="S191" i="2"/>
  <c r="R191" i="2"/>
  <c r="Q191" i="2"/>
  <c r="P191" i="2"/>
  <c r="P190" i="2"/>
  <c r="Q190" i="2"/>
  <c r="R190" i="2"/>
  <c r="S190" i="2"/>
  <c r="T190" i="2"/>
  <c r="U189" i="2"/>
  <c r="T189" i="2"/>
  <c r="V189" i="2"/>
  <c r="W189" i="2" s="1"/>
  <c r="S189" i="2"/>
  <c r="R189" i="2"/>
  <c r="P189" i="2"/>
  <c r="Q189" i="2"/>
  <c r="S188" i="2"/>
  <c r="T188" i="2"/>
  <c r="U188" i="2"/>
  <c r="V188" i="2"/>
  <c r="W188" i="2" s="1"/>
  <c r="P188" i="2"/>
  <c r="R188" i="2"/>
  <c r="Q188" i="2"/>
  <c r="Q187" i="2"/>
  <c r="S187" i="2"/>
  <c r="T187" i="2"/>
  <c r="U187" i="2"/>
  <c r="V187" i="2"/>
  <c r="W187" i="2" s="1"/>
  <c r="R187" i="2"/>
  <c r="P187" i="2"/>
  <c r="V186" i="2"/>
  <c r="W186" i="2" s="1"/>
  <c r="S186" i="2"/>
  <c r="P186" i="2"/>
  <c r="Q186" i="2"/>
  <c r="U186" i="2"/>
  <c r="R186" i="2"/>
  <c r="T186" i="2"/>
  <c r="R185" i="2"/>
  <c r="S185" i="2"/>
  <c r="T185" i="2"/>
  <c r="Q185" i="2"/>
  <c r="U185" i="2"/>
  <c r="V185" i="2"/>
  <c r="W185" i="2" s="1"/>
  <c r="P185" i="2"/>
  <c r="P184" i="2"/>
  <c r="V184" i="2"/>
  <c r="W184" i="2" s="1"/>
  <c r="U184" i="2"/>
  <c r="Q184" i="2"/>
  <c r="R184" i="2"/>
  <c r="S184" i="2"/>
  <c r="T184" i="2"/>
  <c r="S183" i="2"/>
  <c r="T183" i="2"/>
  <c r="R183" i="2"/>
  <c r="V183" i="2"/>
  <c r="W183" i="2" s="1"/>
  <c r="Q183" i="2"/>
  <c r="U183" i="2"/>
  <c r="P183" i="2"/>
  <c r="S182" i="2"/>
  <c r="Q182" i="2"/>
  <c r="N182" i="2"/>
  <c r="P182" i="2"/>
  <c r="T182" i="2"/>
  <c r="U182" i="2"/>
  <c r="V182" i="2"/>
  <c r="W182" i="2" s="1"/>
  <c r="R182" i="2"/>
  <c r="T181" i="2"/>
  <c r="R181" i="2"/>
  <c r="P181" i="2"/>
  <c r="N181" i="2"/>
  <c r="Q181" i="2"/>
  <c r="S181" i="2"/>
  <c r="U181" i="2"/>
  <c r="V181" i="2"/>
  <c r="W181" i="2" s="1"/>
  <c r="U180" i="2"/>
  <c r="S180" i="2"/>
  <c r="Q180" i="2"/>
  <c r="N180" i="2"/>
  <c r="V180" i="2"/>
  <c r="W180" i="2" s="1"/>
  <c r="T180" i="2"/>
  <c r="R180" i="2"/>
  <c r="P180" i="2"/>
  <c r="Q179" i="2"/>
  <c r="S179" i="2"/>
  <c r="V179" i="2"/>
  <c r="W179" i="2" s="1"/>
  <c r="N179" i="2"/>
  <c r="P179" i="2"/>
  <c r="R179" i="2"/>
  <c r="T179" i="2"/>
  <c r="U179" i="2"/>
  <c r="V178" i="2"/>
  <c r="W178" i="2" s="1"/>
  <c r="T178" i="2"/>
  <c r="Q178" i="2"/>
  <c r="P178" i="2"/>
  <c r="S178" i="2"/>
  <c r="N178" i="2"/>
  <c r="R178" i="2"/>
  <c r="U178" i="2"/>
  <c r="T177" i="2"/>
  <c r="P177" i="2"/>
  <c r="Q177" i="2"/>
  <c r="S177" i="2"/>
  <c r="R177" i="2"/>
  <c r="U177" i="2"/>
  <c r="V177" i="2"/>
  <c r="W177" i="2" s="1"/>
  <c r="S176" i="2"/>
  <c r="V176" i="2"/>
  <c r="W176" i="2" s="1"/>
  <c r="R176" i="2"/>
  <c r="T176" i="2"/>
  <c r="U176" i="2"/>
  <c r="N176" i="2"/>
  <c r="P176" i="2"/>
  <c r="Q176" i="2"/>
  <c r="Q175" i="2"/>
  <c r="T175" i="2"/>
  <c r="R175" i="2"/>
  <c r="P175" i="2"/>
  <c r="N175" i="2"/>
  <c r="U175" i="2"/>
  <c r="S175" i="2"/>
  <c r="V175" i="2"/>
  <c r="W175" i="2" s="1"/>
  <c r="N174" i="2"/>
  <c r="Q174" i="2"/>
  <c r="T174" i="2"/>
  <c r="V174" i="2"/>
  <c r="W174" i="2" s="1"/>
  <c r="R174" i="2"/>
  <c r="U174" i="2"/>
  <c r="S174" i="2"/>
  <c r="P174" i="2"/>
  <c r="S173" i="2"/>
  <c r="T173" i="2"/>
  <c r="U173" i="2"/>
  <c r="V173" i="2"/>
  <c r="W173" i="2" s="1"/>
  <c r="R173" i="2"/>
  <c r="Q173" i="2"/>
  <c r="P173" i="2"/>
  <c r="N173" i="2"/>
  <c r="Q172" i="2"/>
  <c r="N172" i="2"/>
  <c r="P172" i="2"/>
  <c r="S172" i="2"/>
  <c r="U172" i="2"/>
  <c r="R172" i="2"/>
  <c r="T172" i="2"/>
  <c r="V172" i="2"/>
  <c r="W172" i="2" s="1"/>
  <c r="T171" i="2"/>
  <c r="U171" i="2"/>
  <c r="P171" i="2"/>
  <c r="S171" i="2"/>
  <c r="V171" i="2"/>
  <c r="W171" i="2" s="1"/>
  <c r="N171" i="2"/>
  <c r="Q171" i="2"/>
  <c r="R171" i="2"/>
  <c r="S170" i="2"/>
  <c r="N170" i="2"/>
  <c r="P170" i="2"/>
  <c r="T170" i="2"/>
  <c r="Q170" i="2"/>
  <c r="V170" i="2"/>
  <c r="W170" i="2" s="1"/>
  <c r="R170" i="2"/>
  <c r="U170" i="2"/>
  <c r="N169" i="2"/>
  <c r="R169" i="2"/>
  <c r="V169" i="2"/>
  <c r="W169" i="2" s="1"/>
  <c r="T169" i="2"/>
  <c r="U169" i="2"/>
  <c r="S169" i="2"/>
  <c r="Q169" i="2"/>
  <c r="P169" i="2"/>
  <c r="N168" i="2"/>
  <c r="R168" i="2"/>
  <c r="T168" i="2"/>
  <c r="V168" i="2"/>
  <c r="W168" i="2" s="1"/>
  <c r="Q168" i="2"/>
  <c r="P168" i="2"/>
  <c r="U168" i="2"/>
  <c r="S168" i="2"/>
  <c r="V167" i="2"/>
  <c r="W167" i="2" s="1"/>
  <c r="S167" i="2"/>
  <c r="N167" i="2"/>
  <c r="P167" i="2"/>
  <c r="R167" i="2"/>
  <c r="U167" i="2"/>
  <c r="Q167" i="2"/>
  <c r="T167" i="2"/>
  <c r="T166" i="2"/>
  <c r="V166" i="2"/>
  <c r="W166" i="2" s="1"/>
  <c r="U166" i="2"/>
  <c r="S166" i="2"/>
  <c r="Q166" i="2"/>
  <c r="N166" i="2"/>
  <c r="P166" i="2"/>
  <c r="R166" i="2"/>
  <c r="S165" i="2"/>
  <c r="T165" i="2"/>
  <c r="V165" i="2"/>
  <c r="W165" i="2" s="1"/>
  <c r="R165" i="2"/>
  <c r="N165" i="2"/>
  <c r="P165" i="2"/>
  <c r="Q165" i="2"/>
  <c r="U165" i="2"/>
  <c r="U164" i="2"/>
  <c r="P164" i="2"/>
  <c r="Q164" i="2"/>
  <c r="R164" i="2"/>
  <c r="S164" i="2"/>
  <c r="T164" i="2"/>
  <c r="V164" i="2"/>
  <c r="W164" i="2" s="1"/>
  <c r="S163" i="2"/>
  <c r="R163" i="2"/>
  <c r="Q163" i="2"/>
  <c r="P163" i="2"/>
  <c r="V163" i="2"/>
  <c r="W163" i="2" s="1"/>
  <c r="U163" i="2"/>
  <c r="T163" i="2"/>
  <c r="V162" i="2"/>
  <c r="W162" i="2" s="1"/>
  <c r="U162" i="2"/>
  <c r="S162" i="2"/>
  <c r="P162" i="2"/>
  <c r="R162" i="2"/>
  <c r="T162" i="2"/>
  <c r="Q162" i="2"/>
  <c r="N162" i="2"/>
  <c r="V161" i="2"/>
  <c r="W161" i="2" s="1"/>
  <c r="N161" i="2"/>
  <c r="Q161" i="2"/>
  <c r="S161" i="2"/>
  <c r="U161" i="2"/>
  <c r="T161" i="2"/>
  <c r="R161" i="2"/>
  <c r="P161" i="2"/>
  <c r="N160" i="2"/>
  <c r="T160" i="2"/>
  <c r="U160" i="2"/>
  <c r="R160" i="2"/>
  <c r="P160" i="2"/>
  <c r="Q160" i="2"/>
  <c r="S160" i="2"/>
  <c r="V160" i="2"/>
  <c r="W160" i="2" s="1"/>
  <c r="T159" i="2"/>
  <c r="V159" i="2"/>
  <c r="W159" i="2" s="1"/>
  <c r="P159" i="2"/>
  <c r="Q159" i="2"/>
  <c r="S159" i="2"/>
  <c r="U159" i="2"/>
  <c r="V158" i="2"/>
  <c r="W158" i="2" s="1"/>
  <c r="P158" i="2"/>
  <c r="Q158" i="2"/>
  <c r="R158" i="2"/>
  <c r="S158" i="2"/>
  <c r="T158" i="2"/>
  <c r="U158" i="2"/>
  <c r="N157" i="2"/>
  <c r="V157" i="2"/>
  <c r="W157" i="2" s="1"/>
  <c r="U157" i="2"/>
  <c r="T157" i="2"/>
  <c r="S157" i="2"/>
  <c r="R157" i="2"/>
  <c r="Q157" i="2"/>
  <c r="P157" i="2"/>
  <c r="U156" i="2"/>
  <c r="Q156" i="2"/>
  <c r="S156" i="2"/>
  <c r="N156" i="2"/>
  <c r="P156" i="2"/>
  <c r="R156" i="2"/>
  <c r="T156" i="2"/>
  <c r="V156" i="2"/>
  <c r="W156" i="2" s="1"/>
  <c r="V155" i="2"/>
  <c r="W155" i="2" s="1"/>
  <c r="U155" i="2"/>
  <c r="T155" i="2"/>
  <c r="Q155" i="2"/>
  <c r="P155" i="2"/>
  <c r="R155" i="2"/>
  <c r="S155" i="2"/>
  <c r="R154" i="2"/>
  <c r="N154" i="2"/>
  <c r="P154" i="2"/>
  <c r="Q154" i="2"/>
  <c r="T154" i="2"/>
  <c r="U154" i="2"/>
  <c r="S154" i="2"/>
  <c r="V154" i="2"/>
  <c r="W154" i="2" s="1"/>
  <c r="P153" i="2"/>
  <c r="T153" i="2"/>
  <c r="R153" i="2"/>
  <c r="N153" i="2"/>
  <c r="U153" i="2"/>
  <c r="Q153" i="2"/>
  <c r="S153" i="2"/>
  <c r="V153" i="2"/>
  <c r="W153" i="2" s="1"/>
  <c r="Q152" i="2"/>
  <c r="S152" i="2"/>
  <c r="V152" i="2"/>
  <c r="W152" i="2" s="1"/>
  <c r="T152" i="2"/>
  <c r="R152" i="2"/>
  <c r="P152" i="2"/>
  <c r="N152" i="2"/>
  <c r="U152" i="2"/>
  <c r="S151" i="2"/>
  <c r="R151" i="2"/>
  <c r="U151" i="2"/>
  <c r="V151" i="2"/>
  <c r="W151" i="2" s="1"/>
  <c r="T151" i="2"/>
  <c r="Q151" i="2"/>
  <c r="N151" i="2"/>
  <c r="P151" i="2"/>
  <c r="P150" i="2"/>
  <c r="N150" i="2"/>
  <c r="V150" i="2"/>
  <c r="W150" i="2" s="1"/>
  <c r="T150" i="2"/>
  <c r="S150" i="2"/>
  <c r="U150" i="2"/>
  <c r="R150" i="2"/>
  <c r="Q150" i="2"/>
  <c r="V149" i="2"/>
  <c r="W149" i="2" s="1"/>
  <c r="S149" i="2"/>
  <c r="R149" i="2"/>
  <c r="P149" i="2"/>
  <c r="N149" i="2"/>
  <c r="Q149" i="2"/>
  <c r="T149" i="2"/>
  <c r="U149" i="2"/>
  <c r="Q148" i="2"/>
  <c r="S148" i="2"/>
  <c r="T148" i="2"/>
  <c r="V148" i="2"/>
  <c r="W148" i="2" s="1"/>
  <c r="U148" i="2"/>
  <c r="R148" i="2"/>
  <c r="P148" i="2"/>
  <c r="N148" i="2"/>
  <c r="V147" i="2"/>
  <c r="W147" i="2" s="1"/>
  <c r="Q147" i="2"/>
  <c r="S147" i="2"/>
  <c r="U147" i="2"/>
  <c r="T147" i="2"/>
  <c r="R147" i="2"/>
  <c r="P147" i="2"/>
  <c r="N147" i="2"/>
  <c r="Q146" i="2"/>
  <c r="T146" i="2"/>
  <c r="V146" i="2"/>
  <c r="W146" i="2" s="1"/>
  <c r="U146" i="2"/>
  <c r="S146" i="2"/>
  <c r="R146" i="2"/>
  <c r="P146" i="2"/>
  <c r="N146" i="2"/>
  <c r="R145" i="2"/>
  <c r="V145" i="2"/>
  <c r="W145" i="2" s="1"/>
  <c r="T145" i="2"/>
  <c r="U145" i="2"/>
  <c r="N145" i="2"/>
  <c r="P145" i="2"/>
  <c r="S145" i="2"/>
  <c r="Q145" i="2"/>
  <c r="U144" i="2"/>
  <c r="S144" i="2"/>
  <c r="Q144" i="2"/>
  <c r="T144" i="2"/>
  <c r="V144" i="2"/>
  <c r="W144" i="2" s="1"/>
  <c r="R144" i="2"/>
  <c r="P144" i="2"/>
  <c r="N144" i="2"/>
  <c r="P143" i="2"/>
  <c r="R143" i="2"/>
  <c r="U143" i="2"/>
  <c r="T143" i="2"/>
  <c r="V143" i="2"/>
  <c r="W143" i="2" s="1"/>
  <c r="Q143" i="2"/>
  <c r="S143" i="2"/>
  <c r="N143" i="2"/>
  <c r="Q142" i="2"/>
  <c r="R142" i="2"/>
  <c r="S142" i="2"/>
  <c r="T142" i="2"/>
  <c r="U142" i="2"/>
  <c r="V142" i="2"/>
  <c r="W142" i="2" s="1"/>
  <c r="P142" i="2"/>
  <c r="R141" i="2"/>
  <c r="S141" i="2"/>
  <c r="T141" i="2"/>
  <c r="U141" i="2"/>
  <c r="V141" i="2"/>
  <c r="W141" i="2" s="1"/>
  <c r="P141" i="2"/>
  <c r="Q141" i="2"/>
  <c r="P140" i="2"/>
  <c r="Q140" i="2"/>
  <c r="R140" i="2"/>
  <c r="S140" i="2"/>
  <c r="T140" i="2"/>
  <c r="U140" i="2"/>
  <c r="V140" i="2"/>
  <c r="W140" i="2" s="1"/>
  <c r="V139" i="2"/>
  <c r="W139" i="2" s="1"/>
  <c r="U139" i="2"/>
  <c r="T139" i="2"/>
  <c r="S139" i="2"/>
  <c r="R139" i="2"/>
  <c r="Q139" i="2"/>
  <c r="P139" i="2"/>
  <c r="Q138" i="2"/>
  <c r="P138" i="2"/>
  <c r="V138" i="2"/>
  <c r="W138" i="2" s="1"/>
  <c r="U138" i="2"/>
  <c r="T138" i="2"/>
  <c r="S138" i="2"/>
  <c r="R138" i="2"/>
  <c r="U137" i="2"/>
  <c r="P137" i="2"/>
  <c r="Q137" i="2"/>
  <c r="R137" i="2"/>
  <c r="V137" i="2"/>
  <c r="W137" i="2" s="1"/>
  <c r="S137" i="2"/>
  <c r="T137" i="2"/>
  <c r="Q136" i="2"/>
  <c r="R136" i="2"/>
  <c r="S136" i="2"/>
  <c r="T136" i="2"/>
  <c r="U136" i="2"/>
  <c r="V136" i="2"/>
  <c r="W136" i="2" s="1"/>
  <c r="P136" i="2"/>
  <c r="Q135" i="2"/>
  <c r="R135" i="2"/>
  <c r="S135" i="2"/>
  <c r="P135" i="2"/>
  <c r="T135" i="2"/>
  <c r="V135" i="2"/>
  <c r="W135" i="2" s="1"/>
  <c r="U135" i="2"/>
  <c r="V134" i="2"/>
  <c r="W134" i="2" s="1"/>
  <c r="P134" i="2"/>
  <c r="Q134" i="2"/>
  <c r="R134" i="2"/>
  <c r="S134" i="2"/>
  <c r="T134" i="2"/>
  <c r="U134" i="2"/>
  <c r="P133" i="2"/>
  <c r="Q133" i="2"/>
  <c r="R133" i="2"/>
  <c r="S133" i="2"/>
  <c r="T133" i="2"/>
  <c r="U133" i="2"/>
  <c r="V133" i="2"/>
  <c r="W133" i="2" s="1"/>
  <c r="P132" i="2"/>
  <c r="Q132" i="2"/>
  <c r="R132" i="2"/>
  <c r="S132" i="2"/>
  <c r="T132" i="2"/>
  <c r="U132" i="2"/>
  <c r="V132" i="2"/>
  <c r="W132" i="2" s="1"/>
  <c r="P131" i="2"/>
  <c r="T131" i="2"/>
  <c r="U131" i="2"/>
  <c r="V131" i="2"/>
  <c r="W131" i="2" s="1"/>
  <c r="S131" i="2"/>
  <c r="Q131" i="2"/>
  <c r="R131" i="2"/>
  <c r="U130" i="2"/>
  <c r="V130" i="2"/>
  <c r="W130" i="2" s="1"/>
  <c r="T130" i="2"/>
  <c r="S130" i="2"/>
  <c r="R130" i="2"/>
  <c r="Q130" i="2"/>
  <c r="P130" i="2"/>
  <c r="P129" i="2"/>
  <c r="V129" i="2"/>
  <c r="W129" i="2" s="1"/>
  <c r="U129" i="2"/>
  <c r="T129" i="2"/>
  <c r="S129" i="2"/>
  <c r="R129" i="2"/>
  <c r="Q129" i="2"/>
  <c r="R128" i="2"/>
  <c r="S128" i="2"/>
  <c r="T128" i="2"/>
  <c r="U128" i="2"/>
  <c r="V128" i="2"/>
  <c r="W128" i="2" s="1"/>
  <c r="P128" i="2"/>
  <c r="Q128" i="2"/>
  <c r="S127" i="2"/>
  <c r="Q127" i="2"/>
  <c r="R127" i="2"/>
  <c r="P127" i="2"/>
  <c r="T127" i="2"/>
  <c r="U127" i="2"/>
  <c r="V127" i="2"/>
  <c r="W127" i="2" s="1"/>
  <c r="V126" i="2"/>
  <c r="W126" i="2" s="1"/>
  <c r="S126" i="2"/>
  <c r="P126" i="2"/>
  <c r="Q126" i="2"/>
  <c r="R126" i="2"/>
  <c r="T126" i="2"/>
  <c r="U126" i="2"/>
  <c r="U125" i="2"/>
  <c r="V125" i="2"/>
  <c r="W125" i="2" s="1"/>
  <c r="T125" i="2"/>
  <c r="S125" i="2"/>
  <c r="R125" i="2"/>
  <c r="Q125" i="2"/>
  <c r="P125" i="2"/>
  <c r="U124" i="2"/>
  <c r="T124" i="2"/>
  <c r="S124" i="2"/>
  <c r="P124" i="2"/>
  <c r="R124" i="2"/>
  <c r="V124" i="2"/>
  <c r="W124" i="2" s="1"/>
  <c r="Q124" i="2"/>
  <c r="V123" i="2"/>
  <c r="W123" i="2" s="1"/>
  <c r="P123" i="2"/>
  <c r="Q123" i="2"/>
  <c r="R123" i="2"/>
  <c r="S123" i="2"/>
  <c r="T123" i="2"/>
  <c r="U123" i="2"/>
  <c r="V122" i="2"/>
  <c r="W122" i="2" s="1"/>
  <c r="U122" i="2"/>
  <c r="T122" i="2"/>
  <c r="P122" i="2"/>
  <c r="Q122" i="2"/>
  <c r="R122" i="2"/>
  <c r="S122" i="2"/>
  <c r="S121" i="2"/>
  <c r="R121" i="2"/>
  <c r="Q121" i="2"/>
  <c r="P121" i="2"/>
  <c r="T121" i="2"/>
  <c r="U121" i="2"/>
  <c r="V121" i="2"/>
  <c r="W121" i="2" s="1"/>
  <c r="V120" i="2"/>
  <c r="W120" i="2" s="1"/>
  <c r="U120" i="2"/>
  <c r="S120" i="2"/>
  <c r="R120" i="2"/>
  <c r="P120" i="2"/>
  <c r="Q120" i="2"/>
  <c r="T120" i="2"/>
  <c r="P119" i="2"/>
  <c r="Q119" i="2"/>
  <c r="R119" i="2"/>
  <c r="S119" i="2"/>
  <c r="T119" i="2"/>
  <c r="U119" i="2"/>
  <c r="V119" i="2"/>
  <c r="W119" i="2" s="1"/>
  <c r="U118" i="2"/>
  <c r="T118" i="2"/>
  <c r="S118" i="2"/>
  <c r="R118" i="2"/>
  <c r="Q118" i="2"/>
  <c r="P118" i="2"/>
  <c r="V118" i="2"/>
  <c r="W118" i="2" s="1"/>
  <c r="V117" i="2"/>
  <c r="W117" i="2" s="1"/>
  <c r="U117" i="2"/>
  <c r="T117" i="2"/>
  <c r="S117" i="2"/>
  <c r="R117" i="2"/>
  <c r="Q117" i="2"/>
  <c r="P117" i="2"/>
  <c r="V116" i="2"/>
  <c r="W116" i="2" s="1"/>
  <c r="U116" i="2"/>
  <c r="T116" i="2"/>
  <c r="S116" i="2"/>
  <c r="R116" i="2"/>
  <c r="Q116" i="2"/>
  <c r="P116" i="2"/>
  <c r="V115" i="2"/>
  <c r="W115" i="2" s="1"/>
  <c r="U115" i="2"/>
  <c r="T115" i="2"/>
  <c r="S115" i="2"/>
  <c r="Q115" i="2"/>
  <c r="P115" i="2"/>
  <c r="R115" i="2"/>
  <c r="T114" i="2"/>
  <c r="V114" i="2"/>
  <c r="W114" i="2" s="1"/>
  <c r="U114" i="2"/>
  <c r="S114" i="2"/>
  <c r="R114" i="2"/>
  <c r="Q114" i="2"/>
  <c r="P114" i="2"/>
  <c r="U113" i="2"/>
  <c r="S113" i="2"/>
  <c r="V113" i="2"/>
  <c r="W113" i="2" s="1"/>
  <c r="R113" i="2"/>
  <c r="Q113" i="2"/>
  <c r="P113" i="2"/>
  <c r="T113" i="2"/>
  <c r="T112" i="2"/>
  <c r="S112" i="2"/>
  <c r="R112" i="2"/>
  <c r="Q112" i="2"/>
  <c r="P112" i="2"/>
  <c r="V112" i="2"/>
  <c r="W112" i="2" s="1"/>
  <c r="U112" i="2"/>
  <c r="T111" i="2"/>
  <c r="P111" i="2"/>
  <c r="Q111" i="2"/>
  <c r="V111" i="2"/>
  <c r="W111" i="2" s="1"/>
  <c r="U111" i="2"/>
  <c r="R111" i="2"/>
  <c r="S111" i="2"/>
  <c r="V110" i="2"/>
  <c r="W110" i="2" s="1"/>
  <c r="R110" i="2"/>
  <c r="P110" i="2"/>
  <c r="Q110" i="2"/>
  <c r="S110" i="2"/>
  <c r="T110" i="2"/>
  <c r="U110" i="2"/>
  <c r="U109" i="2"/>
  <c r="V109" i="2"/>
  <c r="W109" i="2" s="1"/>
  <c r="T109" i="2"/>
  <c r="S109" i="2"/>
  <c r="P109" i="2"/>
  <c r="Q109" i="2"/>
  <c r="R109" i="2"/>
  <c r="V108" i="2"/>
  <c r="W108" i="2" s="1"/>
  <c r="U108" i="2"/>
  <c r="T108" i="2"/>
  <c r="S108" i="2"/>
  <c r="R108" i="2"/>
  <c r="P108" i="2"/>
  <c r="Q108" i="2"/>
  <c r="P107" i="2"/>
  <c r="Q107" i="2"/>
  <c r="V107" i="2"/>
  <c r="W107" i="2" s="1"/>
  <c r="U107" i="2"/>
  <c r="T107" i="2"/>
  <c r="S107" i="2"/>
  <c r="R107" i="2"/>
  <c r="V106" i="2"/>
  <c r="W106" i="2" s="1"/>
  <c r="U106" i="2"/>
  <c r="T106" i="2"/>
  <c r="S106" i="2"/>
  <c r="R106" i="2"/>
  <c r="Q106" i="2"/>
  <c r="P106" i="2"/>
  <c r="Q105" i="2"/>
  <c r="R105" i="2"/>
  <c r="S105" i="2"/>
  <c r="T105" i="2"/>
  <c r="V105" i="2"/>
  <c r="W105" i="2" s="1"/>
  <c r="U105" i="2"/>
  <c r="P105" i="2"/>
  <c r="Q104" i="2"/>
  <c r="P104" i="2"/>
  <c r="T104" i="2"/>
  <c r="V104" i="2"/>
  <c r="W104" i="2" s="1"/>
  <c r="U104" i="2"/>
  <c r="S104" i="2"/>
  <c r="R104" i="2"/>
  <c r="T103" i="2"/>
  <c r="U103" i="2"/>
  <c r="P103" i="2"/>
  <c r="V103" i="2"/>
  <c r="W103" i="2" s="1"/>
  <c r="Q103" i="2"/>
  <c r="R103" i="2"/>
  <c r="S103" i="2"/>
  <c r="P102" i="2"/>
  <c r="Q102" i="2"/>
  <c r="R102" i="2"/>
  <c r="S102" i="2"/>
  <c r="V102" i="2"/>
  <c r="W102" i="2" s="1"/>
  <c r="U102" i="2"/>
  <c r="T102" i="2"/>
  <c r="R101" i="2"/>
  <c r="S101" i="2"/>
  <c r="T101" i="2"/>
  <c r="U101" i="2"/>
  <c r="Q101" i="2"/>
  <c r="V101" i="2"/>
  <c r="W101" i="2" s="1"/>
  <c r="P101" i="2"/>
  <c r="Q100" i="2"/>
  <c r="N100" i="2"/>
  <c r="P100" i="2"/>
  <c r="R100" i="2"/>
  <c r="V100" i="2"/>
  <c r="W100" i="2" s="1"/>
  <c r="U100" i="2"/>
  <c r="T100" i="2"/>
  <c r="S99" i="2"/>
  <c r="U99" i="2"/>
  <c r="Q99" i="2"/>
  <c r="V99" i="2"/>
  <c r="W99" i="2" s="1"/>
  <c r="N99" i="2"/>
  <c r="P99" i="2"/>
  <c r="R99" i="2"/>
  <c r="T99" i="2"/>
  <c r="S98" i="2"/>
  <c r="U98" i="2"/>
  <c r="R98" i="2"/>
  <c r="Q98" i="2"/>
  <c r="T98" i="2"/>
  <c r="V98" i="2"/>
  <c r="W98" i="2" s="1"/>
  <c r="N98" i="2"/>
  <c r="P98" i="2"/>
  <c r="V97" i="2"/>
  <c r="W97" i="2" s="1"/>
  <c r="Q97" i="2"/>
  <c r="S97" i="2"/>
  <c r="U97" i="2"/>
  <c r="R97" i="2"/>
  <c r="T97" i="2"/>
  <c r="P97" i="2"/>
  <c r="N97" i="2"/>
  <c r="V96" i="2"/>
  <c r="W96" i="2" s="1"/>
  <c r="T96" i="2"/>
  <c r="S96" i="2"/>
  <c r="P96" i="2"/>
  <c r="R96" i="2"/>
  <c r="Q96" i="2"/>
  <c r="N96" i="2"/>
  <c r="U96" i="2"/>
  <c r="P95" i="2"/>
  <c r="U95" i="2"/>
  <c r="N95" i="2"/>
  <c r="V95" i="2"/>
  <c r="W95" i="2" s="1"/>
  <c r="T95" i="2"/>
  <c r="S95" i="2"/>
  <c r="R95" i="2"/>
  <c r="Q95" i="2"/>
  <c r="Q94" i="2"/>
  <c r="V94" i="2"/>
  <c r="W94" i="2" s="1"/>
  <c r="T94" i="2"/>
  <c r="R94" i="2"/>
  <c r="P94" i="2"/>
  <c r="N94" i="2"/>
  <c r="S94" i="2"/>
  <c r="U94" i="2"/>
  <c r="S93" i="2"/>
  <c r="Q93" i="2"/>
  <c r="P93" i="2"/>
  <c r="R93" i="2"/>
  <c r="T93" i="2"/>
  <c r="V93" i="2"/>
  <c r="W93" i="2" s="1"/>
  <c r="U93" i="2"/>
  <c r="N93" i="2"/>
  <c r="T92" i="2"/>
  <c r="R92" i="2"/>
  <c r="Q92" i="2"/>
  <c r="N92" i="2"/>
  <c r="P92" i="2"/>
  <c r="S92" i="2"/>
  <c r="U92" i="2"/>
  <c r="V92" i="2"/>
  <c r="W92" i="2" s="1"/>
  <c r="T91" i="2"/>
  <c r="V91" i="2"/>
  <c r="W91" i="2" s="1"/>
  <c r="Q91" i="2"/>
  <c r="N91" i="2"/>
  <c r="P91" i="2"/>
  <c r="R91" i="2"/>
  <c r="S91" i="2"/>
  <c r="U91" i="2"/>
  <c r="V90" i="2"/>
  <c r="W90" i="2" s="1"/>
  <c r="S90" i="2"/>
  <c r="Q90" i="2"/>
  <c r="P90" i="2"/>
  <c r="T90" i="2"/>
  <c r="U90" i="2"/>
  <c r="R90" i="2"/>
  <c r="N90" i="2"/>
  <c r="U89" i="2"/>
  <c r="R89" i="2"/>
  <c r="P89" i="2"/>
  <c r="N89" i="2"/>
  <c r="Q89" i="2"/>
  <c r="S89" i="2"/>
  <c r="V89" i="2"/>
  <c r="W89" i="2" s="1"/>
  <c r="T89" i="2"/>
  <c r="P88" i="2"/>
  <c r="N88" i="2"/>
  <c r="V88" i="2"/>
  <c r="W88" i="2" s="1"/>
  <c r="T88" i="2"/>
  <c r="Q88" i="2"/>
  <c r="U88" i="2"/>
  <c r="S88" i="2"/>
  <c r="R88" i="2"/>
  <c r="R87" i="2"/>
  <c r="N87" i="2"/>
  <c r="Q87" i="2"/>
  <c r="S87" i="2"/>
  <c r="U87" i="2"/>
  <c r="V87" i="2"/>
  <c r="W87" i="2" s="1"/>
  <c r="P87" i="2"/>
  <c r="T87" i="2"/>
  <c r="P86" i="2"/>
  <c r="Q86" i="2"/>
  <c r="R86" i="2"/>
  <c r="U86" i="2"/>
  <c r="V86" i="2"/>
  <c r="W86" i="2" s="1"/>
  <c r="T86" i="2"/>
  <c r="N86" i="2"/>
  <c r="S86" i="2"/>
  <c r="V85" i="2"/>
  <c r="W85" i="2" s="1"/>
  <c r="R85" i="2"/>
  <c r="P85" i="2"/>
  <c r="N85" i="2"/>
  <c r="T85" i="2"/>
  <c r="Q85" i="2"/>
  <c r="U85" i="2"/>
  <c r="S85" i="2"/>
  <c r="Q84" i="2"/>
  <c r="S84" i="2"/>
  <c r="U84" i="2"/>
  <c r="T84" i="2"/>
  <c r="P84" i="2"/>
  <c r="V84" i="2"/>
  <c r="W84" i="2" s="1"/>
  <c r="R84" i="2"/>
  <c r="N84" i="2"/>
  <c r="S83" i="2"/>
  <c r="U83" i="2"/>
  <c r="Q83" i="2"/>
  <c r="V83" i="2"/>
  <c r="W83" i="2" s="1"/>
  <c r="T83" i="2"/>
  <c r="N83" i="2"/>
  <c r="P83" i="2"/>
  <c r="R83" i="2"/>
  <c r="N82" i="2"/>
  <c r="P82" i="2"/>
  <c r="R82" i="2"/>
  <c r="T82" i="2"/>
  <c r="Q82" i="2"/>
  <c r="S82" i="2"/>
  <c r="U82" i="2"/>
  <c r="V82" i="2"/>
  <c r="W82" i="2" s="1"/>
  <c r="S81" i="2"/>
  <c r="U81" i="2"/>
  <c r="Q81" i="2"/>
  <c r="V81" i="2"/>
  <c r="W81" i="2" s="1"/>
  <c r="N81" i="2"/>
  <c r="P81" i="2"/>
  <c r="R81" i="2"/>
  <c r="T81" i="2"/>
  <c r="P80" i="2"/>
  <c r="Q80" i="2"/>
  <c r="S80" i="2"/>
  <c r="U80" i="2"/>
  <c r="N80" i="2"/>
  <c r="R80" i="2"/>
  <c r="T80" i="2"/>
  <c r="V80" i="2"/>
  <c r="W80" i="2" s="1"/>
  <c r="N79" i="2"/>
  <c r="S79" i="2"/>
  <c r="R79" i="2"/>
  <c r="P79" i="2"/>
  <c r="U79" i="2"/>
  <c r="V79" i="2"/>
  <c r="W79" i="2" s="1"/>
  <c r="T79" i="2"/>
  <c r="Q79" i="2"/>
  <c r="U78" i="2"/>
  <c r="S78" i="2"/>
  <c r="Q78" i="2"/>
  <c r="V78" i="2"/>
  <c r="W78" i="2" s="1"/>
  <c r="T78" i="2"/>
  <c r="R78" i="2"/>
  <c r="P78" i="2"/>
  <c r="N78" i="2"/>
  <c r="S77" i="2"/>
  <c r="V77" i="2"/>
  <c r="W77" i="2" s="1"/>
  <c r="Q77" i="2"/>
  <c r="U77" i="2"/>
  <c r="T77" i="2"/>
  <c r="P77" i="2"/>
  <c r="N77" i="2"/>
  <c r="R77" i="2"/>
  <c r="R76" i="2"/>
  <c r="Q76" i="2"/>
  <c r="P76" i="2"/>
  <c r="T76" i="2"/>
  <c r="U76" i="2"/>
  <c r="V76" i="2"/>
  <c r="W76" i="2" s="1"/>
  <c r="V75" i="2"/>
  <c r="W75" i="2" s="1"/>
  <c r="P75" i="2"/>
  <c r="R75" i="2"/>
  <c r="Q75" i="2"/>
  <c r="S75" i="2"/>
  <c r="T75" i="2"/>
  <c r="U75" i="2"/>
  <c r="P74" i="2"/>
  <c r="V74" i="2"/>
  <c r="W74" i="2" s="1"/>
  <c r="Q74" i="2"/>
  <c r="R74" i="2"/>
  <c r="S74" i="2"/>
  <c r="T74" i="2"/>
  <c r="U74" i="2"/>
  <c r="P73" i="2"/>
  <c r="Q73" i="2"/>
  <c r="R73" i="2"/>
  <c r="S73" i="2"/>
  <c r="T73" i="2"/>
  <c r="U73" i="2"/>
  <c r="V73" i="2"/>
  <c r="W73" i="2" s="1"/>
  <c r="P72" i="2"/>
  <c r="V72" i="2"/>
  <c r="W72" i="2" s="1"/>
  <c r="T72" i="2"/>
  <c r="S72" i="2"/>
  <c r="R72" i="2"/>
  <c r="Q72" i="2"/>
  <c r="U72" i="2"/>
  <c r="V71" i="2"/>
  <c r="W71" i="2" s="1"/>
  <c r="U71" i="2"/>
  <c r="T71" i="2"/>
  <c r="S71" i="2"/>
  <c r="R71" i="2"/>
  <c r="Q71" i="2"/>
  <c r="P71" i="2"/>
  <c r="P70" i="2"/>
  <c r="Q70" i="2"/>
  <c r="R70" i="2"/>
  <c r="S70" i="2"/>
  <c r="T70" i="2"/>
  <c r="U70" i="2"/>
  <c r="V70" i="2"/>
  <c r="W70" i="2" s="1"/>
  <c r="V69" i="2"/>
  <c r="W69" i="2" s="1"/>
  <c r="P69" i="2"/>
  <c r="Q69" i="2"/>
  <c r="R69" i="2"/>
  <c r="S69" i="2"/>
  <c r="T69" i="2"/>
  <c r="U69" i="2"/>
  <c r="Q68" i="2"/>
  <c r="R68" i="2"/>
  <c r="S68" i="2"/>
  <c r="U68" i="2"/>
  <c r="V68" i="2"/>
  <c r="W68" i="2" s="1"/>
  <c r="T68" i="2"/>
  <c r="P68" i="2"/>
  <c r="P67" i="2"/>
  <c r="Q67" i="2"/>
  <c r="R67" i="2"/>
  <c r="S67" i="2"/>
  <c r="T67" i="2"/>
  <c r="U67" i="2"/>
  <c r="V67" i="2"/>
  <c r="W67" i="2" s="1"/>
  <c r="V66" i="2"/>
  <c r="W66" i="2" s="1"/>
  <c r="T66" i="2"/>
  <c r="S66" i="2"/>
  <c r="R66" i="2"/>
  <c r="Q66" i="2"/>
  <c r="P66" i="2"/>
  <c r="U66" i="2"/>
  <c r="N66" i="2"/>
  <c r="P65" i="2"/>
  <c r="R65" i="2"/>
  <c r="S65" i="2"/>
  <c r="N65" i="2"/>
  <c r="U65" i="2"/>
  <c r="V65" i="2"/>
  <c r="W65" i="2" s="1"/>
  <c r="T65" i="2"/>
  <c r="Q65" i="2"/>
  <c r="V64" i="2"/>
  <c r="W64" i="2" s="1"/>
  <c r="R64" i="2"/>
  <c r="S64" i="2"/>
  <c r="T64" i="2"/>
  <c r="U64" i="2"/>
  <c r="P64" i="2"/>
  <c r="Q64" i="2"/>
  <c r="N63" i="2"/>
  <c r="P63" i="2"/>
  <c r="Q63" i="2"/>
  <c r="R63" i="2"/>
  <c r="S63" i="2"/>
  <c r="T63" i="2"/>
  <c r="V63" i="2"/>
  <c r="W63" i="2" s="1"/>
  <c r="U63" i="2"/>
  <c r="T62" i="2"/>
  <c r="Q62" i="2"/>
  <c r="N62" i="2"/>
  <c r="U62" i="2"/>
  <c r="R62" i="2"/>
  <c r="S62" i="2"/>
  <c r="V62" i="2"/>
  <c r="W62" i="2" s="1"/>
  <c r="P62" i="2"/>
  <c r="R61" i="2"/>
  <c r="N61" i="2"/>
  <c r="T61" i="2"/>
  <c r="P61" i="2"/>
  <c r="U61" i="2"/>
  <c r="Q61" i="2"/>
  <c r="S61" i="2"/>
  <c r="V61" i="2"/>
  <c r="W61" i="2" s="1"/>
  <c r="P60" i="2"/>
  <c r="Q60" i="2"/>
  <c r="R60" i="2"/>
  <c r="S60" i="2"/>
  <c r="T60" i="2"/>
  <c r="V60" i="2"/>
  <c r="W60" i="2" s="1"/>
  <c r="U60" i="2"/>
  <c r="N60" i="2"/>
  <c r="S59" i="2"/>
  <c r="V59" i="2"/>
  <c r="W59" i="2" s="1"/>
  <c r="U59" i="2"/>
  <c r="Q59" i="2"/>
  <c r="N59" i="2"/>
  <c r="P59" i="2"/>
  <c r="R59" i="2"/>
  <c r="T59" i="2"/>
  <c r="U58" i="2"/>
  <c r="V58" i="2"/>
  <c r="W58" i="2" s="1"/>
  <c r="T58" i="2"/>
  <c r="S58" i="2"/>
  <c r="R58" i="2"/>
  <c r="P58" i="2"/>
  <c r="N58" i="2"/>
  <c r="Q58" i="2"/>
  <c r="R57" i="2"/>
  <c r="S57" i="2"/>
  <c r="Q57" i="2"/>
  <c r="U57" i="2"/>
  <c r="T57" i="2"/>
  <c r="V57" i="2"/>
  <c r="W57" i="2" s="1"/>
  <c r="N57" i="2"/>
  <c r="P57" i="2"/>
  <c r="S56" i="2"/>
  <c r="U56" i="2"/>
  <c r="N56" i="2"/>
  <c r="P56" i="2"/>
  <c r="Q56" i="2"/>
  <c r="R56" i="2"/>
  <c r="T56" i="2"/>
  <c r="V56" i="2"/>
  <c r="W56" i="2" s="1"/>
  <c r="P55" i="2"/>
  <c r="V55" i="2"/>
  <c r="W55" i="2" s="1"/>
  <c r="S55" i="2"/>
  <c r="U55" i="2"/>
  <c r="R55" i="2"/>
  <c r="T55" i="2"/>
  <c r="N55" i="2"/>
  <c r="Q55" i="2"/>
  <c r="V54" i="2"/>
  <c r="W54" i="2" s="1"/>
  <c r="U54" i="2"/>
  <c r="T54" i="2"/>
  <c r="R54" i="2"/>
  <c r="P54" i="2"/>
  <c r="S54" i="2"/>
  <c r="Q54" i="2"/>
  <c r="N54" i="2"/>
  <c r="N53" i="2"/>
  <c r="N52" i="2"/>
  <c r="N51" i="2"/>
  <c r="N50" i="2"/>
  <c r="N48" i="2"/>
  <c r="N45" i="2"/>
  <c r="N44" i="2"/>
  <c r="N43" i="2"/>
  <c r="N42" i="2"/>
  <c r="N41" i="2"/>
  <c r="N39" i="2"/>
  <c r="N38" i="2"/>
  <c r="N37" i="2"/>
  <c r="N36" i="2"/>
  <c r="N35" i="2"/>
  <c r="N33" i="2"/>
  <c r="N32" i="2"/>
  <c r="N31" i="2"/>
  <c r="N30" i="2"/>
  <c r="N29" i="2"/>
  <c r="N28" i="2"/>
  <c r="N27" i="2"/>
  <c r="N26" i="2"/>
  <c r="N25" i="2"/>
  <c r="N24" i="2"/>
  <c r="N23" i="2"/>
  <c r="N22" i="2"/>
  <c r="N21" i="2"/>
  <c r="N20" i="2"/>
  <c r="N19" i="2"/>
  <c r="N18" i="2"/>
  <c r="N17" i="2"/>
  <c r="N16" i="2"/>
  <c r="N15" i="2"/>
  <c r="N14" i="2"/>
  <c r="N13" i="2"/>
  <c r="N12" i="2"/>
  <c r="N11" i="2"/>
  <c r="N10" i="2"/>
  <c r="N9" i="2"/>
  <c r="N8" i="2"/>
  <c r="N7" i="2"/>
  <c r="N6" i="2"/>
  <c r="K6" i="7" l="1"/>
  <c r="J4" i="7"/>
  <c r="K6" i="10"/>
  <c r="J4" i="10"/>
  <c r="K6" i="8"/>
  <c r="J4" i="8"/>
  <c r="K6" i="9"/>
  <c r="J4" i="9"/>
  <c r="BL7" i="7"/>
  <c r="BL8" i="7"/>
  <c r="BL9" i="7"/>
  <c r="BL10" i="7"/>
  <c r="BL11" i="7"/>
  <c r="BL12" i="7"/>
  <c r="BL13" i="7"/>
  <c r="BL14" i="7"/>
  <c r="BL15" i="7"/>
  <c r="BL16" i="7"/>
  <c r="BL17" i="7"/>
  <c r="BL18" i="7"/>
  <c r="BL19" i="7"/>
  <c r="BL20" i="7"/>
  <c r="BL21" i="7"/>
  <c r="BL22" i="7"/>
  <c r="BL23" i="7"/>
  <c r="BL24" i="7"/>
  <c r="BL25" i="7"/>
  <c r="BL26" i="7"/>
  <c r="BL27" i="7"/>
  <c r="BL28" i="7"/>
  <c r="BL29" i="7"/>
  <c r="BL30" i="7"/>
  <c r="BL31" i="7"/>
  <c r="BL32" i="7"/>
  <c r="BL33" i="7"/>
  <c r="BL34" i="7"/>
  <c r="BL35" i="7"/>
  <c r="BL36" i="7"/>
  <c r="BL7" i="8"/>
  <c r="BL8" i="8"/>
  <c r="BL9" i="8"/>
  <c r="BL10" i="8"/>
  <c r="BL11" i="8"/>
  <c r="BL12" i="8"/>
  <c r="BL13" i="8"/>
  <c r="BL20" i="8"/>
  <c r="BL21" i="8"/>
  <c r="BL22" i="8"/>
  <c r="BL23" i="8"/>
  <c r="BL26" i="8"/>
  <c r="BL27" i="8"/>
  <c r="BL30" i="8"/>
  <c r="BL32" i="8"/>
  <c r="BL33" i="8"/>
  <c r="BL9" i="9"/>
  <c r="BL10" i="9"/>
  <c r="BL11" i="9"/>
  <c r="BL12" i="9"/>
  <c r="BL14" i="9"/>
  <c r="BL19" i="9"/>
  <c r="BL20" i="9"/>
  <c r="BL23" i="9"/>
  <c r="BL24" i="9"/>
  <c r="BL25" i="9"/>
  <c r="BL32" i="9"/>
  <c r="BL33" i="9"/>
  <c r="BL34" i="9"/>
  <c r="BL35" i="9"/>
  <c r="BL7" i="10"/>
  <c r="BL9" i="10"/>
  <c r="BL10" i="10"/>
  <c r="BL11" i="10"/>
  <c r="BL13" i="10"/>
  <c r="BL15" i="10"/>
  <c r="BL16" i="10"/>
  <c r="BL17" i="10"/>
  <c r="BL18" i="10"/>
  <c r="BL19" i="10"/>
  <c r="BL20" i="10"/>
  <c r="BL22" i="10"/>
  <c r="BL26" i="10"/>
  <c r="BL29" i="10"/>
  <c r="BL14" i="8"/>
  <c r="BL15" i="8"/>
  <c r="BL16" i="8"/>
  <c r="BL17" i="8"/>
  <c r="BL18" i="8"/>
  <c r="BL19" i="8"/>
  <c r="BL24" i="8"/>
  <c r="BL25" i="8"/>
  <c r="BL28" i="8"/>
  <c r="BL29" i="8"/>
  <c r="BL31" i="8"/>
  <c r="BL34" i="8"/>
  <c r="BL35" i="8"/>
  <c r="BL36" i="8"/>
  <c r="BL7" i="9"/>
  <c r="BL8" i="9"/>
  <c r="BL13" i="9"/>
  <c r="BL15" i="9"/>
  <c r="BL16" i="9"/>
  <c r="BL17" i="9"/>
  <c r="BL18" i="9"/>
  <c r="BL21" i="9"/>
  <c r="BL22" i="9"/>
  <c r="BL26" i="9"/>
  <c r="BL27" i="9"/>
  <c r="BL28" i="9"/>
  <c r="BL29" i="9"/>
  <c r="BL30" i="9"/>
  <c r="BL31" i="9"/>
  <c r="BL36" i="9"/>
  <c r="BL8" i="10"/>
  <c r="BL12" i="10"/>
  <c r="BL14" i="10"/>
  <c r="BL21" i="10"/>
  <c r="BL23" i="10"/>
  <c r="BL24" i="10"/>
  <c r="BL25" i="10"/>
  <c r="BL27" i="10"/>
  <c r="BL28" i="10"/>
  <c r="BL30" i="10"/>
  <c r="BL31" i="10"/>
  <c r="BL32" i="10"/>
  <c r="BL33" i="10"/>
  <c r="BL34" i="10"/>
  <c r="BL35" i="10"/>
  <c r="BL36" i="10"/>
  <c r="L6" i="7" l="1"/>
  <c r="K4" i="7"/>
  <c r="K5" i="7" s="1"/>
  <c r="J5" i="7"/>
  <c r="L6" i="10"/>
  <c r="K4" i="10"/>
  <c r="K5" i="10" s="1"/>
  <c r="J5" i="10"/>
  <c r="L6" i="8"/>
  <c r="K4" i="8"/>
  <c r="K5" i="8" s="1"/>
  <c r="J5" i="8"/>
  <c r="L6" i="9"/>
  <c r="K4" i="9"/>
  <c r="K5" i="9" s="1"/>
  <c r="J5" i="9"/>
  <c r="Q9" i="3"/>
  <c r="A7" i="7"/>
  <c r="B7" i="7"/>
  <c r="C7" i="7"/>
  <c r="D7" i="7"/>
  <c r="E7" i="7"/>
  <c r="F7" i="7"/>
  <c r="BM7" i="7" s="1"/>
  <c r="I7" i="7" s="1"/>
  <c r="G7" i="7"/>
  <c r="H7" i="7"/>
  <c r="Q10" i="3"/>
  <c r="A8" i="7"/>
  <c r="B8" i="7"/>
  <c r="C8" i="7"/>
  <c r="D8" i="7"/>
  <c r="E8" i="7"/>
  <c r="G8" i="7"/>
  <c r="H8" i="7"/>
  <c r="Q11" i="3"/>
  <c r="A9" i="7"/>
  <c r="B9" i="7"/>
  <c r="C9" i="7"/>
  <c r="D9" i="7"/>
  <c r="F9" i="7" s="1"/>
  <c r="BM9" i="7" s="1"/>
  <c r="I9" i="7" s="1"/>
  <c r="E9" i="7"/>
  <c r="G9" i="7"/>
  <c r="H9" i="7"/>
  <c r="Q12" i="3"/>
  <c r="A10" i="7"/>
  <c r="B10" i="7"/>
  <c r="C10" i="7"/>
  <c r="D10" i="7"/>
  <c r="F10" i="7" s="1"/>
  <c r="BM10" i="7" s="1"/>
  <c r="I10" i="7" s="1"/>
  <c r="E10" i="7"/>
  <c r="G10" i="7"/>
  <c r="H10" i="7"/>
  <c r="Q13" i="3"/>
  <c r="A11" i="7"/>
  <c r="B11" i="7"/>
  <c r="C11" i="7"/>
  <c r="D11" i="7"/>
  <c r="F11" i="7" s="1"/>
  <c r="BM11" i="7" s="1"/>
  <c r="I11" i="7" s="1"/>
  <c r="E11" i="7"/>
  <c r="G11" i="7"/>
  <c r="H11" i="7"/>
  <c r="Q14" i="3"/>
  <c r="A12" i="7"/>
  <c r="B12" i="7"/>
  <c r="C12" i="7"/>
  <c r="D12" i="7"/>
  <c r="F12" i="7" s="1"/>
  <c r="BM12" i="7" s="1"/>
  <c r="I12" i="7" s="1"/>
  <c r="E12" i="7"/>
  <c r="G12" i="7"/>
  <c r="H12" i="7"/>
  <c r="Q15" i="3"/>
  <c r="A13" i="7"/>
  <c r="B13" i="7"/>
  <c r="C13" i="7"/>
  <c r="D13" i="7"/>
  <c r="F13" i="7" s="1"/>
  <c r="BM13" i="7" s="1"/>
  <c r="I13" i="7" s="1"/>
  <c r="E13" i="7"/>
  <c r="G13" i="7"/>
  <c r="H13" i="7"/>
  <c r="Q16" i="3"/>
  <c r="A14" i="7"/>
  <c r="B14" i="7"/>
  <c r="C14" i="7"/>
  <c r="D14" i="7"/>
  <c r="E14" i="7"/>
  <c r="G14" i="7"/>
  <c r="H14" i="7"/>
  <c r="Q17" i="3"/>
  <c r="A15" i="7"/>
  <c r="B15" i="7"/>
  <c r="C15" i="7"/>
  <c r="D15" i="7"/>
  <c r="E15" i="7"/>
  <c r="F15" i="7"/>
  <c r="BM15" i="7" s="1"/>
  <c r="I15" i="7" s="1"/>
  <c r="G15" i="7"/>
  <c r="H15" i="7"/>
  <c r="Q18" i="3"/>
  <c r="A16" i="7"/>
  <c r="B16" i="7"/>
  <c r="C16" i="7"/>
  <c r="D16" i="7"/>
  <c r="F16" i="7" s="1"/>
  <c r="BM16" i="7" s="1"/>
  <c r="I16" i="7" s="1"/>
  <c r="E16" i="7"/>
  <c r="G16" i="7"/>
  <c r="H16" i="7"/>
  <c r="Q19" i="3"/>
  <c r="A17" i="7"/>
  <c r="B17" i="7"/>
  <c r="C17" i="7"/>
  <c r="D17" i="7"/>
  <c r="G49" i="3" s="1"/>
  <c r="E17" i="7"/>
  <c r="G17" i="7"/>
  <c r="H17" i="7"/>
  <c r="Q20" i="3"/>
  <c r="A18" i="7"/>
  <c r="B18" i="7"/>
  <c r="C18" i="7"/>
  <c r="J49" i="3" s="1"/>
  <c r="D18" i="7"/>
  <c r="E18" i="7"/>
  <c r="G18" i="7"/>
  <c r="H18" i="7"/>
  <c r="Q21" i="3"/>
  <c r="A19" i="7"/>
  <c r="B19" i="7"/>
  <c r="C19" i="7"/>
  <c r="D19" i="7"/>
  <c r="C60" i="3" s="1"/>
  <c r="E19" i="7"/>
  <c r="G19" i="7"/>
  <c r="H19" i="7"/>
  <c r="Q22" i="3"/>
  <c r="A20" i="7"/>
  <c r="B20" i="7"/>
  <c r="C20" i="7"/>
  <c r="F60" i="3" s="1"/>
  <c r="D20" i="7"/>
  <c r="E20" i="7"/>
  <c r="G20" i="7"/>
  <c r="H20" i="7"/>
  <c r="Q23" i="3"/>
  <c r="A21" i="7"/>
  <c r="B21" i="7"/>
  <c r="C21" i="7"/>
  <c r="J60" i="3" s="1"/>
  <c r="D21" i="7"/>
  <c r="E21" i="7"/>
  <c r="G21" i="7"/>
  <c r="H21" i="7"/>
  <c r="Q24" i="3"/>
  <c r="A22" i="7"/>
  <c r="B22" i="7"/>
  <c r="C22" i="7"/>
  <c r="D22" i="7"/>
  <c r="C71" i="3" s="1"/>
  <c r="E22" i="7"/>
  <c r="G22" i="7"/>
  <c r="H22" i="7"/>
  <c r="Q25" i="3"/>
  <c r="A23" i="7"/>
  <c r="B23" i="7"/>
  <c r="C23" i="7"/>
  <c r="D23" i="7"/>
  <c r="F23" i="7" s="1"/>
  <c r="E23" i="7"/>
  <c r="G23" i="7"/>
  <c r="S46" i="2" s="1"/>
  <c r="H23" i="7"/>
  <c r="T46" i="2" s="1"/>
  <c r="Q26" i="3"/>
  <c r="A24" i="7"/>
  <c r="B24" i="7"/>
  <c r="C24" i="7"/>
  <c r="F24" i="7" s="1"/>
  <c r="D24" i="7"/>
  <c r="E24" i="7"/>
  <c r="G24" i="7"/>
  <c r="S47" i="2" s="1"/>
  <c r="H24" i="7"/>
  <c r="T47" i="2" s="1"/>
  <c r="Q27" i="3"/>
  <c r="A25" i="7"/>
  <c r="B25" i="7"/>
  <c r="C25" i="7"/>
  <c r="D25" i="7"/>
  <c r="E25" i="7"/>
  <c r="G25" i="7"/>
  <c r="S48" i="2" s="1"/>
  <c r="H25" i="7"/>
  <c r="T48" i="2" s="1"/>
  <c r="Q28" i="3"/>
  <c r="A26" i="7"/>
  <c r="B26" i="7"/>
  <c r="C26" i="7"/>
  <c r="D26" i="7"/>
  <c r="E26" i="7"/>
  <c r="G26" i="7"/>
  <c r="S49" i="2" s="1"/>
  <c r="H26" i="7"/>
  <c r="T49" i="2" s="1"/>
  <c r="Q29" i="3"/>
  <c r="A27" i="7"/>
  <c r="B27" i="7"/>
  <c r="C27" i="7"/>
  <c r="D27" i="7"/>
  <c r="E27" i="7"/>
  <c r="G27" i="7"/>
  <c r="S50" i="2" s="1"/>
  <c r="H27" i="7"/>
  <c r="T50" i="2" s="1"/>
  <c r="Q30" i="3"/>
  <c r="A28" i="7"/>
  <c r="B28" i="7"/>
  <c r="C28" i="7"/>
  <c r="F28" i="7" s="1"/>
  <c r="BM28" i="7" s="1"/>
  <c r="D28" i="7"/>
  <c r="E28" i="7"/>
  <c r="G28" i="7"/>
  <c r="S51" i="2" s="1"/>
  <c r="H28" i="7"/>
  <c r="T51" i="2" s="1"/>
  <c r="Q31" i="3"/>
  <c r="A29" i="7"/>
  <c r="B29" i="7"/>
  <c r="C29" i="7"/>
  <c r="D29" i="7"/>
  <c r="E29" i="7"/>
  <c r="G29" i="7"/>
  <c r="S52" i="2" s="1"/>
  <c r="H29" i="7"/>
  <c r="T52" i="2" s="1"/>
  <c r="Q32" i="3"/>
  <c r="A30" i="7"/>
  <c r="B30" i="7"/>
  <c r="C30" i="7"/>
  <c r="F30" i="7" s="1"/>
  <c r="D30" i="7"/>
  <c r="E30" i="7"/>
  <c r="G30" i="7"/>
  <c r="S53" i="2" s="1"/>
  <c r="H30" i="7"/>
  <c r="T53" i="2" s="1"/>
  <c r="BM31" i="7"/>
  <c r="S33" i="3" s="1"/>
  <c r="Q33" i="3"/>
  <c r="A31" i="7"/>
  <c r="B31" i="7"/>
  <c r="C31" i="7"/>
  <c r="B104" i="3" s="1"/>
  <c r="D31" i="7"/>
  <c r="C104" i="3" s="1"/>
  <c r="E31" i="7"/>
  <c r="F31" i="7"/>
  <c r="D104" i="3" s="1"/>
  <c r="G31" i="7"/>
  <c r="H31" i="7"/>
  <c r="I31" i="7"/>
  <c r="B105" i="3" s="1"/>
  <c r="BM32" i="7"/>
  <c r="S34" i="3" s="1"/>
  <c r="Q34" i="3"/>
  <c r="A32" i="7"/>
  <c r="B32" i="7"/>
  <c r="C32" i="7"/>
  <c r="F104" i="3" s="1"/>
  <c r="D32" i="7"/>
  <c r="G104" i="3" s="1"/>
  <c r="E32" i="7"/>
  <c r="F32" i="7"/>
  <c r="H104" i="3" s="1"/>
  <c r="G32" i="7"/>
  <c r="H32" i="7"/>
  <c r="I32" i="7"/>
  <c r="F105" i="3" s="1"/>
  <c r="BM33" i="7"/>
  <c r="S35" i="3" s="1"/>
  <c r="Q35" i="3"/>
  <c r="A33" i="7"/>
  <c r="B33" i="7"/>
  <c r="C33" i="7"/>
  <c r="J104" i="3" s="1"/>
  <c r="D33" i="7"/>
  <c r="K104" i="3" s="1"/>
  <c r="E33" i="7"/>
  <c r="F33" i="7"/>
  <c r="L104" i="3" s="1"/>
  <c r="G33" i="7"/>
  <c r="H33" i="7"/>
  <c r="I33" i="7"/>
  <c r="J105" i="3" s="1"/>
  <c r="BM34" i="7"/>
  <c r="S36" i="3" s="1"/>
  <c r="Q36" i="3"/>
  <c r="A34" i="7"/>
  <c r="B34" i="7"/>
  <c r="C34" i="7"/>
  <c r="B115" i="3" s="1"/>
  <c r="D34" i="7"/>
  <c r="C115" i="3" s="1"/>
  <c r="E34" i="7"/>
  <c r="F34" i="7"/>
  <c r="D115" i="3" s="1"/>
  <c r="G34" i="7"/>
  <c r="H34" i="7"/>
  <c r="I34" i="7"/>
  <c r="B116" i="3" s="1"/>
  <c r="BM35" i="7"/>
  <c r="S37" i="3" s="1"/>
  <c r="Q37" i="3"/>
  <c r="A35" i="7"/>
  <c r="B35" i="7"/>
  <c r="C35" i="7"/>
  <c r="F115" i="3" s="1"/>
  <c r="D35" i="7"/>
  <c r="G115" i="3" s="1"/>
  <c r="E35" i="7"/>
  <c r="F35" i="7"/>
  <c r="H115" i="3" s="1"/>
  <c r="G35" i="7"/>
  <c r="H35" i="7"/>
  <c r="I35" i="7"/>
  <c r="F116" i="3" s="1"/>
  <c r="BM36" i="7"/>
  <c r="S38" i="3" s="1"/>
  <c r="Q38" i="3"/>
  <c r="A36" i="7"/>
  <c r="B36" i="7"/>
  <c r="C36" i="7"/>
  <c r="J115" i="3" s="1"/>
  <c r="D36" i="7"/>
  <c r="K115" i="3" s="1"/>
  <c r="E36" i="7"/>
  <c r="F36" i="7"/>
  <c r="L115" i="3" s="1"/>
  <c r="G36" i="7"/>
  <c r="H36" i="7"/>
  <c r="I36" i="7"/>
  <c r="J116" i="3" s="1"/>
  <c r="Q9" i="4"/>
  <c r="A7" i="8"/>
  <c r="B7" i="8"/>
  <c r="C7" i="8"/>
  <c r="D7" i="8"/>
  <c r="E7" i="8"/>
  <c r="G7" i="8"/>
  <c r="H7" i="8"/>
  <c r="Q10" i="4"/>
  <c r="A8" i="8"/>
  <c r="B8" i="8"/>
  <c r="C8" i="8"/>
  <c r="D8" i="8"/>
  <c r="E8" i="8"/>
  <c r="G8" i="8"/>
  <c r="H8" i="8"/>
  <c r="Q11" i="4"/>
  <c r="A9" i="8"/>
  <c r="B9" i="8"/>
  <c r="C9" i="8"/>
  <c r="D9" i="8"/>
  <c r="E9" i="8"/>
  <c r="G9" i="8"/>
  <c r="H9" i="8"/>
  <c r="Q12" i="4"/>
  <c r="A10" i="8"/>
  <c r="B10" i="8"/>
  <c r="C10" i="8"/>
  <c r="D10" i="8"/>
  <c r="E10" i="8"/>
  <c r="G10" i="8"/>
  <c r="H10" i="8"/>
  <c r="Q13" i="4"/>
  <c r="A11" i="8"/>
  <c r="B11" i="8"/>
  <c r="C11" i="8"/>
  <c r="D11" i="8"/>
  <c r="E11" i="8"/>
  <c r="G11" i="8"/>
  <c r="H11" i="8"/>
  <c r="Q14" i="4"/>
  <c r="A12" i="8"/>
  <c r="B12" i="8"/>
  <c r="C12" i="8"/>
  <c r="D12" i="8"/>
  <c r="E12" i="8"/>
  <c r="G12" i="8"/>
  <c r="H12" i="8"/>
  <c r="Q15" i="4"/>
  <c r="A13" i="8"/>
  <c r="B13" i="8"/>
  <c r="C13" i="8"/>
  <c r="D13" i="8"/>
  <c r="E13" i="8"/>
  <c r="G13" i="8"/>
  <c r="H13" i="8"/>
  <c r="A20" i="8"/>
  <c r="B20" i="8"/>
  <c r="C20" i="8"/>
  <c r="F60" i="4" s="1"/>
  <c r="D20" i="8"/>
  <c r="E20" i="8"/>
  <c r="G20" i="8"/>
  <c r="H20" i="8"/>
  <c r="Q22" i="4"/>
  <c r="A21" i="8"/>
  <c r="B21" i="8"/>
  <c r="C21" i="8"/>
  <c r="D21" i="8"/>
  <c r="K60" i="4" s="1"/>
  <c r="E21" i="8"/>
  <c r="G21" i="8"/>
  <c r="H21" i="8"/>
  <c r="Q23" i="4"/>
  <c r="A22" i="8"/>
  <c r="B22" i="8"/>
  <c r="C22" i="8"/>
  <c r="D22" i="8"/>
  <c r="C71" i="4" s="1"/>
  <c r="E22" i="8"/>
  <c r="G22" i="8"/>
  <c r="H22" i="8"/>
  <c r="Q24" i="4"/>
  <c r="A23" i="8"/>
  <c r="B23" i="8"/>
  <c r="C23" i="8"/>
  <c r="D23" i="8"/>
  <c r="G71" i="4" s="1"/>
  <c r="E23" i="8"/>
  <c r="G23" i="8"/>
  <c r="H23" i="8"/>
  <c r="Q25" i="4"/>
  <c r="C26" i="8"/>
  <c r="D26" i="8"/>
  <c r="G82" i="4" s="1"/>
  <c r="E26" i="8"/>
  <c r="G26" i="8"/>
  <c r="H26" i="8"/>
  <c r="Q28" i="4"/>
  <c r="A26" i="8"/>
  <c r="B26" i="8"/>
  <c r="A27" i="8"/>
  <c r="B27" i="8"/>
  <c r="C27" i="8"/>
  <c r="D27" i="8"/>
  <c r="K82" i="4" s="1"/>
  <c r="E27" i="8"/>
  <c r="G27" i="8"/>
  <c r="H27" i="8"/>
  <c r="Q29" i="4"/>
  <c r="A30" i="8"/>
  <c r="B30" i="8"/>
  <c r="C30" i="8"/>
  <c r="D30" i="8"/>
  <c r="K93" i="4" s="1"/>
  <c r="E30" i="8"/>
  <c r="G30" i="8"/>
  <c r="H30" i="8"/>
  <c r="Q32" i="4"/>
  <c r="A32" i="8"/>
  <c r="B32" i="8"/>
  <c r="C32" i="8"/>
  <c r="F104" i="4" s="1"/>
  <c r="D32" i="8"/>
  <c r="G104" i="4" s="1"/>
  <c r="E32" i="8"/>
  <c r="F32" i="8"/>
  <c r="H104" i="4" s="1"/>
  <c r="G32" i="8"/>
  <c r="H32" i="8"/>
  <c r="I32" i="8"/>
  <c r="F105" i="4" s="1"/>
  <c r="BM32" i="8"/>
  <c r="S34" i="4" s="1"/>
  <c r="Q34" i="4"/>
  <c r="A33" i="8"/>
  <c r="B33" i="8"/>
  <c r="C33" i="8"/>
  <c r="J104" i="4" s="1"/>
  <c r="D33" i="8"/>
  <c r="K104" i="4" s="1"/>
  <c r="E33" i="8"/>
  <c r="F33" i="8"/>
  <c r="L104" i="4" s="1"/>
  <c r="G33" i="8"/>
  <c r="H33" i="8"/>
  <c r="I33" i="8"/>
  <c r="J105" i="4" s="1"/>
  <c r="BM33" i="8"/>
  <c r="S35" i="4" s="1"/>
  <c r="Q35" i="4"/>
  <c r="A9" i="9"/>
  <c r="C9" i="9"/>
  <c r="E9" i="9"/>
  <c r="G9" i="9"/>
  <c r="Q11" i="5"/>
  <c r="B9" i="9"/>
  <c r="D9" i="9"/>
  <c r="F9" i="9"/>
  <c r="BM9" i="9" s="1"/>
  <c r="I9" i="9" s="1"/>
  <c r="H9" i="9"/>
  <c r="Q12" i="5"/>
  <c r="A10" i="9"/>
  <c r="B10" i="9"/>
  <c r="C10" i="9"/>
  <c r="D10" i="9"/>
  <c r="E10" i="9"/>
  <c r="F10" i="9"/>
  <c r="BM10" i="9" s="1"/>
  <c r="I10" i="9" s="1"/>
  <c r="G10" i="9"/>
  <c r="H10" i="9"/>
  <c r="Q13" i="5"/>
  <c r="A11" i="9"/>
  <c r="B11" i="9"/>
  <c r="C11" i="9"/>
  <c r="D11" i="9"/>
  <c r="E11" i="9"/>
  <c r="F11" i="9"/>
  <c r="BM11" i="9" s="1"/>
  <c r="I11" i="9" s="1"/>
  <c r="G11" i="9"/>
  <c r="H11" i="9"/>
  <c r="B12" i="9"/>
  <c r="C12" i="9"/>
  <c r="D12" i="9"/>
  <c r="E12" i="9"/>
  <c r="F12" i="9"/>
  <c r="G12" i="9"/>
  <c r="H12" i="9"/>
  <c r="BM12" i="9"/>
  <c r="I12" i="9" s="1"/>
  <c r="Q14" i="5"/>
  <c r="A12" i="9"/>
  <c r="A14" i="9"/>
  <c r="B14" i="9"/>
  <c r="C14" i="9"/>
  <c r="D14" i="9"/>
  <c r="E14" i="9"/>
  <c r="F14" i="9"/>
  <c r="BM14" i="9" s="1"/>
  <c r="I14" i="9" s="1"/>
  <c r="G14" i="9"/>
  <c r="H14" i="9"/>
  <c r="Q16" i="5"/>
  <c r="A19" i="9"/>
  <c r="B19" i="9"/>
  <c r="C19" i="9"/>
  <c r="B60" i="5" s="1"/>
  <c r="D19" i="9"/>
  <c r="C60" i="5" s="1"/>
  <c r="E19" i="9"/>
  <c r="F19" i="9"/>
  <c r="D60" i="5" s="1"/>
  <c r="G19" i="9"/>
  <c r="H19" i="9"/>
  <c r="I19" i="9"/>
  <c r="B61" i="5" s="1"/>
  <c r="BM19" i="9"/>
  <c r="S21" i="5" s="1"/>
  <c r="Q21" i="5"/>
  <c r="B20" i="9"/>
  <c r="D20" i="9"/>
  <c r="G60" i="5" s="1"/>
  <c r="E20" i="9"/>
  <c r="F20" i="9"/>
  <c r="H60" i="5" s="1"/>
  <c r="G20" i="9"/>
  <c r="H20" i="9"/>
  <c r="I20" i="9"/>
  <c r="F61" i="5" s="1"/>
  <c r="BM20" i="9"/>
  <c r="S22" i="5" s="1"/>
  <c r="Q22" i="5"/>
  <c r="A20" i="9"/>
  <c r="C20" i="9"/>
  <c r="F60" i="5" s="1"/>
  <c r="A23" i="9"/>
  <c r="B23" i="9"/>
  <c r="C23" i="9"/>
  <c r="F71" i="5" s="1"/>
  <c r="D23" i="9"/>
  <c r="G71" i="5" s="1"/>
  <c r="E23" i="9"/>
  <c r="F23" i="9"/>
  <c r="H71" i="5" s="1"/>
  <c r="G23" i="9"/>
  <c r="H23" i="9"/>
  <c r="I23" i="9"/>
  <c r="F72" i="5" s="1"/>
  <c r="BM23" i="9"/>
  <c r="S25" i="5" s="1"/>
  <c r="Q25" i="5"/>
  <c r="A24" i="9"/>
  <c r="B24" i="9"/>
  <c r="C24" i="9"/>
  <c r="J71" i="5" s="1"/>
  <c r="D24" i="9"/>
  <c r="K71" i="5" s="1"/>
  <c r="E24" i="9"/>
  <c r="F24" i="9"/>
  <c r="L71" i="5" s="1"/>
  <c r="G24" i="9"/>
  <c r="H24" i="9"/>
  <c r="I24" i="9"/>
  <c r="J72" i="5" s="1"/>
  <c r="BM24" i="9"/>
  <c r="S26" i="5" s="1"/>
  <c r="Q26" i="5"/>
  <c r="A25" i="9"/>
  <c r="B25" i="9"/>
  <c r="C25" i="9"/>
  <c r="B82" i="5" s="1"/>
  <c r="D25" i="9"/>
  <c r="C82" i="5" s="1"/>
  <c r="E25" i="9"/>
  <c r="F25" i="9"/>
  <c r="D82" i="5" s="1"/>
  <c r="G25" i="9"/>
  <c r="H25" i="9"/>
  <c r="I25" i="9"/>
  <c r="B83" i="5" s="1"/>
  <c r="BM25" i="9"/>
  <c r="S27" i="5" s="1"/>
  <c r="Q27" i="5"/>
  <c r="BM32" i="9"/>
  <c r="S34" i="5" s="1"/>
  <c r="A32" i="9"/>
  <c r="D32" i="9"/>
  <c r="G104" i="5" s="1"/>
  <c r="E32" i="9"/>
  <c r="G32" i="9"/>
  <c r="Q34" i="5"/>
  <c r="B32" i="9"/>
  <c r="C32" i="9"/>
  <c r="F104" i="5" s="1"/>
  <c r="F32" i="9"/>
  <c r="H104" i="5" s="1"/>
  <c r="H32" i="9"/>
  <c r="I32" i="9"/>
  <c r="F105" i="5" s="1"/>
  <c r="D33" i="9"/>
  <c r="K104" i="5" s="1"/>
  <c r="E33" i="9"/>
  <c r="F33" i="9"/>
  <c r="L104" i="5" s="1"/>
  <c r="G33" i="9"/>
  <c r="H33" i="9"/>
  <c r="I33" i="9"/>
  <c r="J105" i="5" s="1"/>
  <c r="BM33" i="9"/>
  <c r="S35" i="5" s="1"/>
  <c r="Q35" i="5"/>
  <c r="A33" i="9"/>
  <c r="B33" i="9"/>
  <c r="C33" i="9"/>
  <c r="J104" i="5" s="1"/>
  <c r="B34" i="9"/>
  <c r="C34" i="9"/>
  <c r="B115" i="5" s="1"/>
  <c r="D34" i="9"/>
  <c r="C115" i="5" s="1"/>
  <c r="E34" i="9"/>
  <c r="F34" i="9"/>
  <c r="D115" i="5" s="1"/>
  <c r="G34" i="9"/>
  <c r="H34" i="9"/>
  <c r="I34" i="9"/>
  <c r="B116" i="5" s="1"/>
  <c r="BM34" i="9"/>
  <c r="S36" i="5" s="1"/>
  <c r="Q36" i="5"/>
  <c r="A34" i="9"/>
  <c r="B35" i="9"/>
  <c r="C35" i="9"/>
  <c r="F115" i="5" s="1"/>
  <c r="D35" i="9"/>
  <c r="G115" i="5" s="1"/>
  <c r="E35" i="9"/>
  <c r="F35" i="9"/>
  <c r="H115" i="5" s="1"/>
  <c r="G35" i="9"/>
  <c r="H35" i="9"/>
  <c r="I35" i="9"/>
  <c r="F116" i="5" s="1"/>
  <c r="BM35" i="9"/>
  <c r="S37" i="5" s="1"/>
  <c r="Q37" i="5"/>
  <c r="A35" i="9"/>
  <c r="A7" i="10"/>
  <c r="B7" i="10"/>
  <c r="C7" i="10"/>
  <c r="D7" i="10"/>
  <c r="E7" i="10"/>
  <c r="G7" i="10"/>
  <c r="H7" i="10"/>
  <c r="Q9" i="6"/>
  <c r="A9" i="10"/>
  <c r="C9" i="10"/>
  <c r="D9" i="10"/>
  <c r="E9" i="10"/>
  <c r="F9" i="10"/>
  <c r="G9" i="10"/>
  <c r="H9" i="10"/>
  <c r="BM9" i="10"/>
  <c r="I9" i="10" s="1"/>
  <c r="Q11" i="6"/>
  <c r="B9" i="10"/>
  <c r="A10" i="10"/>
  <c r="B10" i="10"/>
  <c r="C10" i="10"/>
  <c r="D10" i="10"/>
  <c r="E10" i="10"/>
  <c r="F10" i="10"/>
  <c r="G10" i="10"/>
  <c r="H10" i="10"/>
  <c r="BM10" i="10"/>
  <c r="I10" i="10" s="1"/>
  <c r="Q12" i="6"/>
  <c r="B11" i="10"/>
  <c r="C11" i="10"/>
  <c r="D11" i="10"/>
  <c r="F11" i="10" s="1"/>
  <c r="BM11" i="10" s="1"/>
  <c r="I11" i="10" s="1"/>
  <c r="E11" i="10"/>
  <c r="G11" i="10"/>
  <c r="H11" i="10"/>
  <c r="Q13" i="6"/>
  <c r="A11" i="10"/>
  <c r="A13" i="10"/>
  <c r="B13" i="10"/>
  <c r="C13" i="10"/>
  <c r="D13" i="10"/>
  <c r="E13" i="10"/>
  <c r="F13" i="10"/>
  <c r="G13" i="10"/>
  <c r="H13" i="10"/>
  <c r="BM13" i="10"/>
  <c r="I13" i="10" s="1"/>
  <c r="Q15" i="6"/>
  <c r="Q17" i="6"/>
  <c r="A15" i="10"/>
  <c r="B15" i="10"/>
  <c r="C15" i="10"/>
  <c r="D15" i="10"/>
  <c r="E15" i="10"/>
  <c r="F15" i="10"/>
  <c r="BM15" i="10" s="1"/>
  <c r="I15" i="10" s="1"/>
  <c r="G15" i="10"/>
  <c r="H15" i="10"/>
  <c r="Q18" i="6"/>
  <c r="A16" i="10"/>
  <c r="B16" i="10"/>
  <c r="C16" i="10"/>
  <c r="D16" i="10"/>
  <c r="F16" i="10" s="1"/>
  <c r="BM16" i="10" s="1"/>
  <c r="I16" i="10" s="1"/>
  <c r="E16" i="10"/>
  <c r="G16" i="10"/>
  <c r="H16" i="10"/>
  <c r="BM17" i="10"/>
  <c r="S19" i="6" s="1"/>
  <c r="Q19" i="6"/>
  <c r="A17" i="10"/>
  <c r="B17" i="10"/>
  <c r="C17" i="10"/>
  <c r="F49" i="6" s="1"/>
  <c r="D17" i="10"/>
  <c r="G49" i="6" s="1"/>
  <c r="E17" i="10"/>
  <c r="F17" i="10"/>
  <c r="H49" i="6" s="1"/>
  <c r="G17" i="10"/>
  <c r="H17" i="10"/>
  <c r="I17" i="10"/>
  <c r="F50" i="6" s="1"/>
  <c r="BM18" i="10"/>
  <c r="S20" i="6" s="1"/>
  <c r="Q20" i="6"/>
  <c r="A18" i="10"/>
  <c r="B18" i="10"/>
  <c r="C18" i="10"/>
  <c r="J49" i="6" s="1"/>
  <c r="D18" i="10"/>
  <c r="K49" i="6" s="1"/>
  <c r="E18" i="10"/>
  <c r="F18" i="10"/>
  <c r="L49" i="6" s="1"/>
  <c r="G18" i="10"/>
  <c r="H18" i="10"/>
  <c r="I18" i="10"/>
  <c r="J50" i="6" s="1"/>
  <c r="BM19" i="10"/>
  <c r="S21" i="6" s="1"/>
  <c r="Q21" i="6"/>
  <c r="A19" i="10"/>
  <c r="B19" i="10"/>
  <c r="C19" i="10"/>
  <c r="B60" i="6" s="1"/>
  <c r="D19" i="10"/>
  <c r="C60" i="6" s="1"/>
  <c r="E19" i="10"/>
  <c r="F19" i="10"/>
  <c r="D60" i="6" s="1"/>
  <c r="G19" i="10"/>
  <c r="H19" i="10"/>
  <c r="I19" i="10"/>
  <c r="B61" i="6" s="1"/>
  <c r="BM20" i="10"/>
  <c r="S22" i="6" s="1"/>
  <c r="Q22" i="6"/>
  <c r="A20" i="10"/>
  <c r="B20" i="10"/>
  <c r="C20" i="10"/>
  <c r="F60" i="6" s="1"/>
  <c r="D20" i="10"/>
  <c r="G60" i="6" s="1"/>
  <c r="E20" i="10"/>
  <c r="F20" i="10"/>
  <c r="H60" i="6" s="1"/>
  <c r="G20" i="10"/>
  <c r="H20" i="10"/>
  <c r="I20" i="10"/>
  <c r="F61" i="6" s="1"/>
  <c r="BM22" i="10"/>
  <c r="S24" i="6" s="1"/>
  <c r="A22" i="10"/>
  <c r="B22" i="10"/>
  <c r="C22" i="10"/>
  <c r="B71" i="6" s="1"/>
  <c r="D22" i="10"/>
  <c r="C71" i="6" s="1"/>
  <c r="E22" i="10"/>
  <c r="F22" i="10"/>
  <c r="D71" i="6" s="1"/>
  <c r="G22" i="10"/>
  <c r="H22" i="10"/>
  <c r="I22" i="10"/>
  <c r="B72" i="6" s="1"/>
  <c r="Q24" i="6"/>
  <c r="A26" i="10"/>
  <c r="B26" i="10"/>
  <c r="C26" i="10"/>
  <c r="F82" i="6" s="1"/>
  <c r="D26" i="10"/>
  <c r="G82" i="6" s="1"/>
  <c r="E26" i="10"/>
  <c r="F26" i="10"/>
  <c r="H82" i="6" s="1"/>
  <c r="G26" i="10"/>
  <c r="H26" i="10"/>
  <c r="I26" i="10"/>
  <c r="F83" i="6" s="1"/>
  <c r="BM26" i="10"/>
  <c r="S28" i="6" s="1"/>
  <c r="Q28" i="6"/>
  <c r="A29" i="10"/>
  <c r="B29" i="10"/>
  <c r="C29" i="10"/>
  <c r="F93" i="6" s="1"/>
  <c r="D29" i="10"/>
  <c r="G93" i="6" s="1"/>
  <c r="E29" i="10"/>
  <c r="F29" i="10"/>
  <c r="H93" i="6" s="1"/>
  <c r="G29" i="10"/>
  <c r="H29" i="10"/>
  <c r="I29" i="10"/>
  <c r="F94" i="6" s="1"/>
  <c r="BM29" i="10"/>
  <c r="S31" i="6" s="1"/>
  <c r="Q31" i="6"/>
  <c r="Q16" i="4"/>
  <c r="A14" i="8"/>
  <c r="B14" i="8"/>
  <c r="C14" i="8"/>
  <c r="E14" i="8"/>
  <c r="G14" i="8"/>
  <c r="D14" i="8"/>
  <c r="H14" i="8"/>
  <c r="Q17" i="4"/>
  <c r="A15" i="8"/>
  <c r="B15" i="8"/>
  <c r="C15" i="8"/>
  <c r="D15" i="8"/>
  <c r="E15" i="8"/>
  <c r="G15" i="8"/>
  <c r="H15" i="8"/>
  <c r="Q18" i="4"/>
  <c r="A16" i="8"/>
  <c r="B16" i="8"/>
  <c r="C16" i="8"/>
  <c r="D16" i="8"/>
  <c r="E16" i="8"/>
  <c r="G16" i="8"/>
  <c r="H16" i="8"/>
  <c r="Q19" i="4"/>
  <c r="A17" i="8"/>
  <c r="B17" i="8"/>
  <c r="C17" i="8"/>
  <c r="F49" i="4" s="1"/>
  <c r="D17" i="8"/>
  <c r="E17" i="8"/>
  <c r="G17" i="8"/>
  <c r="H17" i="8"/>
  <c r="Q20" i="4"/>
  <c r="A18" i="8"/>
  <c r="B18" i="8"/>
  <c r="C18" i="8"/>
  <c r="J49" i="4" s="1"/>
  <c r="D18" i="8"/>
  <c r="E18" i="8"/>
  <c r="G18" i="8"/>
  <c r="H18" i="8"/>
  <c r="Q21" i="4"/>
  <c r="G19" i="8"/>
  <c r="H19" i="8"/>
  <c r="A19" i="8"/>
  <c r="B19" i="8"/>
  <c r="C19" i="8"/>
  <c r="B60" i="4" s="1"/>
  <c r="D19" i="8"/>
  <c r="E19" i="8"/>
  <c r="Q26" i="4"/>
  <c r="B24" i="8"/>
  <c r="C24" i="8"/>
  <c r="D24" i="8"/>
  <c r="K71" i="4" s="1"/>
  <c r="E24" i="8"/>
  <c r="G24" i="8"/>
  <c r="H24" i="8"/>
  <c r="A24" i="8"/>
  <c r="Q27" i="4"/>
  <c r="A25" i="8"/>
  <c r="B25" i="8"/>
  <c r="C25" i="8"/>
  <c r="B82" i="4" s="1"/>
  <c r="D25" i="8"/>
  <c r="E25" i="8"/>
  <c r="G25" i="8"/>
  <c r="H25" i="8"/>
  <c r="Q30" i="4"/>
  <c r="A28" i="8"/>
  <c r="B28" i="8"/>
  <c r="C28" i="8"/>
  <c r="D28" i="8"/>
  <c r="C93" i="4" s="1"/>
  <c r="E28" i="8"/>
  <c r="G28" i="8"/>
  <c r="H28" i="8"/>
  <c r="Q31" i="4"/>
  <c r="A29" i="8"/>
  <c r="B29" i="8"/>
  <c r="C29" i="8"/>
  <c r="D29" i="8"/>
  <c r="G93" i="4" s="1"/>
  <c r="E29" i="8"/>
  <c r="G29" i="8"/>
  <c r="H29" i="8"/>
  <c r="Q33" i="4"/>
  <c r="A31" i="8"/>
  <c r="C31" i="8"/>
  <c r="B104" i="4" s="1"/>
  <c r="E31" i="8"/>
  <c r="F31" i="8"/>
  <c r="D104" i="4" s="1"/>
  <c r="G31" i="8"/>
  <c r="H31" i="8"/>
  <c r="I31" i="8"/>
  <c r="B105" i="4" s="1"/>
  <c r="BM31" i="8"/>
  <c r="S33" i="4" s="1"/>
  <c r="B31" i="8"/>
  <c r="D31" i="8"/>
  <c r="C104" i="4" s="1"/>
  <c r="Q36" i="4"/>
  <c r="A34" i="8"/>
  <c r="B34" i="8"/>
  <c r="C34" i="8"/>
  <c r="B115" i="4" s="1"/>
  <c r="D34" i="8"/>
  <c r="C115" i="4" s="1"/>
  <c r="E34" i="8"/>
  <c r="F34" i="8"/>
  <c r="D115" i="4" s="1"/>
  <c r="G34" i="8"/>
  <c r="H34" i="8"/>
  <c r="I34" i="8"/>
  <c r="B116" i="4" s="1"/>
  <c r="BM34" i="8"/>
  <c r="S36" i="4" s="1"/>
  <c r="Q37" i="4"/>
  <c r="A35" i="8"/>
  <c r="B35" i="8"/>
  <c r="C35" i="8"/>
  <c r="F115" i="4" s="1"/>
  <c r="D35" i="8"/>
  <c r="G115" i="4" s="1"/>
  <c r="E35" i="8"/>
  <c r="F35" i="8"/>
  <c r="H115" i="4" s="1"/>
  <c r="G35" i="8"/>
  <c r="H35" i="8"/>
  <c r="I35" i="8"/>
  <c r="F116" i="4" s="1"/>
  <c r="BM35" i="8"/>
  <c r="S37" i="4" s="1"/>
  <c r="BM36" i="8"/>
  <c r="S38" i="4" s="1"/>
  <c r="Q38" i="4"/>
  <c r="B36" i="8"/>
  <c r="D36" i="8"/>
  <c r="K115" i="4" s="1"/>
  <c r="F36" i="8"/>
  <c r="L115" i="4" s="1"/>
  <c r="G36" i="8"/>
  <c r="H36" i="8"/>
  <c r="I36" i="8"/>
  <c r="J116" i="4" s="1"/>
  <c r="A36" i="8"/>
  <c r="C36" i="8"/>
  <c r="J115" i="4" s="1"/>
  <c r="E36" i="8"/>
  <c r="Q9" i="5"/>
  <c r="A7" i="9"/>
  <c r="C7" i="9"/>
  <c r="D7" i="9"/>
  <c r="E7" i="9"/>
  <c r="F7" i="9"/>
  <c r="G7" i="9"/>
  <c r="H7" i="9"/>
  <c r="BM7" i="9"/>
  <c r="I7" i="9" s="1"/>
  <c r="B7" i="9"/>
  <c r="Q10" i="5"/>
  <c r="A8" i="9"/>
  <c r="B8" i="9"/>
  <c r="C8" i="9"/>
  <c r="D8" i="9"/>
  <c r="E8" i="9"/>
  <c r="F8" i="9"/>
  <c r="G8" i="9"/>
  <c r="H8" i="9"/>
  <c r="BM8" i="9"/>
  <c r="I8" i="9" s="1"/>
  <c r="Q15" i="5"/>
  <c r="A13" i="9"/>
  <c r="B13" i="9"/>
  <c r="C13" i="9"/>
  <c r="D13" i="9"/>
  <c r="E13" i="9"/>
  <c r="G13" i="9"/>
  <c r="H13" i="9"/>
  <c r="Q17" i="5"/>
  <c r="B15" i="9"/>
  <c r="C15" i="9"/>
  <c r="D15" i="9"/>
  <c r="E15" i="9"/>
  <c r="F15" i="9"/>
  <c r="G15" i="9"/>
  <c r="H15" i="9"/>
  <c r="BM15" i="9"/>
  <c r="I15" i="9" s="1"/>
  <c r="A15" i="9"/>
  <c r="Q18" i="5"/>
  <c r="A16" i="9"/>
  <c r="B16" i="9"/>
  <c r="C16" i="9"/>
  <c r="D16" i="9"/>
  <c r="F16" i="9" s="1"/>
  <c r="BM16" i="9" s="1"/>
  <c r="I16" i="9" s="1"/>
  <c r="E16" i="9"/>
  <c r="G16" i="9"/>
  <c r="H16" i="9"/>
  <c r="Q19" i="5"/>
  <c r="A17" i="9"/>
  <c r="B17" i="9"/>
  <c r="C17" i="9"/>
  <c r="F49" i="5" s="1"/>
  <c r="D17" i="9"/>
  <c r="G49" i="5" s="1"/>
  <c r="E17" i="9"/>
  <c r="F17" i="9"/>
  <c r="H49" i="5" s="1"/>
  <c r="G17" i="9"/>
  <c r="H17" i="9"/>
  <c r="I17" i="9"/>
  <c r="F50" i="5" s="1"/>
  <c r="BM17" i="9"/>
  <c r="S19" i="5" s="1"/>
  <c r="Q20" i="5"/>
  <c r="B18" i="9"/>
  <c r="D18" i="9"/>
  <c r="K49" i="5" s="1"/>
  <c r="E18" i="9"/>
  <c r="F18" i="9"/>
  <c r="L49" i="5" s="1"/>
  <c r="G18" i="9"/>
  <c r="H18" i="9"/>
  <c r="I18" i="9"/>
  <c r="J50" i="5" s="1"/>
  <c r="BM18" i="9"/>
  <c r="S20" i="5" s="1"/>
  <c r="A18" i="9"/>
  <c r="C18" i="9"/>
  <c r="J49" i="5" s="1"/>
  <c r="Q23" i="5"/>
  <c r="A21" i="9"/>
  <c r="B21" i="9"/>
  <c r="C21" i="9"/>
  <c r="J60" i="5" s="1"/>
  <c r="D21" i="9"/>
  <c r="K60" i="5" s="1"/>
  <c r="E21" i="9"/>
  <c r="F21" i="9"/>
  <c r="L60" i="5" s="1"/>
  <c r="G21" i="9"/>
  <c r="H21" i="9"/>
  <c r="I21" i="9"/>
  <c r="J61" i="5" s="1"/>
  <c r="BM21" i="9"/>
  <c r="S23" i="5" s="1"/>
  <c r="BM22" i="9"/>
  <c r="S24" i="5" s="1"/>
  <c r="Q24" i="5"/>
  <c r="A22" i="9"/>
  <c r="B22" i="9"/>
  <c r="C22" i="9"/>
  <c r="B71" i="5" s="1"/>
  <c r="D22" i="9"/>
  <c r="C71" i="5" s="1"/>
  <c r="E22" i="9"/>
  <c r="F22" i="9"/>
  <c r="D71" i="5" s="1"/>
  <c r="G22" i="9"/>
  <c r="H22" i="9"/>
  <c r="I22" i="9"/>
  <c r="B72" i="5" s="1"/>
  <c r="BM26" i="9"/>
  <c r="S28" i="5" s="1"/>
  <c r="Q28" i="5"/>
  <c r="A26" i="9"/>
  <c r="C26" i="9"/>
  <c r="F82" i="5" s="1"/>
  <c r="E26" i="9"/>
  <c r="G26" i="9"/>
  <c r="I26" i="9"/>
  <c r="F83" i="5" s="1"/>
  <c r="B26" i="9"/>
  <c r="D26" i="9"/>
  <c r="G82" i="5" s="1"/>
  <c r="F26" i="9"/>
  <c r="H82" i="5" s="1"/>
  <c r="H26" i="9"/>
  <c r="Q29" i="5"/>
  <c r="E27" i="9"/>
  <c r="F27" i="9"/>
  <c r="L82" i="5" s="1"/>
  <c r="G27" i="9"/>
  <c r="H27" i="9"/>
  <c r="I27" i="9"/>
  <c r="J83" i="5" s="1"/>
  <c r="BM27" i="9"/>
  <c r="S29" i="5" s="1"/>
  <c r="A27" i="9"/>
  <c r="B27" i="9"/>
  <c r="C27" i="9"/>
  <c r="J82" i="5" s="1"/>
  <c r="D27" i="9"/>
  <c r="K82" i="5" s="1"/>
  <c r="Q30" i="5"/>
  <c r="A28" i="9"/>
  <c r="B28" i="9"/>
  <c r="C28" i="9"/>
  <c r="B93" i="5" s="1"/>
  <c r="D28" i="9"/>
  <c r="C93" i="5" s="1"/>
  <c r="E28" i="9"/>
  <c r="F28" i="9"/>
  <c r="D93" i="5" s="1"/>
  <c r="G28" i="9"/>
  <c r="H28" i="9"/>
  <c r="I28" i="9"/>
  <c r="B94" i="5" s="1"/>
  <c r="BM28" i="9"/>
  <c r="S30" i="5" s="1"/>
  <c r="Q31" i="5"/>
  <c r="A29" i="9"/>
  <c r="B29" i="9"/>
  <c r="C29" i="9"/>
  <c r="F93" i="5" s="1"/>
  <c r="D29" i="9"/>
  <c r="G93" i="5" s="1"/>
  <c r="E29" i="9"/>
  <c r="F29" i="9"/>
  <c r="H93" i="5" s="1"/>
  <c r="G29" i="9"/>
  <c r="H29" i="9"/>
  <c r="I29" i="9"/>
  <c r="F94" i="5" s="1"/>
  <c r="BM29" i="9"/>
  <c r="S31" i="5" s="1"/>
  <c r="Q32" i="5"/>
  <c r="A30" i="9"/>
  <c r="B30" i="9"/>
  <c r="C30" i="9"/>
  <c r="J93" i="5" s="1"/>
  <c r="D30" i="9"/>
  <c r="K93" i="5" s="1"/>
  <c r="E30" i="9"/>
  <c r="F30" i="9"/>
  <c r="L93" i="5" s="1"/>
  <c r="G30" i="9"/>
  <c r="H30" i="9"/>
  <c r="I30" i="9"/>
  <c r="J94" i="5" s="1"/>
  <c r="BM30" i="9"/>
  <c r="S32" i="5" s="1"/>
  <c r="Q33" i="5"/>
  <c r="A31" i="9"/>
  <c r="B31" i="9"/>
  <c r="C31" i="9"/>
  <c r="B104" i="5" s="1"/>
  <c r="D31" i="9"/>
  <c r="C104" i="5" s="1"/>
  <c r="E31" i="9"/>
  <c r="F31" i="9"/>
  <c r="D104" i="5" s="1"/>
  <c r="G31" i="9"/>
  <c r="H31" i="9"/>
  <c r="I31" i="9"/>
  <c r="B105" i="5" s="1"/>
  <c r="BM31" i="9"/>
  <c r="S33" i="5" s="1"/>
  <c r="BM36" i="9"/>
  <c r="S38" i="5" s="1"/>
  <c r="Q38" i="5"/>
  <c r="A36" i="9"/>
  <c r="B36" i="9"/>
  <c r="D36" i="9"/>
  <c r="K115" i="5" s="1"/>
  <c r="G36" i="9"/>
  <c r="H36" i="9"/>
  <c r="I36" i="9"/>
  <c r="J116" i="5" s="1"/>
  <c r="C36" i="9"/>
  <c r="J115" i="5" s="1"/>
  <c r="E36" i="9"/>
  <c r="F36" i="9"/>
  <c r="L115" i="5" s="1"/>
  <c r="Q10" i="6"/>
  <c r="A8" i="10"/>
  <c r="B8" i="10"/>
  <c r="C8" i="10"/>
  <c r="F8" i="10" s="1"/>
  <c r="BM8" i="10" s="1"/>
  <c r="I8" i="10" s="1"/>
  <c r="D8" i="10"/>
  <c r="E8" i="10"/>
  <c r="G8" i="10"/>
  <c r="H8" i="10"/>
  <c r="Q14" i="6"/>
  <c r="A12" i="10"/>
  <c r="C12" i="10"/>
  <c r="G12" i="10"/>
  <c r="H12" i="10"/>
  <c r="B12" i="10"/>
  <c r="D12" i="10"/>
  <c r="F12" i="10" s="1"/>
  <c r="BM12" i="10" s="1"/>
  <c r="I12" i="10" s="1"/>
  <c r="E12" i="10"/>
  <c r="Q16" i="6"/>
  <c r="A14" i="10"/>
  <c r="B14" i="10"/>
  <c r="C14" i="10"/>
  <c r="D14" i="10"/>
  <c r="F14" i="10" s="1"/>
  <c r="BM14" i="10" s="1"/>
  <c r="I14" i="10" s="1"/>
  <c r="E14" i="10"/>
  <c r="G14" i="10"/>
  <c r="H14" i="10"/>
  <c r="Q23" i="6"/>
  <c r="A21" i="10"/>
  <c r="B21" i="10"/>
  <c r="C21" i="10"/>
  <c r="J60" i="6" s="1"/>
  <c r="D21" i="10"/>
  <c r="K60" i="6" s="1"/>
  <c r="E21" i="10"/>
  <c r="F21" i="10"/>
  <c r="L60" i="6" s="1"/>
  <c r="G21" i="10"/>
  <c r="H21" i="10"/>
  <c r="I21" i="10"/>
  <c r="J61" i="6" s="1"/>
  <c r="BM21" i="10"/>
  <c r="S23" i="6" s="1"/>
  <c r="Q25" i="6"/>
  <c r="A23" i="10"/>
  <c r="B23" i="10"/>
  <c r="C23" i="10"/>
  <c r="F71" i="6" s="1"/>
  <c r="D23" i="10"/>
  <c r="G71" i="6" s="1"/>
  <c r="E23" i="10"/>
  <c r="F23" i="10"/>
  <c r="H71" i="6" s="1"/>
  <c r="G23" i="10"/>
  <c r="H23" i="10"/>
  <c r="I23" i="10"/>
  <c r="F72" i="6" s="1"/>
  <c r="BM23" i="10"/>
  <c r="S25" i="6" s="1"/>
  <c r="Q26" i="6"/>
  <c r="A24" i="10"/>
  <c r="B24" i="10"/>
  <c r="C24" i="10"/>
  <c r="J71" i="6" s="1"/>
  <c r="D24" i="10"/>
  <c r="K71" i="6" s="1"/>
  <c r="E24" i="10"/>
  <c r="F24" i="10"/>
  <c r="L71" i="6" s="1"/>
  <c r="G24" i="10"/>
  <c r="H24" i="10"/>
  <c r="I24" i="10"/>
  <c r="J72" i="6" s="1"/>
  <c r="BM24" i="10"/>
  <c r="S26" i="6" s="1"/>
  <c r="BM25" i="10"/>
  <c r="S27" i="6" s="1"/>
  <c r="Q27" i="6"/>
  <c r="B25" i="10"/>
  <c r="C25" i="10"/>
  <c r="B82" i="6" s="1"/>
  <c r="D25" i="10"/>
  <c r="C82" i="6" s="1"/>
  <c r="E25" i="10"/>
  <c r="F25" i="10"/>
  <c r="D82" i="6" s="1"/>
  <c r="G25" i="10"/>
  <c r="H25" i="10"/>
  <c r="I25" i="10"/>
  <c r="B83" i="6" s="1"/>
  <c r="A25" i="10"/>
  <c r="Q29" i="6"/>
  <c r="A27" i="10"/>
  <c r="B27" i="10"/>
  <c r="C27" i="10"/>
  <c r="J82" i="6" s="1"/>
  <c r="D27" i="10"/>
  <c r="K82" i="6" s="1"/>
  <c r="E27" i="10"/>
  <c r="F27" i="10"/>
  <c r="L82" i="6" s="1"/>
  <c r="G27" i="10"/>
  <c r="H27" i="10"/>
  <c r="I27" i="10"/>
  <c r="J83" i="6" s="1"/>
  <c r="BM27" i="10"/>
  <c r="S29" i="6" s="1"/>
  <c r="BM28" i="10"/>
  <c r="S30" i="6" s="1"/>
  <c r="Q30" i="6"/>
  <c r="B28" i="10"/>
  <c r="D28" i="10"/>
  <c r="C93" i="6" s="1"/>
  <c r="F28" i="10"/>
  <c r="D93" i="6" s="1"/>
  <c r="H28" i="10"/>
  <c r="A28" i="10"/>
  <c r="C28" i="10"/>
  <c r="B93" i="6" s="1"/>
  <c r="E28" i="10"/>
  <c r="G28" i="10"/>
  <c r="I28" i="10"/>
  <c r="B94" i="6" s="1"/>
  <c r="BM30" i="10"/>
  <c r="S32" i="6" s="1"/>
  <c r="Q32" i="6"/>
  <c r="B30" i="10"/>
  <c r="D30" i="10"/>
  <c r="K93" i="6" s="1"/>
  <c r="I30" i="10"/>
  <c r="J94" i="6" s="1"/>
  <c r="A30" i="10"/>
  <c r="C30" i="10"/>
  <c r="J93" i="6" s="1"/>
  <c r="E30" i="10"/>
  <c r="F30" i="10"/>
  <c r="L93" i="6" s="1"/>
  <c r="G30" i="10"/>
  <c r="H30" i="10"/>
  <c r="BM31" i="10"/>
  <c r="S33" i="6" s="1"/>
  <c r="Q33" i="6"/>
  <c r="A31" i="10"/>
  <c r="B31" i="10"/>
  <c r="C31" i="10"/>
  <c r="B104" i="6" s="1"/>
  <c r="D31" i="10"/>
  <c r="C104" i="6" s="1"/>
  <c r="E31" i="10"/>
  <c r="F31" i="10"/>
  <c r="D104" i="6" s="1"/>
  <c r="G31" i="10"/>
  <c r="H31" i="10"/>
  <c r="I31" i="10"/>
  <c r="B105" i="6" s="1"/>
  <c r="BM32" i="10"/>
  <c r="S34" i="6" s="1"/>
  <c r="Q34" i="6"/>
  <c r="A32" i="10"/>
  <c r="B32" i="10"/>
  <c r="C32" i="10"/>
  <c r="F104" i="6" s="1"/>
  <c r="D32" i="10"/>
  <c r="G104" i="6" s="1"/>
  <c r="E32" i="10"/>
  <c r="F32" i="10"/>
  <c r="H104" i="6" s="1"/>
  <c r="G32" i="10"/>
  <c r="H32" i="10"/>
  <c r="I32" i="10"/>
  <c r="F105" i="6" s="1"/>
  <c r="BM33" i="10"/>
  <c r="S35" i="6" s="1"/>
  <c r="Q35" i="6"/>
  <c r="A33" i="10"/>
  <c r="B33" i="10"/>
  <c r="C33" i="10"/>
  <c r="J104" i="6" s="1"/>
  <c r="D33" i="10"/>
  <c r="K104" i="6" s="1"/>
  <c r="E33" i="10"/>
  <c r="F33" i="10"/>
  <c r="L104" i="6" s="1"/>
  <c r="G33" i="10"/>
  <c r="H33" i="10"/>
  <c r="I33" i="10"/>
  <c r="J105" i="6" s="1"/>
  <c r="BM34" i="10"/>
  <c r="S36" i="6" s="1"/>
  <c r="Q36" i="6"/>
  <c r="A34" i="10"/>
  <c r="B34" i="10"/>
  <c r="C34" i="10"/>
  <c r="B115" i="6" s="1"/>
  <c r="D34" i="10"/>
  <c r="C115" i="6" s="1"/>
  <c r="E34" i="10"/>
  <c r="F34" i="10"/>
  <c r="D115" i="6" s="1"/>
  <c r="G34" i="10"/>
  <c r="H34" i="10"/>
  <c r="I34" i="10"/>
  <c r="B116" i="6" s="1"/>
  <c r="BM35" i="10"/>
  <c r="S37" i="6" s="1"/>
  <c r="Q37" i="6"/>
  <c r="A35" i="10"/>
  <c r="B35" i="10"/>
  <c r="C35" i="10"/>
  <c r="F115" i="6" s="1"/>
  <c r="D35" i="10"/>
  <c r="G115" i="6" s="1"/>
  <c r="E35" i="10"/>
  <c r="F35" i="10"/>
  <c r="H115" i="6" s="1"/>
  <c r="G35" i="10"/>
  <c r="H35" i="10"/>
  <c r="I35" i="10"/>
  <c r="F116" i="6" s="1"/>
  <c r="BM36" i="10"/>
  <c r="S38" i="6" s="1"/>
  <c r="Q38" i="6"/>
  <c r="A36" i="10"/>
  <c r="B36" i="10"/>
  <c r="C36" i="10"/>
  <c r="J115" i="6" s="1"/>
  <c r="D36" i="10"/>
  <c r="K115" i="6" s="1"/>
  <c r="E36" i="10"/>
  <c r="F36" i="10"/>
  <c r="L115" i="6" s="1"/>
  <c r="G36" i="10"/>
  <c r="H36" i="10"/>
  <c r="I36" i="10"/>
  <c r="J116" i="6" s="1"/>
  <c r="T37" i="2" l="1"/>
  <c r="S37" i="2"/>
  <c r="F29" i="7"/>
  <c r="F8" i="7"/>
  <c r="BM8" i="7" s="1"/>
  <c r="T44" i="2"/>
  <c r="B60" i="3"/>
  <c r="F19" i="7"/>
  <c r="B71" i="3"/>
  <c r="F22" i="7"/>
  <c r="S33" i="2"/>
  <c r="T33" i="2"/>
  <c r="S36" i="2"/>
  <c r="T36" i="2"/>
  <c r="S38" i="2"/>
  <c r="T38" i="2"/>
  <c r="S39" i="2"/>
  <c r="T39" i="2"/>
  <c r="S40" i="2"/>
  <c r="T40" i="2"/>
  <c r="S42" i="2"/>
  <c r="T42" i="2"/>
  <c r="S44" i="2"/>
  <c r="S45" i="2"/>
  <c r="T45" i="2"/>
  <c r="S32" i="2"/>
  <c r="T32" i="2"/>
  <c r="S34" i="2"/>
  <c r="T34" i="2"/>
  <c r="S35" i="2"/>
  <c r="T35" i="2"/>
  <c r="F14" i="7"/>
  <c r="S43" i="2"/>
  <c r="S41" i="2"/>
  <c r="T41" i="2"/>
  <c r="T43" i="2"/>
  <c r="F49" i="3"/>
  <c r="F17" i="7"/>
  <c r="R40" i="2" s="1"/>
  <c r="K49" i="3"/>
  <c r="F18" i="7"/>
  <c r="R41" i="2" s="1"/>
  <c r="D60" i="3"/>
  <c r="BM19" i="7"/>
  <c r="V42" i="2" s="1"/>
  <c r="W42" i="2" s="1"/>
  <c r="G60" i="3"/>
  <c r="F20" i="7"/>
  <c r="R43" i="2" s="1"/>
  <c r="K60" i="3"/>
  <c r="F21" i="7"/>
  <c r="D71" i="3"/>
  <c r="BM22" i="7"/>
  <c r="F71" i="3"/>
  <c r="P46" i="2"/>
  <c r="G71" i="3"/>
  <c r="Q46" i="2"/>
  <c r="H71" i="3"/>
  <c r="BM23" i="7"/>
  <c r="R46" i="2"/>
  <c r="J71" i="3"/>
  <c r="P47" i="2"/>
  <c r="K71" i="3"/>
  <c r="Q47" i="2"/>
  <c r="L71" i="3"/>
  <c r="BM24" i="7"/>
  <c r="R47" i="2"/>
  <c r="B82" i="3"/>
  <c r="F25" i="7"/>
  <c r="P48" i="2"/>
  <c r="C82" i="3"/>
  <c r="Q48" i="2"/>
  <c r="F82" i="3"/>
  <c r="F26" i="7"/>
  <c r="P49" i="2"/>
  <c r="G82" i="3"/>
  <c r="Q49" i="2"/>
  <c r="J82" i="3"/>
  <c r="F27" i="7"/>
  <c r="P50" i="2"/>
  <c r="K82" i="3"/>
  <c r="Q50" i="2"/>
  <c r="S30" i="3"/>
  <c r="I28" i="7"/>
  <c r="V51" i="2"/>
  <c r="W51" i="2" s="1"/>
  <c r="B93" i="3"/>
  <c r="P51" i="2"/>
  <c r="C93" i="3"/>
  <c r="Q51" i="2"/>
  <c r="D93" i="3"/>
  <c r="R51" i="2"/>
  <c r="F93" i="3"/>
  <c r="P52" i="2"/>
  <c r="G93" i="3"/>
  <c r="Q52" i="2"/>
  <c r="H93" i="3"/>
  <c r="BM29" i="7"/>
  <c r="R52" i="2"/>
  <c r="J93" i="3"/>
  <c r="P53" i="2"/>
  <c r="K93" i="3"/>
  <c r="Q53" i="2"/>
  <c r="L93" i="3"/>
  <c r="BM30" i="7"/>
  <c r="R53" i="2"/>
  <c r="S31" i="2"/>
  <c r="T31" i="2"/>
  <c r="T30" i="2"/>
  <c r="S30" i="2"/>
  <c r="F12" i="8"/>
  <c r="L27" i="4" s="1"/>
  <c r="F15" i="8"/>
  <c r="R14" i="2" s="1"/>
  <c r="F8" i="8"/>
  <c r="F93" i="4"/>
  <c r="F29" i="8"/>
  <c r="S29" i="2"/>
  <c r="T29" i="2"/>
  <c r="T23" i="2"/>
  <c r="T25" i="2"/>
  <c r="F16" i="8"/>
  <c r="S25" i="2"/>
  <c r="S26" i="2"/>
  <c r="T26" i="2"/>
  <c r="S27" i="2"/>
  <c r="T27" i="2"/>
  <c r="F11" i="8"/>
  <c r="F13" i="8"/>
  <c r="F7" i="8"/>
  <c r="S9" i="2"/>
  <c r="T9" i="2"/>
  <c r="S10" i="2"/>
  <c r="T10" i="2"/>
  <c r="S11" i="2"/>
  <c r="T11" i="2"/>
  <c r="S12" i="2"/>
  <c r="T12" i="2"/>
  <c r="S13" i="2"/>
  <c r="S18" i="2"/>
  <c r="S21" i="2"/>
  <c r="T13" i="2"/>
  <c r="S14" i="2"/>
  <c r="T14" i="2"/>
  <c r="S15" i="2"/>
  <c r="T15" i="2"/>
  <c r="S20" i="2"/>
  <c r="T19" i="2"/>
  <c r="S24" i="2"/>
  <c r="T16" i="2"/>
  <c r="S17" i="2"/>
  <c r="F10" i="8"/>
  <c r="S19" i="2"/>
  <c r="S16" i="2"/>
  <c r="T17" i="2"/>
  <c r="F9" i="8"/>
  <c r="T18" i="2"/>
  <c r="T21" i="2"/>
  <c r="S22" i="2"/>
  <c r="S28" i="2"/>
  <c r="F14" i="8"/>
  <c r="T24" i="2"/>
  <c r="T20" i="2"/>
  <c r="T22" i="2"/>
  <c r="T28" i="2"/>
  <c r="S23" i="2"/>
  <c r="G60" i="4"/>
  <c r="F20" i="8"/>
  <c r="R19" i="2" s="1"/>
  <c r="J60" i="4"/>
  <c r="F21" i="8"/>
  <c r="R20" i="2" s="1"/>
  <c r="B71" i="4"/>
  <c r="F22" i="8"/>
  <c r="R21" i="2" s="1"/>
  <c r="F71" i="4"/>
  <c r="F23" i="8"/>
  <c r="R22" i="2" s="1"/>
  <c r="F82" i="4"/>
  <c r="F26" i="8"/>
  <c r="R25" i="2" s="1"/>
  <c r="J82" i="4"/>
  <c r="F27" i="8"/>
  <c r="R26" i="2" s="1"/>
  <c r="J93" i="4"/>
  <c r="F30" i="8"/>
  <c r="R29" i="2" s="1"/>
  <c r="G49" i="4"/>
  <c r="F17" i="8"/>
  <c r="R16" i="2" s="1"/>
  <c r="K49" i="4"/>
  <c r="F18" i="8"/>
  <c r="R17" i="2" s="1"/>
  <c r="C60" i="4"/>
  <c r="F19" i="8"/>
  <c r="R18" i="2" s="1"/>
  <c r="J71" i="4"/>
  <c r="F24" i="8"/>
  <c r="R23" i="2" s="1"/>
  <c r="C82" i="4"/>
  <c r="F25" i="8"/>
  <c r="R24" i="2" s="1"/>
  <c r="B93" i="4"/>
  <c r="F28" i="8"/>
  <c r="R27" i="2" s="1"/>
  <c r="S7" i="2"/>
  <c r="T7" i="2"/>
  <c r="S8" i="2"/>
  <c r="T8" i="2"/>
  <c r="S6" i="2"/>
  <c r="T6" i="2"/>
  <c r="F7" i="10"/>
  <c r="F13" i="9"/>
  <c r="M6" i="7"/>
  <c r="L4" i="7"/>
  <c r="M6" i="10"/>
  <c r="L4" i="10"/>
  <c r="M6" i="8"/>
  <c r="L4" i="8"/>
  <c r="M6" i="9"/>
  <c r="L4" i="9"/>
  <c r="S9" i="3"/>
  <c r="R9" i="3"/>
  <c r="B10" i="3"/>
  <c r="C10" i="3"/>
  <c r="B11" i="3"/>
  <c r="C11" i="3"/>
  <c r="D11" i="3"/>
  <c r="B12" i="3"/>
  <c r="C12" i="3"/>
  <c r="D12" i="3"/>
  <c r="B13" i="3"/>
  <c r="B14" i="3"/>
  <c r="B15" i="3"/>
  <c r="C15" i="3"/>
  <c r="D15" i="3"/>
  <c r="B18" i="3"/>
  <c r="B9" i="3"/>
  <c r="P6" i="2"/>
  <c r="H12" i="1"/>
  <c r="G20" i="1"/>
  <c r="J5" i="3"/>
  <c r="B16" i="3"/>
  <c r="G16" i="1"/>
  <c r="Q6" i="2"/>
  <c r="C16" i="3"/>
  <c r="R6" i="2"/>
  <c r="D16" i="3"/>
  <c r="B17" i="3"/>
  <c r="R10" i="3"/>
  <c r="F11" i="3"/>
  <c r="G11" i="3"/>
  <c r="H11" i="3"/>
  <c r="F12" i="3"/>
  <c r="G12" i="3"/>
  <c r="H12" i="3"/>
  <c r="F13" i="3"/>
  <c r="F14" i="3"/>
  <c r="F15" i="3"/>
  <c r="G15" i="3"/>
  <c r="H15" i="3"/>
  <c r="F18" i="3"/>
  <c r="F9" i="3"/>
  <c r="F10" i="3"/>
  <c r="G10" i="3"/>
  <c r="P7" i="2"/>
  <c r="F16" i="3"/>
  <c r="Q7" i="2"/>
  <c r="G16" i="3"/>
  <c r="H16" i="3"/>
  <c r="S11" i="3"/>
  <c r="R11" i="3"/>
  <c r="J12" i="3"/>
  <c r="K12" i="3"/>
  <c r="L12" i="3"/>
  <c r="J13" i="3"/>
  <c r="J14" i="3"/>
  <c r="J15" i="3"/>
  <c r="K15" i="3"/>
  <c r="L15" i="3"/>
  <c r="J18" i="3"/>
  <c r="J9" i="3"/>
  <c r="J10" i="3"/>
  <c r="K10" i="3"/>
  <c r="J11" i="3"/>
  <c r="K11" i="3"/>
  <c r="L11" i="3"/>
  <c r="P8" i="2"/>
  <c r="J16" i="3"/>
  <c r="Q8" i="2"/>
  <c r="K16" i="3"/>
  <c r="L16" i="3"/>
  <c r="J17" i="3"/>
  <c r="S12" i="3"/>
  <c r="R12" i="3"/>
  <c r="B20" i="3"/>
  <c r="B21" i="3"/>
  <c r="C21" i="3"/>
  <c r="B22" i="3"/>
  <c r="C22" i="3"/>
  <c r="D22" i="3"/>
  <c r="B23" i="3"/>
  <c r="C23" i="3"/>
  <c r="D23" i="3"/>
  <c r="B24" i="3"/>
  <c r="B25" i="3"/>
  <c r="B26" i="3"/>
  <c r="C26" i="3"/>
  <c r="D26" i="3"/>
  <c r="B29" i="3"/>
  <c r="P9" i="2"/>
  <c r="B27" i="3"/>
  <c r="Q9" i="2"/>
  <c r="C27" i="3"/>
  <c r="D27" i="3"/>
  <c r="B28" i="3"/>
  <c r="S13" i="3"/>
  <c r="R13" i="3"/>
  <c r="F20" i="3"/>
  <c r="F21" i="3"/>
  <c r="G21" i="3"/>
  <c r="F22" i="3"/>
  <c r="G22" i="3"/>
  <c r="H22" i="3"/>
  <c r="F23" i="3"/>
  <c r="G23" i="3"/>
  <c r="H23" i="3"/>
  <c r="F24" i="3"/>
  <c r="F25" i="3"/>
  <c r="F26" i="3"/>
  <c r="G26" i="3"/>
  <c r="H26" i="3"/>
  <c r="F29" i="3"/>
  <c r="P10" i="2"/>
  <c r="F27" i="3"/>
  <c r="Q10" i="2"/>
  <c r="G27" i="3"/>
  <c r="H27" i="3"/>
  <c r="F28" i="3"/>
  <c r="S14" i="3"/>
  <c r="R14" i="3"/>
  <c r="J20" i="3"/>
  <c r="J21" i="3"/>
  <c r="K21" i="3"/>
  <c r="J22" i="3"/>
  <c r="K22" i="3"/>
  <c r="L22" i="3"/>
  <c r="J23" i="3"/>
  <c r="K23" i="3"/>
  <c r="L23" i="3"/>
  <c r="J24" i="3"/>
  <c r="J25" i="3"/>
  <c r="J26" i="3"/>
  <c r="K26" i="3"/>
  <c r="L26" i="3"/>
  <c r="J29" i="3"/>
  <c r="P11" i="2"/>
  <c r="J27" i="3"/>
  <c r="Q11" i="2"/>
  <c r="K27" i="3"/>
  <c r="L27" i="3"/>
  <c r="J28" i="3"/>
  <c r="S15" i="3"/>
  <c r="R15" i="3"/>
  <c r="B31" i="3"/>
  <c r="B32" i="3"/>
  <c r="C32" i="3"/>
  <c r="B33" i="3"/>
  <c r="C33" i="3"/>
  <c r="D33" i="3"/>
  <c r="B34" i="3"/>
  <c r="C34" i="3"/>
  <c r="D34" i="3"/>
  <c r="B35" i="3"/>
  <c r="B36" i="3"/>
  <c r="B37" i="3"/>
  <c r="C37" i="3"/>
  <c r="D37" i="3"/>
  <c r="B40" i="3"/>
  <c r="P12" i="2"/>
  <c r="B38" i="3"/>
  <c r="Q12" i="2"/>
  <c r="C38" i="3"/>
  <c r="D38" i="3"/>
  <c r="B39" i="3"/>
  <c r="R16" i="3"/>
  <c r="F31" i="3"/>
  <c r="F32" i="3"/>
  <c r="G32" i="3"/>
  <c r="F33" i="3"/>
  <c r="G33" i="3"/>
  <c r="H33" i="3"/>
  <c r="F34" i="3"/>
  <c r="G34" i="3"/>
  <c r="H34" i="3"/>
  <c r="F35" i="3"/>
  <c r="F36" i="3"/>
  <c r="F37" i="3"/>
  <c r="G37" i="3"/>
  <c r="H37" i="3"/>
  <c r="F40" i="3"/>
  <c r="P13" i="2"/>
  <c r="F38" i="3"/>
  <c r="Q13" i="2"/>
  <c r="G38" i="3"/>
  <c r="H38" i="3"/>
  <c r="S17" i="3"/>
  <c r="R17" i="3"/>
  <c r="J31" i="3"/>
  <c r="J32" i="3"/>
  <c r="K32" i="3"/>
  <c r="J33" i="3"/>
  <c r="K33" i="3"/>
  <c r="L33" i="3"/>
  <c r="J34" i="3"/>
  <c r="K34" i="3"/>
  <c r="L34" i="3"/>
  <c r="J35" i="3"/>
  <c r="J36" i="3"/>
  <c r="J37" i="3"/>
  <c r="K37" i="3"/>
  <c r="L37" i="3"/>
  <c r="J40" i="3"/>
  <c r="P14" i="2"/>
  <c r="J38" i="3"/>
  <c r="Q14" i="2"/>
  <c r="K38" i="3"/>
  <c r="L38" i="3"/>
  <c r="J39" i="3"/>
  <c r="S18" i="3"/>
  <c r="R18" i="3"/>
  <c r="B42" i="3"/>
  <c r="B43" i="3"/>
  <c r="C43" i="3"/>
  <c r="B44" i="3"/>
  <c r="C44" i="3"/>
  <c r="D44" i="3"/>
  <c r="B45" i="3"/>
  <c r="C45" i="3"/>
  <c r="D45" i="3"/>
  <c r="B46" i="3"/>
  <c r="B47" i="3"/>
  <c r="B48" i="3"/>
  <c r="C48" i="3"/>
  <c r="D48" i="3"/>
  <c r="B51" i="3"/>
  <c r="P15" i="2"/>
  <c r="B49" i="3"/>
  <c r="Q15" i="2"/>
  <c r="C49" i="3"/>
  <c r="D49" i="3"/>
  <c r="B50" i="3"/>
  <c r="R19" i="3"/>
  <c r="F42" i="3"/>
  <c r="F43" i="3"/>
  <c r="G43" i="3"/>
  <c r="F44" i="3"/>
  <c r="G44" i="3"/>
  <c r="H44" i="3"/>
  <c r="F45" i="3"/>
  <c r="G45" i="3"/>
  <c r="H45" i="3"/>
  <c r="F46" i="3"/>
  <c r="F47" i="3"/>
  <c r="F48" i="3"/>
  <c r="G48" i="3"/>
  <c r="H48" i="3"/>
  <c r="F51" i="3"/>
  <c r="R20" i="3"/>
  <c r="J42" i="3"/>
  <c r="J43" i="3"/>
  <c r="K43" i="3"/>
  <c r="J44" i="3"/>
  <c r="K44" i="3"/>
  <c r="L44" i="3"/>
  <c r="J45" i="3"/>
  <c r="K45" i="3"/>
  <c r="L45" i="3"/>
  <c r="J46" i="3"/>
  <c r="J47" i="3"/>
  <c r="J48" i="3"/>
  <c r="K48" i="3"/>
  <c r="L48" i="3"/>
  <c r="J51" i="3"/>
  <c r="R21" i="3"/>
  <c r="B53" i="3"/>
  <c r="B54" i="3"/>
  <c r="C54" i="3"/>
  <c r="B55" i="3"/>
  <c r="C55" i="3"/>
  <c r="D55" i="3"/>
  <c r="B56" i="3"/>
  <c r="C56" i="3"/>
  <c r="D56" i="3"/>
  <c r="B57" i="3"/>
  <c r="B58" i="3"/>
  <c r="B59" i="3"/>
  <c r="C59" i="3"/>
  <c r="D59" i="3"/>
  <c r="B62" i="3"/>
  <c r="R22" i="3"/>
  <c r="F53" i="3"/>
  <c r="F54" i="3"/>
  <c r="G54" i="3"/>
  <c r="F55" i="3"/>
  <c r="G55" i="3"/>
  <c r="H55" i="3"/>
  <c r="F56" i="3"/>
  <c r="G56" i="3"/>
  <c r="H56" i="3"/>
  <c r="F57" i="3"/>
  <c r="F58" i="3"/>
  <c r="F59" i="3"/>
  <c r="G59" i="3"/>
  <c r="H59" i="3"/>
  <c r="F62" i="3"/>
  <c r="R23" i="3"/>
  <c r="J53" i="3"/>
  <c r="J54" i="3"/>
  <c r="K54" i="3"/>
  <c r="J55" i="3"/>
  <c r="K55" i="3"/>
  <c r="L55" i="3"/>
  <c r="J56" i="3"/>
  <c r="K56" i="3"/>
  <c r="L56" i="3"/>
  <c r="J57" i="3"/>
  <c r="J58" i="3"/>
  <c r="J59" i="3"/>
  <c r="K59" i="3"/>
  <c r="L59" i="3"/>
  <c r="J62" i="3"/>
  <c r="R24" i="3"/>
  <c r="B64" i="3"/>
  <c r="B65" i="3"/>
  <c r="C65" i="3"/>
  <c r="B66" i="3"/>
  <c r="C66" i="3"/>
  <c r="D66" i="3"/>
  <c r="B67" i="3"/>
  <c r="C67" i="3"/>
  <c r="D67" i="3"/>
  <c r="B68" i="3"/>
  <c r="B69" i="3"/>
  <c r="B70" i="3"/>
  <c r="C70" i="3"/>
  <c r="D70" i="3"/>
  <c r="B73" i="3"/>
  <c r="R25" i="3"/>
  <c r="F64" i="3"/>
  <c r="F65" i="3"/>
  <c r="G65" i="3"/>
  <c r="F66" i="3"/>
  <c r="G66" i="3"/>
  <c r="H66" i="3"/>
  <c r="F67" i="3"/>
  <c r="G67" i="3"/>
  <c r="H67" i="3"/>
  <c r="F68" i="3"/>
  <c r="F69" i="3"/>
  <c r="F70" i="3"/>
  <c r="G70" i="3"/>
  <c r="H70" i="3"/>
  <c r="F73" i="3"/>
  <c r="R26" i="3"/>
  <c r="J64" i="3"/>
  <c r="J65" i="3"/>
  <c r="K65" i="3"/>
  <c r="J66" i="3"/>
  <c r="K66" i="3"/>
  <c r="L66" i="3"/>
  <c r="J67" i="3"/>
  <c r="K67" i="3"/>
  <c r="L67" i="3"/>
  <c r="J68" i="3"/>
  <c r="J69" i="3"/>
  <c r="J70" i="3"/>
  <c r="K70" i="3"/>
  <c r="L70" i="3"/>
  <c r="J73" i="3"/>
  <c r="R27" i="3"/>
  <c r="B75" i="3"/>
  <c r="B76" i="3"/>
  <c r="C76" i="3"/>
  <c r="B77" i="3"/>
  <c r="C77" i="3"/>
  <c r="D77" i="3"/>
  <c r="B78" i="3"/>
  <c r="C78" i="3"/>
  <c r="D78" i="3"/>
  <c r="B79" i="3"/>
  <c r="B80" i="3"/>
  <c r="B81" i="3"/>
  <c r="C81" i="3"/>
  <c r="D81" i="3"/>
  <c r="B84" i="3"/>
  <c r="R28" i="3"/>
  <c r="F75" i="3"/>
  <c r="F76" i="3"/>
  <c r="G76" i="3"/>
  <c r="F77" i="3"/>
  <c r="G77" i="3"/>
  <c r="H77" i="3"/>
  <c r="F78" i="3"/>
  <c r="G78" i="3"/>
  <c r="H78" i="3"/>
  <c r="F79" i="3"/>
  <c r="F80" i="3"/>
  <c r="F81" i="3"/>
  <c r="G81" i="3"/>
  <c r="H81" i="3"/>
  <c r="F84" i="3"/>
  <c r="R29" i="3"/>
  <c r="J75" i="3"/>
  <c r="J76" i="3"/>
  <c r="K76" i="3"/>
  <c r="J77" i="3"/>
  <c r="K77" i="3"/>
  <c r="L77" i="3"/>
  <c r="J78" i="3"/>
  <c r="K78" i="3"/>
  <c r="L78" i="3"/>
  <c r="J79" i="3"/>
  <c r="J80" i="3"/>
  <c r="J81" i="3"/>
  <c r="K81" i="3"/>
  <c r="L81" i="3"/>
  <c r="J84" i="3"/>
  <c r="R30" i="3"/>
  <c r="B86" i="3"/>
  <c r="B87" i="3"/>
  <c r="C87" i="3"/>
  <c r="B88" i="3"/>
  <c r="C88" i="3"/>
  <c r="D88" i="3"/>
  <c r="B89" i="3"/>
  <c r="C89" i="3"/>
  <c r="D89" i="3"/>
  <c r="B90" i="3"/>
  <c r="B91" i="3"/>
  <c r="B92" i="3"/>
  <c r="C92" i="3"/>
  <c r="D92" i="3"/>
  <c r="B95" i="3"/>
  <c r="R31" i="3"/>
  <c r="F86" i="3"/>
  <c r="F87" i="3"/>
  <c r="G87" i="3"/>
  <c r="F88" i="3"/>
  <c r="G88" i="3"/>
  <c r="H88" i="3"/>
  <c r="F89" i="3"/>
  <c r="G89" i="3"/>
  <c r="H89" i="3"/>
  <c r="F90" i="3"/>
  <c r="F91" i="3"/>
  <c r="F92" i="3"/>
  <c r="G92" i="3"/>
  <c r="H92" i="3"/>
  <c r="F95" i="3"/>
  <c r="R32" i="3"/>
  <c r="J86" i="3"/>
  <c r="J87" i="3"/>
  <c r="K87" i="3"/>
  <c r="J88" i="3"/>
  <c r="K88" i="3"/>
  <c r="L88" i="3"/>
  <c r="J89" i="3"/>
  <c r="K89" i="3"/>
  <c r="L89" i="3"/>
  <c r="J90" i="3"/>
  <c r="J91" i="3"/>
  <c r="J92" i="3"/>
  <c r="K92" i="3"/>
  <c r="L92" i="3"/>
  <c r="J95" i="3"/>
  <c r="R33" i="3"/>
  <c r="B97" i="3"/>
  <c r="B98" i="3"/>
  <c r="C98" i="3"/>
  <c r="B99" i="3"/>
  <c r="C99" i="3"/>
  <c r="D99" i="3"/>
  <c r="B100" i="3"/>
  <c r="C100" i="3"/>
  <c r="D100" i="3"/>
  <c r="B101" i="3"/>
  <c r="B102" i="3"/>
  <c r="B103" i="3"/>
  <c r="C103" i="3"/>
  <c r="D103" i="3"/>
  <c r="B106" i="3"/>
  <c r="R34" i="3"/>
  <c r="F97" i="3"/>
  <c r="F98" i="3"/>
  <c r="G98" i="3"/>
  <c r="F99" i="3"/>
  <c r="G99" i="3"/>
  <c r="H99" i="3"/>
  <c r="F100" i="3"/>
  <c r="G100" i="3"/>
  <c r="H100" i="3"/>
  <c r="F101" i="3"/>
  <c r="F102" i="3"/>
  <c r="F103" i="3"/>
  <c r="G103" i="3"/>
  <c r="H103" i="3"/>
  <c r="F106" i="3"/>
  <c r="R35" i="3"/>
  <c r="J97" i="3"/>
  <c r="J98" i="3"/>
  <c r="K98" i="3"/>
  <c r="J99" i="3"/>
  <c r="K99" i="3"/>
  <c r="L99" i="3"/>
  <c r="J100" i="3"/>
  <c r="K100" i="3"/>
  <c r="L100" i="3"/>
  <c r="J101" i="3"/>
  <c r="J102" i="3"/>
  <c r="J103" i="3"/>
  <c r="K103" i="3"/>
  <c r="L103" i="3"/>
  <c r="J106" i="3"/>
  <c r="R36" i="3"/>
  <c r="B108" i="3"/>
  <c r="B109" i="3"/>
  <c r="C109" i="3"/>
  <c r="B110" i="3"/>
  <c r="C110" i="3"/>
  <c r="D110" i="3"/>
  <c r="B111" i="3"/>
  <c r="C111" i="3"/>
  <c r="D111" i="3"/>
  <c r="B112" i="3"/>
  <c r="B113" i="3"/>
  <c r="B114" i="3"/>
  <c r="C114" i="3"/>
  <c r="D114" i="3"/>
  <c r="B117" i="3"/>
  <c r="R37" i="3"/>
  <c r="F108" i="3"/>
  <c r="F109" i="3"/>
  <c r="G109" i="3"/>
  <c r="F110" i="3"/>
  <c r="G110" i="3"/>
  <c r="H110" i="3"/>
  <c r="F111" i="3"/>
  <c r="G111" i="3"/>
  <c r="H111" i="3"/>
  <c r="F112" i="3"/>
  <c r="F113" i="3"/>
  <c r="F114" i="3"/>
  <c r="G114" i="3"/>
  <c r="H114" i="3"/>
  <c r="F117" i="3"/>
  <c r="R38" i="3"/>
  <c r="J108" i="3"/>
  <c r="J109" i="3"/>
  <c r="K109" i="3"/>
  <c r="J110" i="3"/>
  <c r="K110" i="3"/>
  <c r="L110" i="3"/>
  <c r="J111" i="3"/>
  <c r="K111" i="3"/>
  <c r="L111" i="3"/>
  <c r="J112" i="3"/>
  <c r="J113" i="3"/>
  <c r="J114" i="3"/>
  <c r="K114" i="3"/>
  <c r="L114" i="3"/>
  <c r="J117" i="3"/>
  <c r="R9" i="4"/>
  <c r="B10" i="4"/>
  <c r="C10" i="4"/>
  <c r="B11" i="4"/>
  <c r="C11" i="4"/>
  <c r="D11" i="4"/>
  <c r="B12" i="4"/>
  <c r="C12" i="4"/>
  <c r="D12" i="4"/>
  <c r="B13" i="4"/>
  <c r="B14" i="4"/>
  <c r="B15" i="4"/>
  <c r="C15" i="4"/>
  <c r="D15" i="4"/>
  <c r="B18" i="4"/>
  <c r="B9" i="4"/>
  <c r="P16" i="2"/>
  <c r="G17" i="1"/>
  <c r="J5" i="4"/>
  <c r="B16" i="4"/>
  <c r="Q16" i="2"/>
  <c r="C16" i="4"/>
  <c r="R10" i="4"/>
  <c r="F11" i="4"/>
  <c r="G11" i="4"/>
  <c r="H11" i="4"/>
  <c r="F12" i="4"/>
  <c r="G12" i="4"/>
  <c r="H12" i="4"/>
  <c r="F13" i="4"/>
  <c r="F14" i="4"/>
  <c r="F15" i="4"/>
  <c r="G15" i="4"/>
  <c r="H15" i="4"/>
  <c r="F18" i="4"/>
  <c r="F9" i="4"/>
  <c r="F10" i="4"/>
  <c r="G10" i="4"/>
  <c r="P17" i="2"/>
  <c r="F16" i="4"/>
  <c r="Q17" i="2"/>
  <c r="G16" i="4"/>
  <c r="R11" i="4"/>
  <c r="J12" i="4"/>
  <c r="K12" i="4"/>
  <c r="L12" i="4"/>
  <c r="J13" i="4"/>
  <c r="J14" i="4"/>
  <c r="J15" i="4"/>
  <c r="K15" i="4"/>
  <c r="L15" i="4"/>
  <c r="J18" i="4"/>
  <c r="J9" i="4"/>
  <c r="J10" i="4"/>
  <c r="K10" i="4"/>
  <c r="J11" i="4"/>
  <c r="K11" i="4"/>
  <c r="L11" i="4"/>
  <c r="P18" i="2"/>
  <c r="J16" i="4"/>
  <c r="Q18" i="2"/>
  <c r="K16" i="4"/>
  <c r="R12" i="4"/>
  <c r="B20" i="4"/>
  <c r="B21" i="4"/>
  <c r="C21" i="4"/>
  <c r="B22" i="4"/>
  <c r="C22" i="4"/>
  <c r="D22" i="4"/>
  <c r="B23" i="4"/>
  <c r="C23" i="4"/>
  <c r="D23" i="4"/>
  <c r="B24" i="4"/>
  <c r="B25" i="4"/>
  <c r="B26" i="4"/>
  <c r="C26" i="4"/>
  <c r="D26" i="4"/>
  <c r="B29" i="4"/>
  <c r="P19" i="2"/>
  <c r="B27" i="4"/>
  <c r="Q19" i="2"/>
  <c r="C27" i="4"/>
  <c r="R13" i="4"/>
  <c r="F20" i="4"/>
  <c r="F21" i="4"/>
  <c r="G21" i="4"/>
  <c r="F22" i="4"/>
  <c r="G22" i="4"/>
  <c r="H22" i="4"/>
  <c r="F23" i="4"/>
  <c r="G23" i="4"/>
  <c r="H23" i="4"/>
  <c r="F24" i="4"/>
  <c r="F25" i="4"/>
  <c r="F26" i="4"/>
  <c r="G26" i="4"/>
  <c r="H26" i="4"/>
  <c r="F29" i="4"/>
  <c r="P20" i="2"/>
  <c r="F27" i="4"/>
  <c r="Q20" i="2"/>
  <c r="G27" i="4"/>
  <c r="R14" i="4"/>
  <c r="J20" i="4"/>
  <c r="J21" i="4"/>
  <c r="K21" i="4"/>
  <c r="J22" i="4"/>
  <c r="K22" i="4"/>
  <c r="L22" i="4"/>
  <c r="J23" i="4"/>
  <c r="K23" i="4"/>
  <c r="L23" i="4"/>
  <c r="J24" i="4"/>
  <c r="J25" i="4"/>
  <c r="J26" i="4"/>
  <c r="K26" i="4"/>
  <c r="L26" i="4"/>
  <c r="J29" i="4"/>
  <c r="P21" i="2"/>
  <c r="J27" i="4"/>
  <c r="Q21" i="2"/>
  <c r="K27" i="4"/>
  <c r="R15" i="4"/>
  <c r="B31" i="4"/>
  <c r="B32" i="4"/>
  <c r="C32" i="4"/>
  <c r="B33" i="4"/>
  <c r="C33" i="4"/>
  <c r="D33" i="4"/>
  <c r="B34" i="4"/>
  <c r="C34" i="4"/>
  <c r="D34" i="4"/>
  <c r="B37" i="4"/>
  <c r="D37" i="4"/>
  <c r="B40" i="4"/>
  <c r="B35" i="4"/>
  <c r="B36" i="4"/>
  <c r="C37" i="4"/>
  <c r="P22" i="2"/>
  <c r="B38" i="4"/>
  <c r="Q22" i="2"/>
  <c r="C38" i="4"/>
  <c r="R22" i="4"/>
  <c r="F54" i="4"/>
  <c r="G55" i="4"/>
  <c r="G56" i="4"/>
  <c r="F57" i="4"/>
  <c r="F59" i="4"/>
  <c r="H59" i="4"/>
  <c r="F53" i="4"/>
  <c r="G54" i="4"/>
  <c r="F55" i="4"/>
  <c r="H55" i="4"/>
  <c r="F56" i="4"/>
  <c r="H56" i="4"/>
  <c r="F58" i="4"/>
  <c r="G59" i="4"/>
  <c r="F62" i="4"/>
  <c r="R23" i="4"/>
  <c r="J53" i="4"/>
  <c r="J54" i="4"/>
  <c r="K55" i="4"/>
  <c r="K56" i="4"/>
  <c r="L56" i="4"/>
  <c r="J58" i="4"/>
  <c r="K59" i="4"/>
  <c r="J62" i="4"/>
  <c r="K54" i="4"/>
  <c r="J55" i="4"/>
  <c r="L55" i="4"/>
  <c r="J56" i="4"/>
  <c r="J57" i="4"/>
  <c r="J59" i="4"/>
  <c r="L59" i="4"/>
  <c r="R24" i="4"/>
  <c r="B65" i="4"/>
  <c r="B66" i="4"/>
  <c r="D66" i="4"/>
  <c r="C67" i="4"/>
  <c r="B69" i="4"/>
  <c r="B70" i="4"/>
  <c r="D70" i="4"/>
  <c r="B73" i="4"/>
  <c r="B64" i="4"/>
  <c r="C65" i="4"/>
  <c r="C66" i="4"/>
  <c r="B67" i="4"/>
  <c r="D67" i="4"/>
  <c r="B68" i="4"/>
  <c r="C70" i="4"/>
  <c r="R25" i="4"/>
  <c r="F64" i="4"/>
  <c r="F65" i="4"/>
  <c r="G66" i="4"/>
  <c r="F67" i="4"/>
  <c r="H67" i="4"/>
  <c r="F68" i="4"/>
  <c r="F69" i="4"/>
  <c r="G70" i="4"/>
  <c r="G65" i="4"/>
  <c r="F66" i="4"/>
  <c r="H66" i="4"/>
  <c r="G67" i="4"/>
  <c r="F70" i="4"/>
  <c r="H70" i="4"/>
  <c r="F73" i="4"/>
  <c r="R28" i="4"/>
  <c r="G76" i="4"/>
  <c r="F77" i="4"/>
  <c r="H78" i="4"/>
  <c r="F80" i="4"/>
  <c r="F81" i="4"/>
  <c r="H81" i="4"/>
  <c r="F75" i="4"/>
  <c r="F76" i="4"/>
  <c r="G77" i="4"/>
  <c r="H77" i="4"/>
  <c r="F78" i="4"/>
  <c r="G78" i="4"/>
  <c r="F79" i="4"/>
  <c r="G81" i="4"/>
  <c r="F84" i="4"/>
  <c r="R29" i="4"/>
  <c r="J75" i="4"/>
  <c r="K76" i="4"/>
  <c r="J77" i="4"/>
  <c r="L77" i="4"/>
  <c r="K78" i="4"/>
  <c r="J79" i="4"/>
  <c r="K81" i="4"/>
  <c r="J84" i="4"/>
  <c r="J76" i="4"/>
  <c r="K77" i="4"/>
  <c r="J78" i="4"/>
  <c r="L78" i="4"/>
  <c r="J80" i="4"/>
  <c r="J81" i="4"/>
  <c r="L81" i="4"/>
  <c r="R32" i="4"/>
  <c r="J86" i="4"/>
  <c r="K87" i="4"/>
  <c r="K88" i="4"/>
  <c r="J89" i="4"/>
  <c r="L89" i="4"/>
  <c r="J91" i="4"/>
  <c r="K92" i="4"/>
  <c r="J95" i="4"/>
  <c r="J87" i="4"/>
  <c r="J88" i="4"/>
  <c r="L88" i="4"/>
  <c r="K89" i="4"/>
  <c r="J90" i="4"/>
  <c r="J92" i="4"/>
  <c r="L92" i="4"/>
  <c r="R34" i="4"/>
  <c r="F97" i="4"/>
  <c r="F98" i="4"/>
  <c r="G98" i="4"/>
  <c r="F99" i="4"/>
  <c r="G99" i="4"/>
  <c r="H99" i="4"/>
  <c r="F100" i="4"/>
  <c r="G100" i="4"/>
  <c r="H100" i="4"/>
  <c r="F101" i="4"/>
  <c r="F102" i="4"/>
  <c r="F103" i="4"/>
  <c r="G103" i="4"/>
  <c r="H103" i="4"/>
  <c r="F106" i="4"/>
  <c r="R35" i="4"/>
  <c r="J97" i="4"/>
  <c r="J98" i="4"/>
  <c r="K98" i="4"/>
  <c r="J99" i="4"/>
  <c r="K99" i="4"/>
  <c r="L99" i="4"/>
  <c r="J100" i="4"/>
  <c r="K100" i="4"/>
  <c r="L100" i="4"/>
  <c r="J101" i="4"/>
  <c r="J102" i="4"/>
  <c r="J103" i="4"/>
  <c r="K103" i="4"/>
  <c r="L103" i="4"/>
  <c r="J106" i="4"/>
  <c r="S11" i="5"/>
  <c r="P28" i="2"/>
  <c r="J16" i="5"/>
  <c r="J17" i="5"/>
  <c r="R11" i="5"/>
  <c r="J12" i="5"/>
  <c r="K12" i="5"/>
  <c r="L12" i="5"/>
  <c r="J13" i="5"/>
  <c r="J14" i="5"/>
  <c r="J15" i="5"/>
  <c r="K15" i="5"/>
  <c r="L15" i="5"/>
  <c r="J18" i="5"/>
  <c r="J9" i="5"/>
  <c r="J10" i="5"/>
  <c r="K10" i="5"/>
  <c r="J11" i="5"/>
  <c r="K11" i="5"/>
  <c r="L11" i="5"/>
  <c r="Q28" i="2"/>
  <c r="K16" i="5"/>
  <c r="L16" i="5"/>
  <c r="S12" i="5"/>
  <c r="R12" i="5"/>
  <c r="B20" i="5"/>
  <c r="B21" i="5"/>
  <c r="C21" i="5"/>
  <c r="B22" i="5"/>
  <c r="C22" i="5"/>
  <c r="D22" i="5"/>
  <c r="B23" i="5"/>
  <c r="C23" i="5"/>
  <c r="D23" i="5"/>
  <c r="B24" i="5"/>
  <c r="B25" i="5"/>
  <c r="B26" i="5"/>
  <c r="C26" i="5"/>
  <c r="D26" i="5"/>
  <c r="B29" i="5"/>
  <c r="P29" i="2"/>
  <c r="B27" i="5"/>
  <c r="Q29" i="2"/>
  <c r="C27" i="5"/>
  <c r="D27" i="5"/>
  <c r="B28" i="5"/>
  <c r="V30" i="2"/>
  <c r="W30" i="2" s="1"/>
  <c r="S13" i="5"/>
  <c r="R13" i="5"/>
  <c r="F20" i="5"/>
  <c r="F21" i="5"/>
  <c r="G21" i="5"/>
  <c r="F22" i="5"/>
  <c r="G22" i="5"/>
  <c r="H22" i="5"/>
  <c r="F23" i="5"/>
  <c r="G23" i="5"/>
  <c r="H23" i="5"/>
  <c r="F24" i="5"/>
  <c r="F25" i="5"/>
  <c r="F26" i="5"/>
  <c r="G26" i="5"/>
  <c r="H26" i="5"/>
  <c r="F29" i="5"/>
  <c r="P30" i="2"/>
  <c r="F27" i="5"/>
  <c r="Q30" i="2"/>
  <c r="G27" i="5"/>
  <c r="R30" i="2"/>
  <c r="H27" i="5"/>
  <c r="U30" i="2"/>
  <c r="F28" i="5"/>
  <c r="P31" i="2"/>
  <c r="J27" i="5"/>
  <c r="Q31" i="2"/>
  <c r="K27" i="5"/>
  <c r="R31" i="2"/>
  <c r="L27" i="5"/>
  <c r="J28" i="5"/>
  <c r="V31" i="2"/>
  <c r="W31" i="2" s="1"/>
  <c r="S14" i="5"/>
  <c r="R14" i="5"/>
  <c r="J20" i="5"/>
  <c r="J21" i="5"/>
  <c r="K21" i="5"/>
  <c r="J22" i="5"/>
  <c r="K22" i="5"/>
  <c r="L22" i="5"/>
  <c r="J23" i="5"/>
  <c r="K23" i="5"/>
  <c r="L23" i="5"/>
  <c r="J24" i="5"/>
  <c r="J25" i="5"/>
  <c r="J26" i="5"/>
  <c r="K26" i="5"/>
  <c r="L26" i="5"/>
  <c r="J29" i="5"/>
  <c r="V33" i="2"/>
  <c r="W33" i="2" s="1"/>
  <c r="S16" i="5"/>
  <c r="P33" i="2"/>
  <c r="F38" i="5"/>
  <c r="Q33" i="2"/>
  <c r="G38" i="5"/>
  <c r="R33" i="2"/>
  <c r="H38" i="5"/>
  <c r="U33" i="2"/>
  <c r="F39" i="5"/>
  <c r="R16" i="5"/>
  <c r="F31" i="5"/>
  <c r="F32" i="5"/>
  <c r="G32" i="5"/>
  <c r="F33" i="5"/>
  <c r="G33" i="5"/>
  <c r="H33" i="5"/>
  <c r="F34" i="5"/>
  <c r="G34" i="5"/>
  <c r="H34" i="5"/>
  <c r="F35" i="5"/>
  <c r="F36" i="5"/>
  <c r="F37" i="5"/>
  <c r="G37" i="5"/>
  <c r="H37" i="5"/>
  <c r="F40" i="5"/>
  <c r="R21" i="5"/>
  <c r="B53" i="5"/>
  <c r="B54" i="5"/>
  <c r="C54" i="5"/>
  <c r="B55" i="5"/>
  <c r="C55" i="5"/>
  <c r="D55" i="5"/>
  <c r="B56" i="5"/>
  <c r="C56" i="5"/>
  <c r="D56" i="5"/>
  <c r="B57" i="5"/>
  <c r="B58" i="5"/>
  <c r="B59" i="5"/>
  <c r="C59" i="5"/>
  <c r="D59" i="5"/>
  <c r="B62" i="5"/>
  <c r="R22" i="5"/>
  <c r="F53" i="5"/>
  <c r="F54" i="5"/>
  <c r="G54" i="5"/>
  <c r="F55" i="5"/>
  <c r="G55" i="5"/>
  <c r="H55" i="5"/>
  <c r="F56" i="5"/>
  <c r="G56" i="5"/>
  <c r="H56" i="5"/>
  <c r="F57" i="5"/>
  <c r="F58" i="5"/>
  <c r="F59" i="5"/>
  <c r="G59" i="5"/>
  <c r="H59" i="5"/>
  <c r="F62" i="5"/>
  <c r="R25" i="5"/>
  <c r="F64" i="5"/>
  <c r="F65" i="5"/>
  <c r="G65" i="5"/>
  <c r="F66" i="5"/>
  <c r="G66" i="5"/>
  <c r="H66" i="5"/>
  <c r="F67" i="5"/>
  <c r="G67" i="5"/>
  <c r="H67" i="5"/>
  <c r="F68" i="5"/>
  <c r="F69" i="5"/>
  <c r="F70" i="5"/>
  <c r="G70" i="5"/>
  <c r="H70" i="5"/>
  <c r="F73" i="5"/>
  <c r="R26" i="5"/>
  <c r="J64" i="5"/>
  <c r="J65" i="5"/>
  <c r="K65" i="5"/>
  <c r="J66" i="5"/>
  <c r="K66" i="5"/>
  <c r="L66" i="5"/>
  <c r="J67" i="5"/>
  <c r="K67" i="5"/>
  <c r="L67" i="5"/>
  <c r="J68" i="5"/>
  <c r="J69" i="5"/>
  <c r="J70" i="5"/>
  <c r="K70" i="5"/>
  <c r="L70" i="5"/>
  <c r="J73" i="5"/>
  <c r="R27" i="5"/>
  <c r="B75" i="5"/>
  <c r="B76" i="5"/>
  <c r="C76" i="5"/>
  <c r="B77" i="5"/>
  <c r="C77" i="5"/>
  <c r="D77" i="5"/>
  <c r="B78" i="5"/>
  <c r="C78" i="5"/>
  <c r="D78" i="5"/>
  <c r="B79" i="5"/>
  <c r="B80" i="5"/>
  <c r="B81" i="5"/>
  <c r="C81" i="5"/>
  <c r="D81" i="5"/>
  <c r="B84" i="5"/>
  <c r="R34" i="5"/>
  <c r="F97" i="5"/>
  <c r="F98" i="5"/>
  <c r="G98" i="5"/>
  <c r="F99" i="5"/>
  <c r="G99" i="5"/>
  <c r="H99" i="5"/>
  <c r="F100" i="5"/>
  <c r="G100" i="5"/>
  <c r="H100" i="5"/>
  <c r="F101" i="5"/>
  <c r="F102" i="5"/>
  <c r="F103" i="5"/>
  <c r="G103" i="5"/>
  <c r="H103" i="5"/>
  <c r="F106" i="5"/>
  <c r="R35" i="5"/>
  <c r="J97" i="5"/>
  <c r="J98" i="5"/>
  <c r="K98" i="5"/>
  <c r="J99" i="5"/>
  <c r="K99" i="5"/>
  <c r="L99" i="5"/>
  <c r="J100" i="5"/>
  <c r="K100" i="5"/>
  <c r="L100" i="5"/>
  <c r="J101" i="5"/>
  <c r="J102" i="5"/>
  <c r="J103" i="5"/>
  <c r="K103" i="5"/>
  <c r="L103" i="5"/>
  <c r="J106" i="5"/>
  <c r="R36" i="5"/>
  <c r="B108" i="5"/>
  <c r="B109" i="5"/>
  <c r="C109" i="5"/>
  <c r="B110" i="5"/>
  <c r="C110" i="5"/>
  <c r="D110" i="5"/>
  <c r="B111" i="5"/>
  <c r="C111" i="5"/>
  <c r="D111" i="5"/>
  <c r="B112" i="5"/>
  <c r="B113" i="5"/>
  <c r="B114" i="5"/>
  <c r="C114" i="5"/>
  <c r="D114" i="5"/>
  <c r="B117" i="5"/>
  <c r="R37" i="5"/>
  <c r="F108" i="5"/>
  <c r="F109" i="5"/>
  <c r="G109" i="5"/>
  <c r="F110" i="5"/>
  <c r="G110" i="5"/>
  <c r="H110" i="5"/>
  <c r="F111" i="5"/>
  <c r="G111" i="5"/>
  <c r="H111" i="5"/>
  <c r="F112" i="5"/>
  <c r="F113" i="5"/>
  <c r="F114" i="5"/>
  <c r="G114" i="5"/>
  <c r="H114" i="5"/>
  <c r="F117" i="5"/>
  <c r="P36" i="2"/>
  <c r="G19" i="1"/>
  <c r="J5" i="6"/>
  <c r="B16" i="6"/>
  <c r="Q36" i="2"/>
  <c r="C16" i="6"/>
  <c r="R9" i="6"/>
  <c r="B10" i="6"/>
  <c r="C10" i="6"/>
  <c r="B11" i="6"/>
  <c r="C11" i="6"/>
  <c r="D11" i="6"/>
  <c r="B12" i="6"/>
  <c r="C12" i="6"/>
  <c r="D12" i="6"/>
  <c r="B13" i="6"/>
  <c r="B14" i="6"/>
  <c r="B15" i="6"/>
  <c r="C15" i="6"/>
  <c r="D15" i="6"/>
  <c r="B18" i="6"/>
  <c r="B9" i="6"/>
  <c r="P38" i="2"/>
  <c r="J16" i="6"/>
  <c r="Q38" i="2"/>
  <c r="K16" i="6"/>
  <c r="R38" i="2"/>
  <c r="L16" i="6"/>
  <c r="U38" i="2"/>
  <c r="J17" i="6"/>
  <c r="V38" i="2"/>
  <c r="W38" i="2" s="1"/>
  <c r="S11" i="6"/>
  <c r="R11" i="6"/>
  <c r="J12" i="6"/>
  <c r="K12" i="6"/>
  <c r="L12" i="6"/>
  <c r="J13" i="6"/>
  <c r="J14" i="6"/>
  <c r="J15" i="6"/>
  <c r="K15" i="6"/>
  <c r="L15" i="6"/>
  <c r="J18" i="6"/>
  <c r="J9" i="6"/>
  <c r="J10" i="6"/>
  <c r="K10" i="6"/>
  <c r="J11" i="6"/>
  <c r="K11" i="6"/>
  <c r="L11" i="6"/>
  <c r="P39" i="2"/>
  <c r="B27" i="6"/>
  <c r="Q39" i="2"/>
  <c r="C27" i="6"/>
  <c r="R39" i="2"/>
  <c r="D27" i="6"/>
  <c r="U39" i="2"/>
  <c r="B28" i="6"/>
  <c r="V39" i="2"/>
  <c r="W39" i="2" s="1"/>
  <c r="S12" i="6"/>
  <c r="R12" i="6"/>
  <c r="B20" i="6"/>
  <c r="B21" i="6"/>
  <c r="C21" i="6"/>
  <c r="B22" i="6"/>
  <c r="C22" i="6"/>
  <c r="D22" i="6"/>
  <c r="B23" i="6"/>
  <c r="C23" i="6"/>
  <c r="D23" i="6"/>
  <c r="B24" i="6"/>
  <c r="B25" i="6"/>
  <c r="B26" i="6"/>
  <c r="C26" i="6"/>
  <c r="D26" i="6"/>
  <c r="B29" i="6"/>
  <c r="P40" i="2"/>
  <c r="F27" i="6"/>
  <c r="Q40" i="2"/>
  <c r="G27" i="6"/>
  <c r="H27" i="6"/>
  <c r="F28" i="6"/>
  <c r="S13" i="6"/>
  <c r="R13" i="6"/>
  <c r="F20" i="6"/>
  <c r="F21" i="6"/>
  <c r="G21" i="6"/>
  <c r="F22" i="6"/>
  <c r="G22" i="6"/>
  <c r="H22" i="6"/>
  <c r="F23" i="6"/>
  <c r="G23" i="6"/>
  <c r="H23" i="6"/>
  <c r="F24" i="6"/>
  <c r="F25" i="6"/>
  <c r="F26" i="6"/>
  <c r="G26" i="6"/>
  <c r="H26" i="6"/>
  <c r="F29" i="6"/>
  <c r="P42" i="2"/>
  <c r="B38" i="6"/>
  <c r="Q42" i="2"/>
  <c r="C38" i="6"/>
  <c r="R42" i="2"/>
  <c r="D38" i="6"/>
  <c r="B39" i="6"/>
  <c r="S15" i="6"/>
  <c r="R15" i="6"/>
  <c r="B31" i="6"/>
  <c r="B32" i="6"/>
  <c r="C32" i="6"/>
  <c r="B33" i="6"/>
  <c r="C33" i="6"/>
  <c r="D33" i="6"/>
  <c r="B34" i="6"/>
  <c r="C34" i="6"/>
  <c r="D34" i="6"/>
  <c r="B35" i="6"/>
  <c r="B36" i="6"/>
  <c r="B37" i="6"/>
  <c r="C37" i="6"/>
  <c r="D37" i="6"/>
  <c r="B40" i="6"/>
  <c r="S17" i="6"/>
  <c r="R17" i="6"/>
  <c r="J31" i="6"/>
  <c r="J32" i="6"/>
  <c r="K32" i="6"/>
  <c r="J33" i="6"/>
  <c r="K33" i="6"/>
  <c r="L33" i="6"/>
  <c r="J34" i="6"/>
  <c r="K34" i="6"/>
  <c r="L34" i="6"/>
  <c r="J35" i="6"/>
  <c r="J36" i="6"/>
  <c r="J37" i="6"/>
  <c r="K37" i="6"/>
  <c r="L37" i="6"/>
  <c r="J40" i="6"/>
  <c r="P44" i="2"/>
  <c r="J38" i="6"/>
  <c r="Q44" i="2"/>
  <c r="K38" i="6"/>
  <c r="R44" i="2"/>
  <c r="L38" i="6"/>
  <c r="J39" i="6"/>
  <c r="V45" i="2"/>
  <c r="W45" i="2" s="1"/>
  <c r="S18" i="6"/>
  <c r="R18" i="6"/>
  <c r="B42" i="6"/>
  <c r="B43" i="6"/>
  <c r="C43" i="6"/>
  <c r="B44" i="6"/>
  <c r="C44" i="6"/>
  <c r="D44" i="6"/>
  <c r="B45" i="6"/>
  <c r="C45" i="6"/>
  <c r="D45" i="6"/>
  <c r="B46" i="6"/>
  <c r="B47" i="6"/>
  <c r="B48" i="6"/>
  <c r="C48" i="6"/>
  <c r="D48" i="6"/>
  <c r="B51" i="6"/>
  <c r="P45" i="2"/>
  <c r="B49" i="6"/>
  <c r="Q45" i="2"/>
  <c r="C49" i="6"/>
  <c r="R45" i="2"/>
  <c r="D49" i="6"/>
  <c r="B50" i="6"/>
  <c r="R19" i="6"/>
  <c r="F42" i="6"/>
  <c r="F43" i="6"/>
  <c r="G43" i="6"/>
  <c r="F44" i="6"/>
  <c r="G44" i="6"/>
  <c r="H44" i="6"/>
  <c r="F45" i="6"/>
  <c r="G45" i="6"/>
  <c r="H45" i="6"/>
  <c r="F46" i="6"/>
  <c r="F47" i="6"/>
  <c r="F48" i="6"/>
  <c r="G48" i="6"/>
  <c r="H48" i="6"/>
  <c r="F51" i="6"/>
  <c r="R20" i="6"/>
  <c r="J42" i="6"/>
  <c r="J43" i="6"/>
  <c r="K43" i="6"/>
  <c r="J44" i="6"/>
  <c r="K44" i="6"/>
  <c r="L44" i="6"/>
  <c r="J45" i="6"/>
  <c r="K45" i="6"/>
  <c r="L45" i="6"/>
  <c r="J46" i="6"/>
  <c r="J47" i="6"/>
  <c r="J48" i="6"/>
  <c r="K48" i="6"/>
  <c r="L48" i="6"/>
  <c r="J51" i="6"/>
  <c r="R21" i="6"/>
  <c r="B53" i="6"/>
  <c r="B54" i="6"/>
  <c r="C54" i="6"/>
  <c r="B55" i="6"/>
  <c r="C55" i="6"/>
  <c r="D55" i="6"/>
  <c r="B56" i="6"/>
  <c r="C56" i="6"/>
  <c r="D56" i="6"/>
  <c r="B57" i="6"/>
  <c r="B58" i="6"/>
  <c r="B59" i="6"/>
  <c r="C59" i="6"/>
  <c r="D59" i="6"/>
  <c r="B62" i="6"/>
  <c r="R22" i="6"/>
  <c r="F53" i="6"/>
  <c r="F54" i="6"/>
  <c r="G54" i="6"/>
  <c r="F55" i="6"/>
  <c r="G55" i="6"/>
  <c r="H55" i="6"/>
  <c r="F56" i="6"/>
  <c r="G56" i="6"/>
  <c r="H56" i="6"/>
  <c r="F57" i="6"/>
  <c r="F58" i="6"/>
  <c r="F59" i="6"/>
  <c r="G59" i="6"/>
  <c r="H59" i="6"/>
  <c r="F62" i="6"/>
  <c r="R24" i="6"/>
  <c r="B64" i="6"/>
  <c r="B65" i="6"/>
  <c r="C65" i="6"/>
  <c r="B66" i="6"/>
  <c r="C66" i="6"/>
  <c r="D66" i="6"/>
  <c r="B67" i="6"/>
  <c r="C67" i="6"/>
  <c r="D67" i="6"/>
  <c r="B68" i="6"/>
  <c r="B69" i="6"/>
  <c r="B70" i="6"/>
  <c r="C70" i="6"/>
  <c r="D70" i="6"/>
  <c r="B73" i="6"/>
  <c r="R28" i="6"/>
  <c r="F75" i="6"/>
  <c r="F76" i="6"/>
  <c r="G76" i="6"/>
  <c r="F77" i="6"/>
  <c r="G77" i="6"/>
  <c r="H77" i="6"/>
  <c r="F78" i="6"/>
  <c r="G78" i="6"/>
  <c r="H78" i="6"/>
  <c r="F79" i="6"/>
  <c r="F80" i="6"/>
  <c r="F81" i="6"/>
  <c r="G81" i="6"/>
  <c r="H81" i="6"/>
  <c r="F84" i="6"/>
  <c r="R31" i="6"/>
  <c r="F86" i="6"/>
  <c r="F87" i="6"/>
  <c r="G87" i="6"/>
  <c r="F88" i="6"/>
  <c r="G88" i="6"/>
  <c r="H88" i="6"/>
  <c r="F89" i="6"/>
  <c r="G89" i="6"/>
  <c r="H89" i="6"/>
  <c r="F90" i="6"/>
  <c r="F91" i="6"/>
  <c r="F92" i="6"/>
  <c r="G92" i="6"/>
  <c r="H92" i="6"/>
  <c r="F95" i="6"/>
  <c r="R16" i="4"/>
  <c r="F31" i="4"/>
  <c r="F32" i="4"/>
  <c r="G32" i="4"/>
  <c r="F33" i="4"/>
  <c r="G33" i="4"/>
  <c r="H33" i="4"/>
  <c r="F34" i="4"/>
  <c r="G34" i="4"/>
  <c r="H34" i="4"/>
  <c r="G37" i="4"/>
  <c r="F35" i="4"/>
  <c r="F36" i="4"/>
  <c r="F37" i="4"/>
  <c r="H37" i="4"/>
  <c r="F40" i="4"/>
  <c r="P23" i="2"/>
  <c r="F38" i="4"/>
  <c r="Q23" i="2"/>
  <c r="G38" i="4"/>
  <c r="R17" i="4"/>
  <c r="J31" i="4"/>
  <c r="J32" i="4"/>
  <c r="K32" i="4"/>
  <c r="J33" i="4"/>
  <c r="K33" i="4"/>
  <c r="L33" i="4"/>
  <c r="J34" i="4"/>
  <c r="K34" i="4"/>
  <c r="L34" i="4"/>
  <c r="J37" i="4"/>
  <c r="L37" i="4"/>
  <c r="J40" i="4"/>
  <c r="J35" i="4"/>
  <c r="J36" i="4"/>
  <c r="K37" i="4"/>
  <c r="P24" i="2"/>
  <c r="J38" i="4"/>
  <c r="Q24" i="2"/>
  <c r="K38" i="4"/>
  <c r="R18" i="4"/>
  <c r="C43" i="4"/>
  <c r="B44" i="4"/>
  <c r="D44" i="4"/>
  <c r="C45" i="4"/>
  <c r="B48" i="4"/>
  <c r="D48" i="4"/>
  <c r="B42" i="4"/>
  <c r="B43" i="4"/>
  <c r="C44" i="4"/>
  <c r="B45" i="4"/>
  <c r="D45" i="4"/>
  <c r="B46" i="4"/>
  <c r="B47" i="4"/>
  <c r="C48" i="4"/>
  <c r="B51" i="4"/>
  <c r="P25" i="2"/>
  <c r="B49" i="4"/>
  <c r="Q25" i="2"/>
  <c r="C49" i="4"/>
  <c r="R19" i="4"/>
  <c r="F42" i="4"/>
  <c r="G43" i="4"/>
  <c r="G44" i="4"/>
  <c r="G45" i="4"/>
  <c r="F46" i="4"/>
  <c r="F47" i="4"/>
  <c r="G48" i="4"/>
  <c r="F51" i="4"/>
  <c r="F43" i="4"/>
  <c r="F44" i="4"/>
  <c r="H44" i="4"/>
  <c r="F45" i="4"/>
  <c r="H45" i="4"/>
  <c r="F48" i="4"/>
  <c r="H48" i="4"/>
  <c r="R20" i="4"/>
  <c r="J42" i="4"/>
  <c r="J43" i="4"/>
  <c r="K43" i="4"/>
  <c r="K44" i="4"/>
  <c r="J45" i="4"/>
  <c r="L45" i="4"/>
  <c r="J48" i="4"/>
  <c r="L48" i="4"/>
  <c r="J44" i="4"/>
  <c r="L44" i="4"/>
  <c r="K45" i="4"/>
  <c r="J46" i="4"/>
  <c r="J47" i="4"/>
  <c r="K48" i="4"/>
  <c r="J51" i="4"/>
  <c r="R21" i="4"/>
  <c r="B53" i="4"/>
  <c r="B55" i="4"/>
  <c r="D55" i="4"/>
  <c r="C56" i="4"/>
  <c r="B58" i="4"/>
  <c r="C59" i="4"/>
  <c r="B62" i="4"/>
  <c r="B54" i="4"/>
  <c r="C54" i="4"/>
  <c r="C55" i="4"/>
  <c r="B56" i="4"/>
  <c r="D56" i="4"/>
  <c r="B57" i="4"/>
  <c r="B59" i="4"/>
  <c r="D59" i="4"/>
  <c r="R26" i="4"/>
  <c r="J65" i="4"/>
  <c r="K66" i="4"/>
  <c r="L67" i="4"/>
  <c r="J70" i="4"/>
  <c r="K70" i="4"/>
  <c r="J64" i="4"/>
  <c r="K65" i="4"/>
  <c r="J66" i="4"/>
  <c r="L66" i="4"/>
  <c r="J67" i="4"/>
  <c r="K67" i="4"/>
  <c r="J68" i="4"/>
  <c r="J69" i="4"/>
  <c r="L70" i="4"/>
  <c r="J73" i="4"/>
  <c r="R27" i="4"/>
  <c r="B75" i="4"/>
  <c r="C76" i="4"/>
  <c r="C77" i="4"/>
  <c r="D78" i="4"/>
  <c r="B79" i="4"/>
  <c r="B81" i="4"/>
  <c r="C81" i="4"/>
  <c r="B84" i="4"/>
  <c r="B76" i="4"/>
  <c r="B77" i="4"/>
  <c r="D77" i="4"/>
  <c r="B78" i="4"/>
  <c r="C78" i="4"/>
  <c r="B80" i="4"/>
  <c r="D81" i="4"/>
  <c r="R30" i="4"/>
  <c r="C87" i="4"/>
  <c r="C88" i="4"/>
  <c r="C89" i="4"/>
  <c r="D89" i="4"/>
  <c r="B91" i="4"/>
  <c r="C92" i="4"/>
  <c r="B95" i="4"/>
  <c r="B86" i="4"/>
  <c r="B87" i="4"/>
  <c r="B88" i="4"/>
  <c r="D88" i="4"/>
  <c r="B89" i="4"/>
  <c r="B90" i="4"/>
  <c r="B92" i="4"/>
  <c r="D92" i="4"/>
  <c r="R31" i="4"/>
  <c r="G87" i="4"/>
  <c r="F88" i="4"/>
  <c r="G88" i="4"/>
  <c r="H89" i="4"/>
  <c r="F90" i="4"/>
  <c r="F92" i="4"/>
  <c r="H92" i="4"/>
  <c r="F86" i="4"/>
  <c r="F87" i="4"/>
  <c r="H88" i="4"/>
  <c r="F89" i="4"/>
  <c r="G89" i="4"/>
  <c r="F91" i="4"/>
  <c r="G92" i="4"/>
  <c r="F95" i="4"/>
  <c r="R33" i="4"/>
  <c r="B97" i="4"/>
  <c r="B98" i="4"/>
  <c r="B99" i="4"/>
  <c r="C99" i="4"/>
  <c r="D99" i="4"/>
  <c r="B100" i="4"/>
  <c r="C100" i="4"/>
  <c r="D100" i="4"/>
  <c r="B101" i="4"/>
  <c r="B102" i="4"/>
  <c r="B103" i="4"/>
  <c r="C103" i="4"/>
  <c r="D103" i="4"/>
  <c r="B106" i="4"/>
  <c r="C98" i="4"/>
  <c r="R36" i="4"/>
  <c r="B108" i="4"/>
  <c r="B109" i="4"/>
  <c r="C109" i="4"/>
  <c r="B110" i="4"/>
  <c r="C110" i="4"/>
  <c r="D110" i="4"/>
  <c r="B111" i="4"/>
  <c r="C111" i="4"/>
  <c r="D111" i="4"/>
  <c r="B112" i="4"/>
  <c r="B113" i="4"/>
  <c r="B114" i="4"/>
  <c r="C114" i="4"/>
  <c r="D114" i="4"/>
  <c r="B117" i="4"/>
  <c r="R37" i="4"/>
  <c r="F108" i="4"/>
  <c r="F109" i="4"/>
  <c r="G109" i="4"/>
  <c r="F110" i="4"/>
  <c r="G110" i="4"/>
  <c r="H110" i="4"/>
  <c r="F111" i="4"/>
  <c r="G111" i="4"/>
  <c r="H111" i="4"/>
  <c r="F112" i="4"/>
  <c r="F113" i="4"/>
  <c r="F114" i="4"/>
  <c r="G114" i="4"/>
  <c r="H114" i="4"/>
  <c r="F117" i="4"/>
  <c r="R38" i="4"/>
  <c r="J108" i="4"/>
  <c r="J109" i="4"/>
  <c r="K109" i="4"/>
  <c r="J110" i="4"/>
  <c r="K110" i="4"/>
  <c r="L110" i="4"/>
  <c r="J111" i="4"/>
  <c r="K111" i="4"/>
  <c r="L111" i="4"/>
  <c r="J112" i="4"/>
  <c r="J113" i="4"/>
  <c r="J114" i="4"/>
  <c r="K114" i="4"/>
  <c r="L114" i="4"/>
  <c r="J117" i="4"/>
  <c r="R9" i="5"/>
  <c r="B10" i="5"/>
  <c r="C10" i="5"/>
  <c r="B11" i="5"/>
  <c r="C11" i="5"/>
  <c r="D11" i="5"/>
  <c r="B12" i="5"/>
  <c r="C12" i="5"/>
  <c r="D12" i="5"/>
  <c r="B13" i="5"/>
  <c r="B14" i="5"/>
  <c r="B15" i="5"/>
  <c r="C15" i="5"/>
  <c r="D15" i="5"/>
  <c r="B18" i="5"/>
  <c r="B9" i="5"/>
  <c r="P26" i="2"/>
  <c r="G18" i="1"/>
  <c r="J5" i="5"/>
  <c r="B16" i="5"/>
  <c r="Q26" i="2"/>
  <c r="C16" i="5"/>
  <c r="D16" i="5"/>
  <c r="B17" i="5"/>
  <c r="S9" i="5"/>
  <c r="R10" i="5"/>
  <c r="F11" i="5"/>
  <c r="G11" i="5"/>
  <c r="H11" i="5"/>
  <c r="F12" i="5"/>
  <c r="G12" i="5"/>
  <c r="H12" i="5"/>
  <c r="F13" i="5"/>
  <c r="F14" i="5"/>
  <c r="F15" i="5"/>
  <c r="G15" i="5"/>
  <c r="H15" i="5"/>
  <c r="F18" i="5"/>
  <c r="F9" i="5"/>
  <c r="F10" i="5"/>
  <c r="G10" i="5"/>
  <c r="P27" i="2"/>
  <c r="F16" i="5"/>
  <c r="Q27" i="2"/>
  <c r="G16" i="5"/>
  <c r="H16" i="5"/>
  <c r="F17" i="5"/>
  <c r="S10" i="5"/>
  <c r="R15" i="5"/>
  <c r="B31" i="5"/>
  <c r="B32" i="5"/>
  <c r="C32" i="5"/>
  <c r="B33" i="5"/>
  <c r="C33" i="5"/>
  <c r="D33" i="5"/>
  <c r="B34" i="5"/>
  <c r="C34" i="5"/>
  <c r="D34" i="5"/>
  <c r="B35" i="5"/>
  <c r="B36" i="5"/>
  <c r="B37" i="5"/>
  <c r="C37" i="5"/>
  <c r="D37" i="5"/>
  <c r="B40" i="5"/>
  <c r="P32" i="2"/>
  <c r="B38" i="5"/>
  <c r="Q32" i="2"/>
  <c r="C38" i="5"/>
  <c r="R17" i="5"/>
  <c r="J31" i="5"/>
  <c r="J32" i="5"/>
  <c r="K32" i="5"/>
  <c r="J33" i="5"/>
  <c r="K33" i="5"/>
  <c r="L33" i="5"/>
  <c r="J34" i="5"/>
  <c r="K34" i="5"/>
  <c r="L34" i="5"/>
  <c r="J35" i="5"/>
  <c r="J36" i="5"/>
  <c r="J37" i="5"/>
  <c r="K37" i="5"/>
  <c r="L37" i="5"/>
  <c r="J40" i="5"/>
  <c r="P34" i="2"/>
  <c r="J38" i="5"/>
  <c r="Q34" i="2"/>
  <c r="K38" i="5"/>
  <c r="R34" i="2"/>
  <c r="L38" i="5"/>
  <c r="U34" i="2"/>
  <c r="J39" i="5"/>
  <c r="V34" i="2"/>
  <c r="W34" i="2" s="1"/>
  <c r="S17" i="5"/>
  <c r="R18" i="5"/>
  <c r="B42" i="5"/>
  <c r="B43" i="5"/>
  <c r="C43" i="5"/>
  <c r="B44" i="5"/>
  <c r="C44" i="5"/>
  <c r="D44" i="5"/>
  <c r="B45" i="5"/>
  <c r="C45" i="5"/>
  <c r="D45" i="5"/>
  <c r="B46" i="5"/>
  <c r="B47" i="5"/>
  <c r="B48" i="5"/>
  <c r="C48" i="5"/>
  <c r="D48" i="5"/>
  <c r="B51" i="5"/>
  <c r="P35" i="2"/>
  <c r="B49" i="5"/>
  <c r="Q35" i="2"/>
  <c r="C49" i="5"/>
  <c r="R35" i="2"/>
  <c r="D49" i="5"/>
  <c r="U35" i="2"/>
  <c r="B50" i="5"/>
  <c r="V35" i="2"/>
  <c r="W35" i="2" s="1"/>
  <c r="S18" i="5"/>
  <c r="R19" i="5"/>
  <c r="F42" i="5"/>
  <c r="F43" i="5"/>
  <c r="G43" i="5"/>
  <c r="F44" i="5"/>
  <c r="G44" i="5"/>
  <c r="H44" i="5"/>
  <c r="F45" i="5"/>
  <c r="G45" i="5"/>
  <c r="H45" i="5"/>
  <c r="F46" i="5"/>
  <c r="F47" i="5"/>
  <c r="F48" i="5"/>
  <c r="G48" i="5"/>
  <c r="H48" i="5"/>
  <c r="F51" i="5"/>
  <c r="R20" i="5"/>
  <c r="J42" i="5"/>
  <c r="J43" i="5"/>
  <c r="K43" i="5"/>
  <c r="J44" i="5"/>
  <c r="K44" i="5"/>
  <c r="L44" i="5"/>
  <c r="J45" i="5"/>
  <c r="K45" i="5"/>
  <c r="L45" i="5"/>
  <c r="J46" i="5"/>
  <c r="J47" i="5"/>
  <c r="J48" i="5"/>
  <c r="K48" i="5"/>
  <c r="L48" i="5"/>
  <c r="J51" i="5"/>
  <c r="R23" i="5"/>
  <c r="J53" i="5"/>
  <c r="J54" i="5"/>
  <c r="K54" i="5"/>
  <c r="J55" i="5"/>
  <c r="K55" i="5"/>
  <c r="L55" i="5"/>
  <c r="J56" i="5"/>
  <c r="K56" i="5"/>
  <c r="L56" i="5"/>
  <c r="J57" i="5"/>
  <c r="J58" i="5"/>
  <c r="J59" i="5"/>
  <c r="K59" i="5"/>
  <c r="L59" i="5"/>
  <c r="J62" i="5"/>
  <c r="R24" i="5"/>
  <c r="B64" i="5"/>
  <c r="B65" i="5"/>
  <c r="C65" i="5"/>
  <c r="B66" i="5"/>
  <c r="C66" i="5"/>
  <c r="D66" i="5"/>
  <c r="B67" i="5"/>
  <c r="C67" i="5"/>
  <c r="D67" i="5"/>
  <c r="B68" i="5"/>
  <c r="B69" i="5"/>
  <c r="B70" i="5"/>
  <c r="C70" i="5"/>
  <c r="D70" i="5"/>
  <c r="B73" i="5"/>
  <c r="R28" i="5"/>
  <c r="F75" i="5"/>
  <c r="F76" i="5"/>
  <c r="G76" i="5"/>
  <c r="F77" i="5"/>
  <c r="G77" i="5"/>
  <c r="H77" i="5"/>
  <c r="F78" i="5"/>
  <c r="G78" i="5"/>
  <c r="H78" i="5"/>
  <c r="F79" i="5"/>
  <c r="F80" i="5"/>
  <c r="F81" i="5"/>
  <c r="G81" i="5"/>
  <c r="H81" i="5"/>
  <c r="F84" i="5"/>
  <c r="R29" i="5"/>
  <c r="J75" i="5"/>
  <c r="J76" i="5"/>
  <c r="K76" i="5"/>
  <c r="J77" i="5"/>
  <c r="K77" i="5"/>
  <c r="L77" i="5"/>
  <c r="J78" i="5"/>
  <c r="K78" i="5"/>
  <c r="L78" i="5"/>
  <c r="J79" i="5"/>
  <c r="J80" i="5"/>
  <c r="J81" i="5"/>
  <c r="K81" i="5"/>
  <c r="L81" i="5"/>
  <c r="J84" i="5"/>
  <c r="R30" i="5"/>
  <c r="B86" i="5"/>
  <c r="B87" i="5"/>
  <c r="C87" i="5"/>
  <c r="B88" i="5"/>
  <c r="C88" i="5"/>
  <c r="D88" i="5"/>
  <c r="B89" i="5"/>
  <c r="C89" i="5"/>
  <c r="D89" i="5"/>
  <c r="B90" i="5"/>
  <c r="B91" i="5"/>
  <c r="B92" i="5"/>
  <c r="C92" i="5"/>
  <c r="D92" i="5"/>
  <c r="B95" i="5"/>
  <c r="R31" i="5"/>
  <c r="F86" i="5"/>
  <c r="F87" i="5"/>
  <c r="G87" i="5"/>
  <c r="F88" i="5"/>
  <c r="G88" i="5"/>
  <c r="H88" i="5"/>
  <c r="F89" i="5"/>
  <c r="G89" i="5"/>
  <c r="H89" i="5"/>
  <c r="F90" i="5"/>
  <c r="F91" i="5"/>
  <c r="F92" i="5"/>
  <c r="G92" i="5"/>
  <c r="H92" i="5"/>
  <c r="F95" i="5"/>
  <c r="R32" i="5"/>
  <c r="J86" i="5"/>
  <c r="J87" i="5"/>
  <c r="K87" i="5"/>
  <c r="J88" i="5"/>
  <c r="K88" i="5"/>
  <c r="L88" i="5"/>
  <c r="J89" i="5"/>
  <c r="K89" i="5"/>
  <c r="L89" i="5"/>
  <c r="J90" i="5"/>
  <c r="J91" i="5"/>
  <c r="J92" i="5"/>
  <c r="K92" i="5"/>
  <c r="L92" i="5"/>
  <c r="J95" i="5"/>
  <c r="R33" i="5"/>
  <c r="B97" i="5"/>
  <c r="B98" i="5"/>
  <c r="C98" i="5"/>
  <c r="B99" i="5"/>
  <c r="C99" i="5"/>
  <c r="D99" i="5"/>
  <c r="B100" i="5"/>
  <c r="C100" i="5"/>
  <c r="D100" i="5"/>
  <c r="B101" i="5"/>
  <c r="B102" i="5"/>
  <c r="B103" i="5"/>
  <c r="C103" i="5"/>
  <c r="D103" i="5"/>
  <c r="B106" i="5"/>
  <c r="R38" i="5"/>
  <c r="J108" i="5"/>
  <c r="J109" i="5"/>
  <c r="K109" i="5"/>
  <c r="J110" i="5"/>
  <c r="K110" i="5"/>
  <c r="L110" i="5"/>
  <c r="J111" i="5"/>
  <c r="K111" i="5"/>
  <c r="L111" i="5"/>
  <c r="J112" i="5"/>
  <c r="J113" i="5"/>
  <c r="J114" i="5"/>
  <c r="K114" i="5"/>
  <c r="L114" i="5"/>
  <c r="J117" i="5"/>
  <c r="R10" i="6"/>
  <c r="F11" i="6"/>
  <c r="G11" i="6"/>
  <c r="H11" i="6"/>
  <c r="F12" i="6"/>
  <c r="G12" i="6"/>
  <c r="H12" i="6"/>
  <c r="F13" i="6"/>
  <c r="F14" i="6"/>
  <c r="F15" i="6"/>
  <c r="G15" i="6"/>
  <c r="H15" i="6"/>
  <c r="F18" i="6"/>
  <c r="F9" i="6"/>
  <c r="F10" i="6"/>
  <c r="G10" i="6"/>
  <c r="P37" i="2"/>
  <c r="F16" i="6"/>
  <c r="Q37" i="2"/>
  <c r="G16" i="6"/>
  <c r="H16" i="6"/>
  <c r="F17" i="6"/>
  <c r="S10" i="6"/>
  <c r="S14" i="6"/>
  <c r="R14" i="6"/>
  <c r="J20" i="6"/>
  <c r="J21" i="6"/>
  <c r="K21" i="6"/>
  <c r="J22" i="6"/>
  <c r="K22" i="6"/>
  <c r="L22" i="6"/>
  <c r="J23" i="6"/>
  <c r="K23" i="6"/>
  <c r="L23" i="6"/>
  <c r="J24" i="6"/>
  <c r="J25" i="6"/>
  <c r="J26" i="6"/>
  <c r="K26" i="6"/>
  <c r="L26" i="6"/>
  <c r="J29" i="6"/>
  <c r="P41" i="2"/>
  <c r="J27" i="6"/>
  <c r="L27" i="6"/>
  <c r="J28" i="6"/>
  <c r="Q41" i="2"/>
  <c r="K27" i="6"/>
  <c r="R16" i="6"/>
  <c r="F31" i="6"/>
  <c r="F32" i="6"/>
  <c r="G32" i="6"/>
  <c r="F33" i="6"/>
  <c r="G33" i="6"/>
  <c r="H33" i="6"/>
  <c r="F34" i="6"/>
  <c r="G34" i="6"/>
  <c r="H34" i="6"/>
  <c r="F35" i="6"/>
  <c r="F36" i="6"/>
  <c r="F37" i="6"/>
  <c r="G37" i="6"/>
  <c r="H37" i="6"/>
  <c r="F40" i="6"/>
  <c r="S16" i="6"/>
  <c r="P43" i="2"/>
  <c r="F38" i="6"/>
  <c r="Q43" i="2"/>
  <c r="G38" i="6"/>
  <c r="H38" i="6"/>
  <c r="F39" i="6"/>
  <c r="R23" i="6"/>
  <c r="J53" i="6"/>
  <c r="J54" i="6"/>
  <c r="K54" i="6"/>
  <c r="J55" i="6"/>
  <c r="K55" i="6"/>
  <c r="L55" i="6"/>
  <c r="J56" i="6"/>
  <c r="K56" i="6"/>
  <c r="L56" i="6"/>
  <c r="J57" i="6"/>
  <c r="J58" i="6"/>
  <c r="J59" i="6"/>
  <c r="K59" i="6"/>
  <c r="L59" i="6"/>
  <c r="J62" i="6"/>
  <c r="R25" i="6"/>
  <c r="F64" i="6"/>
  <c r="F65" i="6"/>
  <c r="G65" i="6"/>
  <c r="F66" i="6"/>
  <c r="G66" i="6"/>
  <c r="H66" i="6"/>
  <c r="F67" i="6"/>
  <c r="G67" i="6"/>
  <c r="H67" i="6"/>
  <c r="F68" i="6"/>
  <c r="F69" i="6"/>
  <c r="F70" i="6"/>
  <c r="G70" i="6"/>
  <c r="H70" i="6"/>
  <c r="F73" i="6"/>
  <c r="R26" i="6"/>
  <c r="J64" i="6"/>
  <c r="J65" i="6"/>
  <c r="K65" i="6"/>
  <c r="J66" i="6"/>
  <c r="K66" i="6"/>
  <c r="L66" i="6"/>
  <c r="J67" i="6"/>
  <c r="K67" i="6"/>
  <c r="L67" i="6"/>
  <c r="J68" i="6"/>
  <c r="J69" i="6"/>
  <c r="J70" i="6"/>
  <c r="K70" i="6"/>
  <c r="L70" i="6"/>
  <c r="J73" i="6"/>
  <c r="R27" i="6"/>
  <c r="B75" i="6"/>
  <c r="B76" i="6"/>
  <c r="C76" i="6"/>
  <c r="B77" i="6"/>
  <c r="C77" i="6"/>
  <c r="D77" i="6"/>
  <c r="B78" i="6"/>
  <c r="C78" i="6"/>
  <c r="D78" i="6"/>
  <c r="B79" i="6"/>
  <c r="B80" i="6"/>
  <c r="B81" i="6"/>
  <c r="C81" i="6"/>
  <c r="D81" i="6"/>
  <c r="B84" i="6"/>
  <c r="R29" i="6"/>
  <c r="J75" i="6"/>
  <c r="J76" i="6"/>
  <c r="K76" i="6"/>
  <c r="J77" i="6"/>
  <c r="K77" i="6"/>
  <c r="L77" i="6"/>
  <c r="J78" i="6"/>
  <c r="K78" i="6"/>
  <c r="L78" i="6"/>
  <c r="J79" i="6"/>
  <c r="J80" i="6"/>
  <c r="J81" i="6"/>
  <c r="K81" i="6"/>
  <c r="L81" i="6"/>
  <c r="J84" i="6"/>
  <c r="R30" i="6"/>
  <c r="B86" i="6"/>
  <c r="B87" i="6"/>
  <c r="C87" i="6"/>
  <c r="B88" i="6"/>
  <c r="C88" i="6"/>
  <c r="D88" i="6"/>
  <c r="B89" i="6"/>
  <c r="C89" i="6"/>
  <c r="D89" i="6"/>
  <c r="B90" i="6"/>
  <c r="B91" i="6"/>
  <c r="B92" i="6"/>
  <c r="C92" i="6"/>
  <c r="D92" i="6"/>
  <c r="B95" i="6"/>
  <c r="R32" i="6"/>
  <c r="J86" i="6"/>
  <c r="J87" i="6"/>
  <c r="K87" i="6"/>
  <c r="J88" i="6"/>
  <c r="K88" i="6"/>
  <c r="L88" i="6"/>
  <c r="J89" i="6"/>
  <c r="K89" i="6"/>
  <c r="L89" i="6"/>
  <c r="J90" i="6"/>
  <c r="J91" i="6"/>
  <c r="J92" i="6"/>
  <c r="K92" i="6"/>
  <c r="L92" i="6"/>
  <c r="J95" i="6"/>
  <c r="R33" i="6"/>
  <c r="B97" i="6"/>
  <c r="B98" i="6"/>
  <c r="C98" i="6"/>
  <c r="B99" i="6"/>
  <c r="C99" i="6"/>
  <c r="D99" i="6"/>
  <c r="B100" i="6"/>
  <c r="C100" i="6"/>
  <c r="D100" i="6"/>
  <c r="B101" i="6"/>
  <c r="B102" i="6"/>
  <c r="B103" i="6"/>
  <c r="C103" i="6"/>
  <c r="D103" i="6"/>
  <c r="B106" i="6"/>
  <c r="R34" i="6"/>
  <c r="F97" i="6"/>
  <c r="F98" i="6"/>
  <c r="G98" i="6"/>
  <c r="F99" i="6"/>
  <c r="G99" i="6"/>
  <c r="H99" i="6"/>
  <c r="F100" i="6"/>
  <c r="G100" i="6"/>
  <c r="H100" i="6"/>
  <c r="F101" i="6"/>
  <c r="F102" i="6"/>
  <c r="F103" i="6"/>
  <c r="G103" i="6"/>
  <c r="H103" i="6"/>
  <c r="F106" i="6"/>
  <c r="R35" i="6"/>
  <c r="J97" i="6"/>
  <c r="J98" i="6"/>
  <c r="K98" i="6"/>
  <c r="J99" i="6"/>
  <c r="K99" i="6"/>
  <c r="L99" i="6"/>
  <c r="J100" i="6"/>
  <c r="K100" i="6"/>
  <c r="L100" i="6"/>
  <c r="J101" i="6"/>
  <c r="J102" i="6"/>
  <c r="J103" i="6"/>
  <c r="K103" i="6"/>
  <c r="L103" i="6"/>
  <c r="J106" i="6"/>
  <c r="R36" i="6"/>
  <c r="B108" i="6"/>
  <c r="B109" i="6"/>
  <c r="C109" i="6"/>
  <c r="B110" i="6"/>
  <c r="C110" i="6"/>
  <c r="D110" i="6"/>
  <c r="B111" i="6"/>
  <c r="C111" i="6"/>
  <c r="D111" i="6"/>
  <c r="B112" i="6"/>
  <c r="B113" i="6"/>
  <c r="B114" i="6"/>
  <c r="C114" i="6"/>
  <c r="D114" i="6"/>
  <c r="B117" i="6"/>
  <c r="R37" i="6"/>
  <c r="F108" i="6"/>
  <c r="F109" i="6"/>
  <c r="G109" i="6"/>
  <c r="F110" i="6"/>
  <c r="G110" i="6"/>
  <c r="H110" i="6"/>
  <c r="F111" i="6"/>
  <c r="G111" i="6"/>
  <c r="H111" i="6"/>
  <c r="F112" i="6"/>
  <c r="F113" i="6"/>
  <c r="F114" i="6"/>
  <c r="G114" i="6"/>
  <c r="H114" i="6"/>
  <c r="F117" i="6"/>
  <c r="R38" i="6"/>
  <c r="J108" i="6"/>
  <c r="J109" i="6"/>
  <c r="K109" i="6"/>
  <c r="J110" i="6"/>
  <c r="K110" i="6"/>
  <c r="L110" i="6"/>
  <c r="J111" i="6"/>
  <c r="K111" i="6"/>
  <c r="L111" i="6"/>
  <c r="J112" i="6"/>
  <c r="J113" i="6"/>
  <c r="J114" i="6"/>
  <c r="K114" i="6"/>
  <c r="L114" i="6"/>
  <c r="J117" i="6"/>
  <c r="I8" i="7" l="1"/>
  <c r="S10" i="3"/>
  <c r="BM17" i="7"/>
  <c r="H49" i="3"/>
  <c r="BM18" i="7"/>
  <c r="L49" i="3"/>
  <c r="I19" i="7"/>
  <c r="S21" i="3"/>
  <c r="BM20" i="7"/>
  <c r="H60" i="3"/>
  <c r="BM21" i="7"/>
  <c r="L60" i="3"/>
  <c r="I22" i="7"/>
  <c r="S24" i="3"/>
  <c r="V46" i="2"/>
  <c r="W46" i="2" s="1"/>
  <c r="I23" i="7"/>
  <c r="S25" i="3"/>
  <c r="V47" i="2"/>
  <c r="W47" i="2" s="1"/>
  <c r="I24" i="7"/>
  <c r="S26" i="3"/>
  <c r="BM25" i="7"/>
  <c r="R48" i="2"/>
  <c r="D82" i="3"/>
  <c r="BM26" i="7"/>
  <c r="R49" i="2"/>
  <c r="H82" i="3"/>
  <c r="R50" i="2"/>
  <c r="BM27" i="7"/>
  <c r="L82" i="3"/>
  <c r="U51" i="2"/>
  <c r="B94" i="3"/>
  <c r="V52" i="2"/>
  <c r="W52" i="2" s="1"/>
  <c r="I29" i="7"/>
  <c r="S31" i="3"/>
  <c r="I30" i="7"/>
  <c r="V53" i="2"/>
  <c r="W53" i="2" s="1"/>
  <c r="S32" i="3"/>
  <c r="BM14" i="7"/>
  <c r="R37" i="2"/>
  <c r="BM12" i="8"/>
  <c r="V11" i="2" s="1"/>
  <c r="R11" i="2"/>
  <c r="R28" i="2"/>
  <c r="H93" i="4"/>
  <c r="BM29" i="8"/>
  <c r="BM15" i="8"/>
  <c r="L38" i="4"/>
  <c r="BM8" i="8"/>
  <c r="V7" i="2" s="1"/>
  <c r="R7" i="2"/>
  <c r="H16" i="4"/>
  <c r="BM11" i="8"/>
  <c r="R10" i="2"/>
  <c r="H27" i="4"/>
  <c r="BM13" i="8"/>
  <c r="R12" i="2"/>
  <c r="D38" i="4"/>
  <c r="BM10" i="8"/>
  <c r="R9" i="2"/>
  <c r="D27" i="4"/>
  <c r="BM9" i="8"/>
  <c r="S11" i="4" s="1"/>
  <c r="R8" i="2"/>
  <c r="L16" i="4"/>
  <c r="BM16" i="8"/>
  <c r="R15" i="2"/>
  <c r="D49" i="4"/>
  <c r="BM7" i="8"/>
  <c r="V6" i="2" s="1"/>
  <c r="W6" i="2" s="1"/>
  <c r="D16" i="4"/>
  <c r="BM14" i="8"/>
  <c r="R13" i="2"/>
  <c r="H38" i="4"/>
  <c r="BM20" i="8"/>
  <c r="H60" i="4"/>
  <c r="BM21" i="8"/>
  <c r="L60" i="4"/>
  <c r="BM22" i="8"/>
  <c r="D71" i="4"/>
  <c r="BM23" i="8"/>
  <c r="H71" i="4"/>
  <c r="BM26" i="8"/>
  <c r="H82" i="4"/>
  <c r="BM27" i="8"/>
  <c r="L82" i="4"/>
  <c r="BM30" i="8"/>
  <c r="L93" i="4"/>
  <c r="BM17" i="8"/>
  <c r="H49" i="4"/>
  <c r="BM18" i="8"/>
  <c r="L49" i="4"/>
  <c r="BM19" i="8"/>
  <c r="D60" i="4"/>
  <c r="BM24" i="8"/>
  <c r="L71" i="4"/>
  <c r="BM25" i="8"/>
  <c r="D82" i="4"/>
  <c r="BM28" i="8"/>
  <c r="D93" i="4"/>
  <c r="BM7" i="10"/>
  <c r="R36" i="2"/>
  <c r="D16" i="6"/>
  <c r="BM13" i="9"/>
  <c r="R32" i="2"/>
  <c r="D38" i="5"/>
  <c r="N6" i="7"/>
  <c r="M4" i="7"/>
  <c r="L5" i="7"/>
  <c r="N6" i="10"/>
  <c r="M4" i="10"/>
  <c r="M5" i="10" s="1"/>
  <c r="L5" i="10"/>
  <c r="N6" i="8"/>
  <c r="M4" i="8"/>
  <c r="L5" i="8"/>
  <c r="N6" i="9"/>
  <c r="M4" i="9"/>
  <c r="M5" i="9" s="1"/>
  <c r="L5" i="9"/>
  <c r="F17" i="3" l="1"/>
  <c r="U31" i="2"/>
  <c r="W7" i="2"/>
  <c r="I14" i="7"/>
  <c r="S16" i="3"/>
  <c r="V37" i="2"/>
  <c r="W37" i="2" s="1"/>
  <c r="I12" i="8"/>
  <c r="S14" i="4"/>
  <c r="V40" i="2"/>
  <c r="W40" i="2" s="1"/>
  <c r="I17" i="7"/>
  <c r="S19" i="3"/>
  <c r="V41" i="2"/>
  <c r="W41" i="2" s="1"/>
  <c r="I18" i="7"/>
  <c r="S20" i="3"/>
  <c r="U42" i="2"/>
  <c r="B61" i="3"/>
  <c r="V43" i="2"/>
  <c r="W43" i="2" s="1"/>
  <c r="I20" i="7"/>
  <c r="S22" i="3"/>
  <c r="V44" i="2"/>
  <c r="W44" i="2" s="1"/>
  <c r="I21" i="7"/>
  <c r="S23" i="3"/>
  <c r="U45" i="2"/>
  <c r="B72" i="3"/>
  <c r="U46" i="2"/>
  <c r="F72" i="3"/>
  <c r="U47" i="2"/>
  <c r="J72" i="3"/>
  <c r="V48" i="2"/>
  <c r="W48" i="2" s="1"/>
  <c r="I25" i="7"/>
  <c r="S27" i="3"/>
  <c r="V49" i="2"/>
  <c r="W49" i="2" s="1"/>
  <c r="I26" i="7"/>
  <c r="S28" i="3"/>
  <c r="I27" i="7"/>
  <c r="V50" i="2"/>
  <c r="W50" i="2" s="1"/>
  <c r="S29" i="3"/>
  <c r="U52" i="2"/>
  <c r="F94" i="3"/>
  <c r="U53" i="2"/>
  <c r="J94" i="3"/>
  <c r="V28" i="2"/>
  <c r="S31" i="4"/>
  <c r="I29" i="8"/>
  <c r="I15" i="8"/>
  <c r="S17" i="4"/>
  <c r="V14" i="2"/>
  <c r="V8" i="2"/>
  <c r="I9" i="8"/>
  <c r="S10" i="4"/>
  <c r="I8" i="8"/>
  <c r="S13" i="4"/>
  <c r="V10" i="2"/>
  <c r="I11" i="8"/>
  <c r="S15" i="4"/>
  <c r="V12" i="2"/>
  <c r="I13" i="8"/>
  <c r="V13" i="2"/>
  <c r="I14" i="8"/>
  <c r="S16" i="4"/>
  <c r="S12" i="4"/>
  <c r="V9" i="2"/>
  <c r="I10" i="8"/>
  <c r="S18" i="4"/>
  <c r="V15" i="2"/>
  <c r="I16" i="8"/>
  <c r="S9" i="4"/>
  <c r="I7" i="8"/>
  <c r="V19" i="2"/>
  <c r="I20" i="8"/>
  <c r="S22" i="4"/>
  <c r="V20" i="2"/>
  <c r="I21" i="8"/>
  <c r="S23" i="4"/>
  <c r="V21" i="2"/>
  <c r="I22" i="8"/>
  <c r="S24" i="4"/>
  <c r="V22" i="2"/>
  <c r="I23" i="8"/>
  <c r="S25" i="4"/>
  <c r="V25" i="2"/>
  <c r="I26" i="8"/>
  <c r="S28" i="4"/>
  <c r="V26" i="2"/>
  <c r="I27" i="8"/>
  <c r="S29" i="4"/>
  <c r="V29" i="2"/>
  <c r="I30" i="8"/>
  <c r="S32" i="4"/>
  <c r="V16" i="2"/>
  <c r="I17" i="8"/>
  <c r="S19" i="4"/>
  <c r="V17" i="2"/>
  <c r="I18" i="8"/>
  <c r="S20" i="4"/>
  <c r="V18" i="2"/>
  <c r="I19" i="8"/>
  <c r="S21" i="4"/>
  <c r="V23" i="2"/>
  <c r="I24" i="8"/>
  <c r="S26" i="4"/>
  <c r="V24" i="2"/>
  <c r="I25" i="8"/>
  <c r="S27" i="4"/>
  <c r="V27" i="2"/>
  <c r="I28" i="8"/>
  <c r="S30" i="4"/>
  <c r="S9" i="6"/>
  <c r="V36" i="2"/>
  <c r="I7" i="10"/>
  <c r="S15" i="5"/>
  <c r="V32" i="2"/>
  <c r="I13" i="9"/>
  <c r="O6" i="7"/>
  <c r="N4" i="7"/>
  <c r="O6" i="10"/>
  <c r="N4" i="10"/>
  <c r="O6" i="8"/>
  <c r="N4" i="8"/>
  <c r="O6" i="9"/>
  <c r="N4" i="9"/>
  <c r="M5" i="7"/>
  <c r="M5" i="8"/>
  <c r="J28" i="4" l="1"/>
  <c r="U11" i="2"/>
  <c r="W29" i="2"/>
  <c r="W17" i="2"/>
  <c r="W12" i="2"/>
  <c r="W9" i="2"/>
  <c r="W15" i="2"/>
  <c r="W24" i="2"/>
  <c r="W27" i="2"/>
  <c r="W14" i="2"/>
  <c r="W10" i="2"/>
  <c r="W20" i="2"/>
  <c r="W22" i="2"/>
  <c r="W26" i="2"/>
  <c r="W18" i="2"/>
  <c r="W28" i="2"/>
  <c r="W13" i="2"/>
  <c r="W19" i="2"/>
  <c r="W21" i="2"/>
  <c r="W25" i="2"/>
  <c r="W23" i="2"/>
  <c r="W8" i="2"/>
  <c r="W11" i="2"/>
  <c r="I16" i="1"/>
  <c r="F39" i="3"/>
  <c r="U37" i="2"/>
  <c r="U28" i="2"/>
  <c r="F94" i="4"/>
  <c r="U40" i="2"/>
  <c r="F50" i="3"/>
  <c r="U41" i="2"/>
  <c r="J50" i="3"/>
  <c r="U43" i="2"/>
  <c r="F61" i="3"/>
  <c r="U44" i="2"/>
  <c r="J61" i="3"/>
  <c r="U48" i="2"/>
  <c r="B83" i="3"/>
  <c r="U49" i="2"/>
  <c r="F83" i="3"/>
  <c r="U50" i="2"/>
  <c r="J83" i="3"/>
  <c r="U14" i="2"/>
  <c r="J39" i="4"/>
  <c r="F39" i="4"/>
  <c r="U13" i="2"/>
  <c r="J17" i="4"/>
  <c r="U8" i="2"/>
  <c r="F17" i="4"/>
  <c r="U7" i="2"/>
  <c r="F28" i="4"/>
  <c r="U10" i="2"/>
  <c r="B39" i="4"/>
  <c r="U12" i="2"/>
  <c r="B28" i="4"/>
  <c r="U9" i="2"/>
  <c r="B17" i="4"/>
  <c r="U6" i="2"/>
  <c r="B50" i="4"/>
  <c r="U15" i="2"/>
  <c r="U19" i="2"/>
  <c r="F61" i="4"/>
  <c r="U20" i="2"/>
  <c r="J61" i="4"/>
  <c r="U21" i="2"/>
  <c r="B72" i="4"/>
  <c r="U22" i="2"/>
  <c r="F72" i="4"/>
  <c r="U25" i="2"/>
  <c r="F83" i="4"/>
  <c r="U26" i="2"/>
  <c r="J83" i="4"/>
  <c r="U29" i="2"/>
  <c r="J94" i="4"/>
  <c r="I17" i="1"/>
  <c r="W16" i="2"/>
  <c r="U16" i="2"/>
  <c r="F50" i="4"/>
  <c r="U17" i="2"/>
  <c r="J50" i="4"/>
  <c r="U18" i="2"/>
  <c r="B61" i="4"/>
  <c r="U23" i="2"/>
  <c r="J72" i="4"/>
  <c r="U24" i="2"/>
  <c r="B83" i="4"/>
  <c r="U27" i="2"/>
  <c r="B94" i="4"/>
  <c r="W36" i="2"/>
  <c r="I19" i="1"/>
  <c r="B17" i="6"/>
  <c r="U36" i="2"/>
  <c r="I18" i="1"/>
  <c r="W32" i="2"/>
  <c r="B39" i="5"/>
  <c r="U32" i="2"/>
  <c r="P6" i="7"/>
  <c r="O4" i="7"/>
  <c r="O5" i="7" s="1"/>
  <c r="P6" i="10"/>
  <c r="O4" i="10"/>
  <c r="O5" i="10" s="1"/>
  <c r="N5" i="10"/>
  <c r="P6" i="8"/>
  <c r="O4" i="8"/>
  <c r="O5" i="8" s="1"/>
  <c r="P6" i="9"/>
  <c r="O4" i="9"/>
  <c r="N5" i="9"/>
  <c r="N5" i="7"/>
  <c r="N5" i="8"/>
  <c r="I20" i="1" l="1"/>
  <c r="J12" i="1"/>
  <c r="N63" i="11"/>
  <c r="N61" i="11"/>
  <c r="N59" i="11"/>
  <c r="N57" i="11"/>
  <c r="N56" i="11"/>
  <c r="N55" i="11"/>
  <c r="N54" i="11"/>
  <c r="N53" i="11"/>
  <c r="N52" i="11"/>
  <c r="N51" i="11"/>
  <c r="N50" i="11"/>
  <c r="N39" i="11"/>
  <c r="N8" i="11"/>
  <c r="N7" i="11"/>
  <c r="A3" i="11"/>
  <c r="N64" i="11"/>
  <c r="N60" i="11"/>
  <c r="N49" i="11"/>
  <c r="N45" i="11"/>
  <c r="N9" i="11"/>
  <c r="N6" i="11"/>
  <c r="N65" i="11"/>
  <c r="N62" i="11"/>
  <c r="N58" i="11"/>
  <c r="N48" i="11"/>
  <c r="N47" i="11"/>
  <c r="N46" i="11"/>
  <c r="N44" i="11"/>
  <c r="N43" i="11"/>
  <c r="N42" i="11"/>
  <c r="N41" i="11"/>
  <c r="N40" i="11"/>
  <c r="N31" i="11"/>
  <c r="N37" i="11"/>
  <c r="N36" i="11"/>
  <c r="N35" i="11"/>
  <c r="N34" i="11"/>
  <c r="N33" i="11"/>
  <c r="N32" i="11"/>
  <c r="N30" i="11"/>
  <c r="N29" i="11"/>
  <c r="N28" i="11"/>
  <c r="N27" i="11"/>
  <c r="N26" i="11"/>
  <c r="N25" i="11"/>
  <c r="N24" i="11"/>
  <c r="N23" i="11"/>
  <c r="N22" i="11"/>
  <c r="N21" i="11"/>
  <c r="N20" i="11"/>
  <c r="N19" i="11"/>
  <c r="N18" i="11"/>
  <c r="N17" i="11"/>
  <c r="N16" i="11"/>
  <c r="N15" i="11"/>
  <c r="N14" i="11"/>
  <c r="N13" i="11"/>
  <c r="N12" i="11"/>
  <c r="N11" i="11"/>
  <c r="N10" i="11"/>
  <c r="N38" i="11"/>
  <c r="Q6" i="7"/>
  <c r="P4" i="7"/>
  <c r="P5" i="7" s="1"/>
  <c r="Q6" i="10"/>
  <c r="P4" i="10"/>
  <c r="Q6" i="8"/>
  <c r="P4" i="8"/>
  <c r="P5" i="8" s="1"/>
  <c r="Q6" i="9"/>
  <c r="P4" i="9"/>
  <c r="O5" i="9"/>
  <c r="K63" i="11" l="1"/>
  <c r="I63" i="11"/>
  <c r="F63" i="11"/>
  <c r="E63" i="11"/>
  <c r="C63" i="11"/>
  <c r="A63" i="11"/>
  <c r="L63" i="11"/>
  <c r="H63" i="11"/>
  <c r="B63" i="11"/>
  <c r="J63" i="11"/>
  <c r="G63" i="11"/>
  <c r="D63" i="11"/>
  <c r="K61" i="11"/>
  <c r="I61" i="11"/>
  <c r="G61" i="11"/>
  <c r="E61" i="11"/>
  <c r="D61" i="11"/>
  <c r="B61" i="11"/>
  <c r="L61" i="11"/>
  <c r="J61" i="11"/>
  <c r="H61" i="11"/>
  <c r="F61" i="11"/>
  <c r="C61" i="11"/>
  <c r="A61" i="11"/>
  <c r="L59" i="11"/>
  <c r="K59" i="11"/>
  <c r="J59" i="11"/>
  <c r="I59" i="11"/>
  <c r="H59" i="11"/>
  <c r="G59" i="11"/>
  <c r="F59" i="11"/>
  <c r="E59" i="11"/>
  <c r="D59" i="11"/>
  <c r="C59" i="11"/>
  <c r="B59" i="11"/>
  <c r="A59" i="11"/>
  <c r="L57" i="11"/>
  <c r="J57" i="11"/>
  <c r="I57" i="11"/>
  <c r="G57" i="11"/>
  <c r="E57" i="11"/>
  <c r="C57" i="11"/>
  <c r="A57" i="11"/>
  <c r="K57" i="11"/>
  <c r="H57" i="11"/>
  <c r="F57" i="11"/>
  <c r="D57" i="11"/>
  <c r="B57" i="11"/>
  <c r="K56" i="11"/>
  <c r="I56" i="11"/>
  <c r="G56" i="11"/>
  <c r="E56" i="11"/>
  <c r="C56" i="11"/>
  <c r="A56" i="11"/>
  <c r="L56" i="11"/>
  <c r="J56" i="11"/>
  <c r="H56" i="11"/>
  <c r="F56" i="11"/>
  <c r="D56" i="11"/>
  <c r="B56" i="11"/>
  <c r="K55" i="11"/>
  <c r="I55" i="11"/>
  <c r="L55" i="11"/>
  <c r="J55" i="11"/>
  <c r="H55" i="11"/>
  <c r="G55" i="11"/>
  <c r="F55" i="11"/>
  <c r="E55" i="11"/>
  <c r="D55" i="11"/>
  <c r="C55" i="11"/>
  <c r="B55" i="11"/>
  <c r="A55" i="11"/>
  <c r="F54" i="11"/>
  <c r="D54" i="11"/>
  <c r="C54" i="11"/>
  <c r="B54" i="11"/>
  <c r="L54" i="11"/>
  <c r="K54" i="11"/>
  <c r="J54" i="11"/>
  <c r="I54" i="11"/>
  <c r="H54" i="11"/>
  <c r="G54" i="11"/>
  <c r="E54" i="11"/>
  <c r="A54" i="11"/>
  <c r="L53" i="11"/>
  <c r="J53" i="11"/>
  <c r="I53" i="11"/>
  <c r="G53" i="11"/>
  <c r="E53" i="11"/>
  <c r="D53" i="11"/>
  <c r="B53" i="11"/>
  <c r="A53" i="11"/>
  <c r="K53" i="11"/>
  <c r="H53" i="11"/>
  <c r="F53" i="11"/>
  <c r="C53" i="11"/>
  <c r="K52" i="11"/>
  <c r="J52" i="11"/>
  <c r="I52" i="11"/>
  <c r="H52" i="11"/>
  <c r="G52" i="11"/>
  <c r="F52" i="11"/>
  <c r="E52" i="11"/>
  <c r="D52" i="11"/>
  <c r="C52" i="11"/>
  <c r="B52" i="11"/>
  <c r="A52" i="11"/>
  <c r="L52" i="11"/>
  <c r="L51" i="11"/>
  <c r="K51" i="11"/>
  <c r="J51" i="11"/>
  <c r="I51" i="11"/>
  <c r="H51" i="11"/>
  <c r="G51" i="11"/>
  <c r="F51" i="11"/>
  <c r="E51" i="11"/>
  <c r="D51" i="11"/>
  <c r="C51" i="11"/>
  <c r="B51" i="11"/>
  <c r="A51" i="11"/>
  <c r="L50" i="11"/>
  <c r="K50" i="11"/>
  <c r="J50" i="11"/>
  <c r="I50" i="11"/>
  <c r="H50" i="11"/>
  <c r="G50" i="11"/>
  <c r="F50" i="11"/>
  <c r="E50" i="11"/>
  <c r="D50" i="11"/>
  <c r="C50" i="11"/>
  <c r="B50" i="11"/>
  <c r="A50" i="11"/>
  <c r="L39" i="11"/>
  <c r="K39" i="11"/>
  <c r="J39" i="11"/>
  <c r="I39" i="11"/>
  <c r="H39" i="11"/>
  <c r="G39" i="11"/>
  <c r="F39" i="11"/>
  <c r="E39" i="11"/>
  <c r="D39" i="11"/>
  <c r="C39" i="11"/>
  <c r="B39" i="11"/>
  <c r="A39" i="11"/>
  <c r="L8" i="11"/>
  <c r="K8" i="11"/>
  <c r="J8" i="11"/>
  <c r="I8" i="11"/>
  <c r="H8" i="11"/>
  <c r="G8" i="11"/>
  <c r="F8" i="11"/>
  <c r="E8" i="11"/>
  <c r="D8" i="11"/>
  <c r="C8" i="11"/>
  <c r="B8" i="11"/>
  <c r="A8" i="11"/>
  <c r="J7" i="11"/>
  <c r="H7" i="11"/>
  <c r="F7" i="11"/>
  <c r="D7" i="11"/>
  <c r="B7" i="11"/>
  <c r="L7" i="11"/>
  <c r="K7" i="11"/>
  <c r="I7" i="11"/>
  <c r="G7" i="11"/>
  <c r="E7" i="11"/>
  <c r="C7" i="11"/>
  <c r="A7" i="11"/>
  <c r="J64" i="11"/>
  <c r="H64" i="11"/>
  <c r="F64" i="11"/>
  <c r="D64" i="11"/>
  <c r="B64" i="11"/>
  <c r="A64" i="11"/>
  <c r="K64" i="11"/>
  <c r="I64" i="11"/>
  <c r="G64" i="11"/>
  <c r="C64" i="11"/>
  <c r="L64" i="11"/>
  <c r="E64" i="11"/>
  <c r="L60" i="11"/>
  <c r="K60" i="11"/>
  <c r="I60" i="11"/>
  <c r="H60" i="11"/>
  <c r="G60" i="11"/>
  <c r="F60" i="11"/>
  <c r="E60" i="11"/>
  <c r="D60" i="11"/>
  <c r="C60" i="11"/>
  <c r="B60" i="11"/>
  <c r="A60" i="11"/>
  <c r="J60" i="11"/>
  <c r="L49" i="11"/>
  <c r="K49" i="11"/>
  <c r="J49" i="11"/>
  <c r="I49" i="11"/>
  <c r="H49" i="11"/>
  <c r="G49" i="11"/>
  <c r="F49" i="11"/>
  <c r="E49" i="11"/>
  <c r="D49" i="11"/>
  <c r="C49" i="11"/>
  <c r="B49" i="11"/>
  <c r="A49" i="11"/>
  <c r="L45" i="11"/>
  <c r="K45" i="11"/>
  <c r="J45" i="11"/>
  <c r="I45" i="11"/>
  <c r="H45" i="11"/>
  <c r="G45" i="11"/>
  <c r="F45" i="11"/>
  <c r="E45" i="11"/>
  <c r="D45" i="11"/>
  <c r="C45" i="11"/>
  <c r="B45" i="11"/>
  <c r="A45" i="11"/>
  <c r="L9" i="11"/>
  <c r="K9" i="11"/>
  <c r="J9" i="11"/>
  <c r="I9" i="11"/>
  <c r="H9" i="11"/>
  <c r="G9" i="11"/>
  <c r="F9" i="11"/>
  <c r="E9" i="11"/>
  <c r="D9" i="11"/>
  <c r="C9" i="11"/>
  <c r="B9" i="11"/>
  <c r="A9" i="11"/>
  <c r="L6" i="11"/>
  <c r="J6" i="11"/>
  <c r="H6" i="11"/>
  <c r="F6" i="11"/>
  <c r="C6" i="11"/>
  <c r="A6" i="11"/>
  <c r="K6" i="11"/>
  <c r="I6" i="11"/>
  <c r="G6" i="11"/>
  <c r="E6" i="11"/>
  <c r="D6" i="11"/>
  <c r="B6" i="11"/>
  <c r="L65" i="11"/>
  <c r="J65" i="11"/>
  <c r="G65" i="11"/>
  <c r="D65" i="11"/>
  <c r="A65" i="11"/>
  <c r="H65" i="11"/>
  <c r="F65" i="11"/>
  <c r="B65" i="11"/>
  <c r="K65" i="11"/>
  <c r="I65" i="11"/>
  <c r="E65" i="11"/>
  <c r="C65" i="11"/>
  <c r="L62" i="11"/>
  <c r="J62" i="11"/>
  <c r="H62" i="11"/>
  <c r="G62" i="11"/>
  <c r="E62" i="11"/>
  <c r="C62" i="11"/>
  <c r="A62" i="11"/>
  <c r="K62" i="11"/>
  <c r="I62" i="11"/>
  <c r="F62" i="11"/>
  <c r="D62" i="11"/>
  <c r="B62" i="11"/>
  <c r="L58" i="11"/>
  <c r="I58" i="11"/>
  <c r="G58" i="11"/>
  <c r="E58" i="11"/>
  <c r="D58" i="11"/>
  <c r="B58" i="11"/>
  <c r="K58" i="11"/>
  <c r="J58" i="11"/>
  <c r="H58" i="11"/>
  <c r="F58" i="11"/>
  <c r="C58" i="11"/>
  <c r="A58" i="11"/>
  <c r="L48" i="11"/>
  <c r="K48" i="11"/>
  <c r="J48" i="11"/>
  <c r="I48" i="11"/>
  <c r="H48" i="11"/>
  <c r="G48" i="11"/>
  <c r="F48" i="11"/>
  <c r="E48" i="11"/>
  <c r="D48" i="11"/>
  <c r="C48" i="11"/>
  <c r="B48" i="11"/>
  <c r="A48" i="11"/>
  <c r="L47" i="11"/>
  <c r="K47" i="11"/>
  <c r="J47" i="11"/>
  <c r="I47" i="11"/>
  <c r="H47" i="11"/>
  <c r="G47" i="11"/>
  <c r="F47" i="11"/>
  <c r="E47" i="11"/>
  <c r="D47" i="11"/>
  <c r="C47" i="11"/>
  <c r="B47" i="11"/>
  <c r="A47" i="11"/>
  <c r="L46" i="11"/>
  <c r="K46" i="11"/>
  <c r="J46" i="11"/>
  <c r="I46" i="11"/>
  <c r="H46" i="11"/>
  <c r="G46" i="11"/>
  <c r="F46" i="11"/>
  <c r="E46" i="11"/>
  <c r="D46" i="11"/>
  <c r="C46" i="11"/>
  <c r="B46" i="11"/>
  <c r="A46" i="11"/>
  <c r="L44" i="11"/>
  <c r="K44" i="11"/>
  <c r="J44" i="11"/>
  <c r="I44" i="11"/>
  <c r="H44" i="11"/>
  <c r="G44" i="11"/>
  <c r="F44" i="11"/>
  <c r="E44" i="11"/>
  <c r="D44" i="11"/>
  <c r="C44" i="11"/>
  <c r="B44" i="11"/>
  <c r="A44" i="11"/>
  <c r="L43" i="11"/>
  <c r="K43" i="11"/>
  <c r="J43" i="11"/>
  <c r="I43" i="11"/>
  <c r="H43" i="11"/>
  <c r="G43" i="11"/>
  <c r="F43" i="11"/>
  <c r="E43" i="11"/>
  <c r="D43" i="11"/>
  <c r="C43" i="11"/>
  <c r="B43" i="11"/>
  <c r="A43" i="11"/>
  <c r="L42" i="11"/>
  <c r="K42" i="11"/>
  <c r="J42" i="11"/>
  <c r="I42" i="11"/>
  <c r="H42" i="11"/>
  <c r="G42" i="11"/>
  <c r="F42" i="11"/>
  <c r="E42" i="11"/>
  <c r="D42" i="11"/>
  <c r="C42" i="11"/>
  <c r="B42" i="11"/>
  <c r="A42" i="11"/>
  <c r="L41" i="11"/>
  <c r="K41" i="11"/>
  <c r="J41" i="11"/>
  <c r="I41" i="11"/>
  <c r="H41" i="11"/>
  <c r="G41" i="11"/>
  <c r="F41" i="11"/>
  <c r="E41" i="11"/>
  <c r="D41" i="11"/>
  <c r="C41" i="11"/>
  <c r="B41" i="11"/>
  <c r="A41" i="11"/>
  <c r="L40" i="11"/>
  <c r="K40" i="11"/>
  <c r="J40" i="11"/>
  <c r="I40" i="11"/>
  <c r="H40" i="11"/>
  <c r="G40" i="11"/>
  <c r="F40" i="11"/>
  <c r="E40" i="11"/>
  <c r="D40" i="11"/>
  <c r="C40" i="11"/>
  <c r="B40" i="11"/>
  <c r="A40" i="11"/>
  <c r="L31" i="11"/>
  <c r="K31" i="11"/>
  <c r="J31" i="11"/>
  <c r="I31" i="11"/>
  <c r="H31" i="11"/>
  <c r="G31" i="11"/>
  <c r="F31" i="11"/>
  <c r="E31" i="11"/>
  <c r="D31" i="11"/>
  <c r="C31" i="11"/>
  <c r="B31" i="11"/>
  <c r="A31" i="11"/>
  <c r="L37" i="11"/>
  <c r="J37" i="11"/>
  <c r="H37" i="11"/>
  <c r="F37" i="11"/>
  <c r="D37" i="11"/>
  <c r="B37" i="11"/>
  <c r="K37" i="11"/>
  <c r="I37" i="11"/>
  <c r="G37" i="11"/>
  <c r="E37" i="11"/>
  <c r="C37" i="11"/>
  <c r="A37" i="11"/>
  <c r="L36" i="11"/>
  <c r="J36" i="11"/>
  <c r="H36" i="11"/>
  <c r="G36" i="11"/>
  <c r="E36" i="11"/>
  <c r="C36" i="11"/>
  <c r="K36" i="11"/>
  <c r="I36" i="11"/>
  <c r="F36" i="11"/>
  <c r="D36" i="11"/>
  <c r="B36" i="11"/>
  <c r="A36" i="11"/>
  <c r="L35" i="11"/>
  <c r="J35" i="11"/>
  <c r="H35" i="11"/>
  <c r="G35" i="11"/>
  <c r="E35" i="11"/>
  <c r="C35" i="11"/>
  <c r="A35" i="11"/>
  <c r="K35" i="11"/>
  <c r="I35" i="11"/>
  <c r="F35" i="11"/>
  <c r="D35" i="11"/>
  <c r="B35" i="11"/>
  <c r="K34" i="11"/>
  <c r="H34" i="11"/>
  <c r="F34" i="11"/>
  <c r="L34" i="11"/>
  <c r="J34" i="11"/>
  <c r="I34" i="11"/>
  <c r="G34" i="11"/>
  <c r="E34" i="11"/>
  <c r="D34" i="11"/>
  <c r="C34" i="11"/>
  <c r="B34" i="11"/>
  <c r="A34" i="11"/>
  <c r="K33" i="11"/>
  <c r="J33" i="11"/>
  <c r="I33" i="11"/>
  <c r="H33" i="11"/>
  <c r="G33" i="11"/>
  <c r="F33" i="11"/>
  <c r="E33" i="11"/>
  <c r="D33" i="11"/>
  <c r="C33" i="11"/>
  <c r="B33" i="11"/>
  <c r="A33" i="11"/>
  <c r="L33" i="11"/>
  <c r="L32" i="11"/>
  <c r="K32" i="11"/>
  <c r="J32" i="11"/>
  <c r="I32" i="11"/>
  <c r="H32" i="11"/>
  <c r="G32" i="11"/>
  <c r="F32" i="11"/>
  <c r="E32" i="11"/>
  <c r="D32" i="11"/>
  <c r="C32" i="11"/>
  <c r="B32" i="11"/>
  <c r="A32" i="11"/>
  <c r="L30" i="11"/>
  <c r="K30" i="11"/>
  <c r="J30" i="11"/>
  <c r="I30" i="11"/>
  <c r="H30" i="11"/>
  <c r="G30" i="11"/>
  <c r="F30" i="11"/>
  <c r="E30" i="11"/>
  <c r="D30" i="11"/>
  <c r="C30" i="11"/>
  <c r="B30" i="11"/>
  <c r="A30" i="11"/>
  <c r="L29" i="11"/>
  <c r="K29" i="11"/>
  <c r="J29" i="11"/>
  <c r="I29" i="11"/>
  <c r="H29" i="11"/>
  <c r="G29" i="11"/>
  <c r="F29" i="11"/>
  <c r="E29" i="11"/>
  <c r="D29" i="11"/>
  <c r="C29" i="11"/>
  <c r="B29" i="11"/>
  <c r="A29" i="11"/>
  <c r="L28" i="11"/>
  <c r="K28" i="11"/>
  <c r="J28" i="11"/>
  <c r="I28" i="11"/>
  <c r="H28" i="11"/>
  <c r="G28" i="11"/>
  <c r="F28" i="11"/>
  <c r="E28" i="11"/>
  <c r="D28" i="11"/>
  <c r="C28" i="11"/>
  <c r="B28" i="11"/>
  <c r="A28" i="11"/>
  <c r="L27" i="11"/>
  <c r="K27" i="11"/>
  <c r="J27" i="11"/>
  <c r="I27" i="11"/>
  <c r="H27" i="11"/>
  <c r="G27" i="11"/>
  <c r="F27" i="11"/>
  <c r="E27" i="11"/>
  <c r="D27" i="11"/>
  <c r="C27" i="11"/>
  <c r="B27" i="11"/>
  <c r="A27" i="11"/>
  <c r="L26" i="11"/>
  <c r="K26" i="11"/>
  <c r="J26" i="11"/>
  <c r="I26" i="11"/>
  <c r="H26" i="11"/>
  <c r="G26" i="11"/>
  <c r="F26" i="11"/>
  <c r="E26" i="11"/>
  <c r="D26" i="11"/>
  <c r="C26" i="11"/>
  <c r="B26" i="11"/>
  <c r="A26" i="11"/>
  <c r="L25" i="11"/>
  <c r="K25" i="11"/>
  <c r="J25" i="11"/>
  <c r="I25" i="11"/>
  <c r="H25" i="11"/>
  <c r="G25" i="11"/>
  <c r="F25" i="11"/>
  <c r="E25" i="11"/>
  <c r="D25" i="11"/>
  <c r="C25" i="11"/>
  <c r="B25" i="11"/>
  <c r="A25" i="11"/>
  <c r="L24" i="11"/>
  <c r="K24" i="11"/>
  <c r="J24" i="11"/>
  <c r="I24" i="11"/>
  <c r="H24" i="11"/>
  <c r="G24" i="11"/>
  <c r="F24" i="11"/>
  <c r="E24" i="11"/>
  <c r="D24" i="11"/>
  <c r="C24" i="11"/>
  <c r="B24" i="11"/>
  <c r="A24" i="11"/>
  <c r="L23" i="11"/>
  <c r="K23" i="11"/>
  <c r="J23" i="11"/>
  <c r="I23" i="11"/>
  <c r="H23" i="11"/>
  <c r="G23" i="11"/>
  <c r="F23" i="11"/>
  <c r="E23" i="11"/>
  <c r="D23" i="11"/>
  <c r="C23" i="11"/>
  <c r="B23" i="11"/>
  <c r="A23" i="11"/>
  <c r="L22" i="11"/>
  <c r="K22" i="11"/>
  <c r="J22" i="11"/>
  <c r="I22" i="11"/>
  <c r="H22" i="11"/>
  <c r="G22" i="11"/>
  <c r="F22" i="11"/>
  <c r="E22" i="11"/>
  <c r="D22" i="11"/>
  <c r="C22" i="11"/>
  <c r="B22" i="11"/>
  <c r="A22" i="11"/>
  <c r="L21" i="11"/>
  <c r="K21" i="11"/>
  <c r="J21" i="11"/>
  <c r="I21" i="11"/>
  <c r="H21" i="11"/>
  <c r="G21" i="11"/>
  <c r="F21" i="11"/>
  <c r="E21" i="11"/>
  <c r="D21" i="11"/>
  <c r="C21" i="11"/>
  <c r="B21" i="11"/>
  <c r="A21" i="11"/>
  <c r="L20" i="11"/>
  <c r="K20" i="11"/>
  <c r="J20" i="11"/>
  <c r="I20" i="11"/>
  <c r="H20" i="11"/>
  <c r="G20" i="11"/>
  <c r="F20" i="11"/>
  <c r="E20" i="11"/>
  <c r="D20" i="11"/>
  <c r="C20" i="11"/>
  <c r="B20" i="11"/>
  <c r="A20" i="11"/>
  <c r="L19" i="11"/>
  <c r="K19" i="11"/>
  <c r="J19" i="11"/>
  <c r="I19" i="11"/>
  <c r="H19" i="11"/>
  <c r="G19" i="11"/>
  <c r="F19" i="11"/>
  <c r="E19" i="11"/>
  <c r="D19" i="11"/>
  <c r="C19" i="11"/>
  <c r="B19" i="11"/>
  <c r="A19" i="11"/>
  <c r="L18" i="11"/>
  <c r="K18" i="11"/>
  <c r="J18" i="11"/>
  <c r="I18" i="11"/>
  <c r="H18" i="11"/>
  <c r="G18" i="11"/>
  <c r="F18" i="11"/>
  <c r="E18" i="11"/>
  <c r="D18" i="11"/>
  <c r="C18" i="11"/>
  <c r="B18" i="11"/>
  <c r="A18" i="11"/>
  <c r="L17" i="11"/>
  <c r="K17" i="11"/>
  <c r="J17" i="11"/>
  <c r="I17" i="11"/>
  <c r="H17" i="11"/>
  <c r="G17" i="11"/>
  <c r="F17" i="11"/>
  <c r="E17" i="11"/>
  <c r="D17" i="11"/>
  <c r="C17" i="11"/>
  <c r="B17" i="11"/>
  <c r="A17" i="11"/>
  <c r="L16" i="11"/>
  <c r="K16" i="11"/>
  <c r="J16" i="11"/>
  <c r="I16" i="11"/>
  <c r="H16" i="11"/>
  <c r="G16" i="11"/>
  <c r="F16" i="11"/>
  <c r="E16" i="11"/>
  <c r="D16" i="11"/>
  <c r="C16" i="11"/>
  <c r="B16" i="11"/>
  <c r="A16" i="11"/>
  <c r="L15" i="11"/>
  <c r="K15" i="11"/>
  <c r="J15" i="11"/>
  <c r="I15" i="11"/>
  <c r="H15" i="11"/>
  <c r="G15" i="11"/>
  <c r="F15" i="11"/>
  <c r="E15" i="11"/>
  <c r="D15" i="11"/>
  <c r="C15" i="11"/>
  <c r="B15" i="11"/>
  <c r="A15" i="11"/>
  <c r="L14" i="11"/>
  <c r="K14" i="11"/>
  <c r="J14" i="11"/>
  <c r="I14" i="11"/>
  <c r="H14" i="11"/>
  <c r="G14" i="11"/>
  <c r="F14" i="11"/>
  <c r="E14" i="11"/>
  <c r="D14" i="11"/>
  <c r="C14" i="11"/>
  <c r="B14" i="11"/>
  <c r="A14" i="11"/>
  <c r="L13" i="11"/>
  <c r="K13" i="11"/>
  <c r="J13" i="11"/>
  <c r="I13" i="11"/>
  <c r="H13" i="11"/>
  <c r="G13" i="11"/>
  <c r="F13" i="11"/>
  <c r="E13" i="11"/>
  <c r="D13" i="11"/>
  <c r="C13" i="11"/>
  <c r="B13" i="11"/>
  <c r="A13" i="11"/>
  <c r="L12" i="11"/>
  <c r="K12" i="11"/>
  <c r="J12" i="11"/>
  <c r="I12" i="11"/>
  <c r="H12" i="11"/>
  <c r="G12" i="11"/>
  <c r="F12" i="11"/>
  <c r="E12" i="11"/>
  <c r="D12" i="11"/>
  <c r="C12" i="11"/>
  <c r="B12" i="11"/>
  <c r="A12" i="11"/>
  <c r="L11" i="11"/>
  <c r="K11" i="11"/>
  <c r="J11" i="11"/>
  <c r="I11" i="11"/>
  <c r="H11" i="11"/>
  <c r="G11" i="11"/>
  <c r="F11" i="11"/>
  <c r="E11" i="11"/>
  <c r="D11" i="11"/>
  <c r="C11" i="11"/>
  <c r="B11" i="11"/>
  <c r="A11" i="11"/>
  <c r="L10" i="11"/>
  <c r="K10" i="11"/>
  <c r="J10" i="11"/>
  <c r="I10" i="11"/>
  <c r="H10" i="11"/>
  <c r="G10" i="11"/>
  <c r="F10" i="11"/>
  <c r="E10" i="11"/>
  <c r="D10" i="11"/>
  <c r="C10" i="11"/>
  <c r="B10" i="11"/>
  <c r="A10" i="11"/>
  <c r="L38" i="11"/>
  <c r="K38" i="11"/>
  <c r="J38" i="11"/>
  <c r="I38" i="11"/>
  <c r="H38" i="11"/>
  <c r="F38" i="11"/>
  <c r="D38" i="11"/>
  <c r="B38" i="11"/>
  <c r="G38" i="11"/>
  <c r="E38" i="11"/>
  <c r="C38" i="11"/>
  <c r="A38" i="11"/>
  <c r="R6" i="7"/>
  <c r="Q4" i="7"/>
  <c r="Q5" i="7" s="1"/>
  <c r="R6" i="10"/>
  <c r="Q4" i="10"/>
  <c r="Q5" i="10" s="1"/>
  <c r="P5" i="10"/>
  <c r="R6" i="8"/>
  <c r="Q4" i="8"/>
  <c r="Q5" i="8" s="1"/>
  <c r="R6" i="9"/>
  <c r="Q4" i="9"/>
  <c r="Q5" i="9" s="1"/>
  <c r="P5" i="9"/>
  <c r="S6" i="7" l="1"/>
  <c r="R4" i="7"/>
  <c r="R5" i="7" s="1"/>
  <c r="S6" i="10"/>
  <c r="R4" i="10"/>
  <c r="R5" i="10" s="1"/>
  <c r="S6" i="8"/>
  <c r="R4" i="8"/>
  <c r="R5" i="8" s="1"/>
  <c r="S6" i="9"/>
  <c r="R4" i="9"/>
  <c r="R5" i="9" s="1"/>
  <c r="T6" i="7" l="1"/>
  <c r="S4" i="7"/>
  <c r="S5" i="7" s="1"/>
  <c r="T6" i="10"/>
  <c r="S4" i="10"/>
  <c r="S5" i="10" s="1"/>
  <c r="T6" i="8"/>
  <c r="S4" i="8"/>
  <c r="S5" i="8" s="1"/>
  <c r="T6" i="9"/>
  <c r="S4" i="9"/>
  <c r="S5" i="9" s="1"/>
  <c r="U6" i="7" l="1"/>
  <c r="T4" i="7"/>
  <c r="T5" i="7" s="1"/>
  <c r="U6" i="10"/>
  <c r="T4" i="10"/>
  <c r="T5" i="10" s="1"/>
  <c r="U6" i="8"/>
  <c r="T4" i="8"/>
  <c r="T5" i="8" s="1"/>
  <c r="U6" i="9"/>
  <c r="T4" i="9"/>
  <c r="T5" i="9" s="1"/>
  <c r="V6" i="7" l="1"/>
  <c r="U4" i="7"/>
  <c r="U5" i="7" s="1"/>
  <c r="V6" i="10"/>
  <c r="U4" i="10"/>
  <c r="U5" i="10" s="1"/>
  <c r="V6" i="8"/>
  <c r="U4" i="8"/>
  <c r="U5" i="8" s="1"/>
  <c r="V6" i="9"/>
  <c r="U4" i="9"/>
  <c r="U5" i="9" s="1"/>
  <c r="W6" i="7" l="1"/>
  <c r="V4" i="7"/>
  <c r="V5" i="7" s="1"/>
  <c r="W6" i="10"/>
  <c r="V4" i="10"/>
  <c r="V5" i="10" s="1"/>
  <c r="W6" i="8"/>
  <c r="V4" i="8"/>
  <c r="V5" i="8" s="1"/>
  <c r="W6" i="9"/>
  <c r="V4" i="9"/>
  <c r="V5" i="9" s="1"/>
  <c r="X6" i="7" l="1"/>
  <c r="W4" i="7"/>
  <c r="W5" i="7" s="1"/>
  <c r="X6" i="10"/>
  <c r="W4" i="10"/>
  <c r="W5" i="10" s="1"/>
  <c r="X6" i="8"/>
  <c r="W4" i="8"/>
  <c r="W5" i="8" s="1"/>
  <c r="X6" i="9"/>
  <c r="W4" i="9"/>
  <c r="W5" i="9" s="1"/>
  <c r="Y6" i="7" l="1"/>
  <c r="X4" i="7"/>
  <c r="X5" i="7" s="1"/>
  <c r="Y6" i="10"/>
  <c r="X4" i="10"/>
  <c r="X5" i="10" s="1"/>
  <c r="Y6" i="8"/>
  <c r="X4" i="8"/>
  <c r="X5" i="8" s="1"/>
  <c r="Y6" i="9"/>
  <c r="X4" i="9"/>
  <c r="X5" i="9" s="1"/>
  <c r="Z6" i="7" l="1"/>
  <c r="Y4" i="7"/>
  <c r="Y5" i="7" s="1"/>
  <c r="Z6" i="10"/>
  <c r="Y4" i="10"/>
  <c r="Y5" i="10" s="1"/>
  <c r="Z6" i="8"/>
  <c r="Y4" i="8"/>
  <c r="Y5" i="8" s="1"/>
  <c r="Z6" i="9"/>
  <c r="Y4" i="9"/>
  <c r="Y5" i="9" s="1"/>
  <c r="AA6" i="7" l="1"/>
  <c r="Z4" i="7"/>
  <c r="Z5" i="7" s="1"/>
  <c r="AA6" i="10"/>
  <c r="Z4" i="10"/>
  <c r="Z5" i="10" s="1"/>
  <c r="AA6" i="8"/>
  <c r="Z4" i="8"/>
  <c r="Z5" i="8" s="1"/>
  <c r="AA6" i="9"/>
  <c r="Z4" i="9"/>
  <c r="Z5" i="9" s="1"/>
  <c r="AB6" i="7" l="1"/>
  <c r="AA4" i="7"/>
  <c r="AA5" i="7" s="1"/>
  <c r="AB6" i="10"/>
  <c r="AA4" i="10"/>
  <c r="AA5" i="10" s="1"/>
  <c r="AB6" i="8"/>
  <c r="AA4" i="8"/>
  <c r="AA5" i="8" s="1"/>
  <c r="AB6" i="9"/>
  <c r="AA4" i="9"/>
  <c r="AA5" i="9" s="1"/>
  <c r="AC6" i="7" l="1"/>
  <c r="AB4" i="7"/>
  <c r="AB5" i="7" s="1"/>
  <c r="AC6" i="10"/>
  <c r="AB4" i="10"/>
  <c r="AB5" i="10" s="1"/>
  <c r="AC6" i="8"/>
  <c r="AB4" i="8"/>
  <c r="AB5" i="8" s="1"/>
  <c r="AC6" i="9"/>
  <c r="AB4" i="9"/>
  <c r="AB5" i="9" s="1"/>
  <c r="AD6" i="7" l="1"/>
  <c r="AC4" i="7"/>
  <c r="AC5" i="7" s="1"/>
  <c r="AD6" i="10"/>
  <c r="AC4" i="10"/>
  <c r="AC5" i="10" s="1"/>
  <c r="AD6" i="8"/>
  <c r="AC4" i="8"/>
  <c r="AC5" i="8" s="1"/>
  <c r="AD6" i="9"/>
  <c r="AC4" i="9"/>
  <c r="AC5" i="9" s="1"/>
  <c r="AE6" i="7" l="1"/>
  <c r="AD4" i="7"/>
  <c r="AD5" i="7" s="1"/>
  <c r="AE6" i="10"/>
  <c r="AD4" i="10"/>
  <c r="AD5" i="10" s="1"/>
  <c r="AE6" i="8"/>
  <c r="AD4" i="8"/>
  <c r="AD5" i="8" s="1"/>
  <c r="AE6" i="9"/>
  <c r="AD4" i="9"/>
  <c r="AD5" i="9" s="1"/>
  <c r="AF6" i="7" l="1"/>
  <c r="AE4" i="7"/>
  <c r="AE5" i="7" s="1"/>
  <c r="AF6" i="10"/>
  <c r="AE4" i="10"/>
  <c r="AE5" i="10" s="1"/>
  <c r="AF6" i="8"/>
  <c r="AE4" i="8"/>
  <c r="AE5" i="8" s="1"/>
  <c r="AF6" i="9"/>
  <c r="AE4" i="9"/>
  <c r="AE5" i="9" s="1"/>
  <c r="AG6" i="7" l="1"/>
  <c r="AF4" i="7"/>
  <c r="AF5" i="7" s="1"/>
  <c r="AG6" i="10"/>
  <c r="AF4" i="10"/>
  <c r="AF5" i="10" s="1"/>
  <c r="AG6" i="8"/>
  <c r="AF4" i="8"/>
  <c r="AF5" i="8" s="1"/>
  <c r="AG6" i="9"/>
  <c r="AF4" i="9"/>
  <c r="AF5" i="9" s="1"/>
  <c r="AH6" i="7" l="1"/>
  <c r="AG4" i="7"/>
  <c r="AG5" i="7" s="1"/>
  <c r="AH6" i="10"/>
  <c r="AG4" i="10"/>
  <c r="AG5" i="10" s="1"/>
  <c r="AH6" i="8"/>
  <c r="AG4" i="8"/>
  <c r="AG5" i="8" s="1"/>
  <c r="AH6" i="9"/>
  <c r="AG4" i="9"/>
  <c r="AG5" i="9" s="1"/>
  <c r="AI6" i="7" l="1"/>
  <c r="AH4" i="7"/>
  <c r="AH5" i="7" s="1"/>
  <c r="AI6" i="10"/>
  <c r="AH4" i="10"/>
  <c r="AH5" i="10" s="1"/>
  <c r="AI6" i="8"/>
  <c r="AH4" i="8"/>
  <c r="AH5" i="8" s="1"/>
  <c r="AI6" i="9"/>
  <c r="AH4" i="9"/>
  <c r="AH5" i="9" s="1"/>
  <c r="AJ6" i="7" l="1"/>
  <c r="AI4" i="7"/>
  <c r="AI5" i="7" s="1"/>
  <c r="AJ6" i="10"/>
  <c r="AI4" i="10"/>
  <c r="AI5" i="10" s="1"/>
  <c r="AJ6" i="8"/>
  <c r="AI4" i="8"/>
  <c r="AI5" i="8" s="1"/>
  <c r="AJ6" i="9"/>
  <c r="AI4" i="9"/>
  <c r="AI5" i="9" s="1"/>
  <c r="AK6" i="7" l="1"/>
  <c r="AJ4" i="7"/>
  <c r="AK6" i="10"/>
  <c r="AJ4" i="10"/>
  <c r="AJ5" i="10" s="1"/>
  <c r="AK6" i="8"/>
  <c r="AJ4" i="8"/>
  <c r="AJ5" i="8" s="1"/>
  <c r="AK6" i="9"/>
  <c r="AJ4" i="9"/>
  <c r="AJ5" i="9" s="1"/>
  <c r="AL6" i="7" l="1"/>
  <c r="AK4" i="7"/>
  <c r="AK5" i="7" s="1"/>
  <c r="AJ5" i="7"/>
  <c r="AL6" i="10"/>
  <c r="AK4" i="10"/>
  <c r="AK5" i="10" s="1"/>
  <c r="AL6" i="8"/>
  <c r="AK4" i="8"/>
  <c r="AK5" i="8" s="1"/>
  <c r="AL6" i="9"/>
  <c r="AK4" i="9"/>
  <c r="AK5" i="9" s="1"/>
  <c r="AM6" i="7" l="1"/>
  <c r="AL4" i="7"/>
  <c r="AM6" i="10"/>
  <c r="AL4" i="10"/>
  <c r="AL5" i="10" s="1"/>
  <c r="AM6" i="8"/>
  <c r="AL4" i="8"/>
  <c r="AL5" i="8" s="1"/>
  <c r="AM6" i="9"/>
  <c r="AL4" i="9"/>
  <c r="AL5" i="9" s="1"/>
  <c r="AN6" i="7" l="1"/>
  <c r="AM4" i="7"/>
  <c r="AM5" i="7" s="1"/>
  <c r="AL5" i="7"/>
  <c r="AN6" i="10"/>
  <c r="AM4" i="10"/>
  <c r="AM5" i="10" s="1"/>
  <c r="AN6" i="8"/>
  <c r="AM4" i="8"/>
  <c r="AM5" i="8" s="1"/>
  <c r="AN6" i="9"/>
  <c r="AM4" i="9"/>
  <c r="AM5" i="9" s="1"/>
  <c r="AO6" i="7" l="1"/>
  <c r="AN4" i="7"/>
  <c r="AO6" i="10"/>
  <c r="AN4" i="10"/>
  <c r="AN5" i="10" s="1"/>
  <c r="AO6" i="8"/>
  <c r="AN4" i="8"/>
  <c r="AN5" i="8" s="1"/>
  <c r="AO6" i="9"/>
  <c r="AN4" i="9"/>
  <c r="AN5" i="9" s="1"/>
  <c r="AP6" i="7" l="1"/>
  <c r="AO4" i="7"/>
  <c r="AO5" i="7" s="1"/>
  <c r="AN5" i="7"/>
  <c r="AP6" i="10"/>
  <c r="AO4" i="10"/>
  <c r="AO5" i="10" s="1"/>
  <c r="AP6" i="8"/>
  <c r="AO4" i="8"/>
  <c r="AO5" i="8" s="1"/>
  <c r="AP6" i="9"/>
  <c r="AO4" i="9"/>
  <c r="AO5" i="9" s="1"/>
  <c r="AQ6" i="7" l="1"/>
  <c r="AP4" i="7"/>
  <c r="AQ6" i="10"/>
  <c r="AP4" i="10"/>
  <c r="AP5" i="10" s="1"/>
  <c r="AQ6" i="8"/>
  <c r="AP4" i="8"/>
  <c r="AP5" i="8" s="1"/>
  <c r="AQ6" i="9"/>
  <c r="AP4" i="9"/>
  <c r="AP5" i="9" s="1"/>
  <c r="AR6" i="7" l="1"/>
  <c r="AQ4" i="7"/>
  <c r="AQ5" i="7" s="1"/>
  <c r="AP5" i="7"/>
  <c r="AR6" i="10"/>
  <c r="AQ4" i="10"/>
  <c r="AQ5" i="10" s="1"/>
  <c r="AR6" i="8"/>
  <c r="AQ4" i="8"/>
  <c r="AQ5" i="8" s="1"/>
  <c r="AR6" i="9"/>
  <c r="AQ4" i="9"/>
  <c r="AQ5" i="9" s="1"/>
  <c r="AS6" i="7" l="1"/>
  <c r="AR4" i="7"/>
  <c r="AS6" i="10"/>
  <c r="AR4" i="10"/>
  <c r="AR5" i="10" s="1"/>
  <c r="AS6" i="8"/>
  <c r="AR4" i="8"/>
  <c r="AR5" i="8" s="1"/>
  <c r="AS6" i="9"/>
  <c r="AR4" i="9"/>
  <c r="AR5" i="9" s="1"/>
  <c r="AT6" i="7" l="1"/>
  <c r="AS4" i="7"/>
  <c r="AS5" i="7" s="1"/>
  <c r="AR5" i="7"/>
  <c r="AS4" i="10"/>
  <c r="AS5" i="10" s="1"/>
  <c r="AT6" i="10"/>
  <c r="AT6" i="8"/>
  <c r="AS4" i="8"/>
  <c r="AS5" i="8" s="1"/>
  <c r="AT6" i="9"/>
  <c r="AS4" i="9"/>
  <c r="AS5" i="9" s="1"/>
  <c r="AU6" i="7" l="1"/>
  <c r="AT4" i="7"/>
  <c r="AU6" i="10"/>
  <c r="AT4" i="10"/>
  <c r="AT5" i="10" s="1"/>
  <c r="AU6" i="8"/>
  <c r="AT4" i="8"/>
  <c r="AT5" i="8" s="1"/>
  <c r="AT4" i="9"/>
  <c r="AT5" i="9" s="1"/>
  <c r="AU6" i="9"/>
  <c r="AV6" i="7" l="1"/>
  <c r="AU4" i="7"/>
  <c r="AU5" i="7" s="1"/>
  <c r="AT5" i="7"/>
  <c r="AV6" i="10"/>
  <c r="AU4" i="10"/>
  <c r="AU5" i="10" s="1"/>
  <c r="AV6" i="8"/>
  <c r="AU4" i="8"/>
  <c r="AU5" i="8" s="1"/>
  <c r="AV6" i="9"/>
  <c r="AU4" i="9"/>
  <c r="AU5" i="9" s="1"/>
  <c r="AW6" i="7" l="1"/>
  <c r="AV4" i="7"/>
  <c r="AV4" i="10"/>
  <c r="AV5" i="10" s="1"/>
  <c r="AW6" i="10"/>
  <c r="AW6" i="8"/>
  <c r="AV4" i="8"/>
  <c r="AV5" i="8" s="1"/>
  <c r="AV4" i="9"/>
  <c r="AV5" i="9" s="1"/>
  <c r="AW6" i="9"/>
  <c r="AX6" i="7" l="1"/>
  <c r="AW4" i="7"/>
  <c r="AW5" i="7" s="1"/>
  <c r="AV5" i="7"/>
  <c r="AX6" i="10"/>
  <c r="AW4" i="10"/>
  <c r="AW5" i="10" s="1"/>
  <c r="AX6" i="8"/>
  <c r="AW4" i="8"/>
  <c r="AW5" i="8" s="1"/>
  <c r="AX6" i="9"/>
  <c r="AW4" i="9"/>
  <c r="AW5" i="9" s="1"/>
  <c r="AY6" i="7" l="1"/>
  <c r="AX4" i="7"/>
  <c r="AY6" i="10"/>
  <c r="AX4" i="10"/>
  <c r="AX5" i="10" s="1"/>
  <c r="AY6" i="8"/>
  <c r="AX4" i="8"/>
  <c r="AX5" i="8" s="1"/>
  <c r="AX4" i="9"/>
  <c r="AX5" i="9" s="1"/>
  <c r="AY6" i="9"/>
  <c r="AZ6" i="7" l="1"/>
  <c r="AY4" i="7"/>
  <c r="AX5" i="7"/>
  <c r="AZ6" i="10"/>
  <c r="AY4" i="10"/>
  <c r="AY5" i="10" s="1"/>
  <c r="AZ6" i="8"/>
  <c r="AY4" i="8"/>
  <c r="AY5" i="8" s="1"/>
  <c r="AZ6" i="9"/>
  <c r="AY4" i="9"/>
  <c r="AY5" i="9" s="1"/>
  <c r="BA6" i="7" l="1"/>
  <c r="AZ4" i="7"/>
  <c r="AZ4" i="10"/>
  <c r="AZ5" i="10" s="1"/>
  <c r="BA6" i="10"/>
  <c r="BA6" i="8"/>
  <c r="AZ4" i="8"/>
  <c r="AZ5" i="8" s="1"/>
  <c r="AZ4" i="9"/>
  <c r="AZ5" i="9" s="1"/>
  <c r="BA6" i="9"/>
  <c r="AY5" i="7"/>
  <c r="BB6" i="7" l="1"/>
  <c r="BA4" i="7"/>
  <c r="BB6" i="10"/>
  <c r="BA4" i="10"/>
  <c r="BA5" i="10" s="1"/>
  <c r="BB6" i="8"/>
  <c r="BA4" i="8"/>
  <c r="BA5" i="8" s="1"/>
  <c r="BB6" i="9"/>
  <c r="BA4" i="9"/>
  <c r="BA5" i="9" s="1"/>
  <c r="AZ5" i="7"/>
  <c r="BC6" i="7" l="1"/>
  <c r="BB4" i="7"/>
  <c r="BB4" i="10"/>
  <c r="BB5" i="10" s="1"/>
  <c r="BC6" i="10"/>
  <c r="BC6" i="8"/>
  <c r="BB4" i="8"/>
  <c r="BB5" i="8" s="1"/>
  <c r="BB4" i="9"/>
  <c r="BB5" i="9" s="1"/>
  <c r="BC6" i="9"/>
  <c r="BA5" i="7"/>
  <c r="BD6" i="7" l="1"/>
  <c r="BC4" i="7"/>
  <c r="BD6" i="10"/>
  <c r="BC4" i="10"/>
  <c r="BC5" i="10" s="1"/>
  <c r="BD6" i="8"/>
  <c r="BC4" i="8"/>
  <c r="BC5" i="8" s="1"/>
  <c r="BD6" i="9"/>
  <c r="BC4" i="9"/>
  <c r="BC5" i="9" s="1"/>
  <c r="BB5" i="7"/>
  <c r="BE6" i="7" l="1"/>
  <c r="BD4" i="7"/>
  <c r="BD4" i="10"/>
  <c r="BD5" i="10" s="1"/>
  <c r="BE6" i="10"/>
  <c r="BE6" i="8"/>
  <c r="BD4" i="8"/>
  <c r="BD5" i="8" s="1"/>
  <c r="BD4" i="9"/>
  <c r="BD5" i="9" s="1"/>
  <c r="BE6" i="9"/>
  <c r="BC5" i="7"/>
  <c r="BF6" i="7" l="1"/>
  <c r="BE4" i="7"/>
  <c r="BF6" i="10"/>
  <c r="BE4" i="10"/>
  <c r="BE5" i="10" s="1"/>
  <c r="BF6" i="8"/>
  <c r="BE4" i="8"/>
  <c r="BE5" i="8" s="1"/>
  <c r="BF6" i="9"/>
  <c r="BE4" i="9"/>
  <c r="BE5" i="9" s="1"/>
  <c r="BD5" i="7"/>
  <c r="BG6" i="7" l="1"/>
  <c r="BF4" i="7"/>
  <c r="BF4" i="10"/>
  <c r="BF5" i="10" s="1"/>
  <c r="BG6" i="10"/>
  <c r="BG6" i="8"/>
  <c r="BF4" i="8"/>
  <c r="BF5" i="8" s="1"/>
  <c r="BF4" i="9"/>
  <c r="BF5" i="9" s="1"/>
  <c r="BG6" i="9"/>
  <c r="BE5" i="7"/>
  <c r="BH6" i="7" l="1"/>
  <c r="BG4" i="7"/>
  <c r="BH6" i="10"/>
  <c r="BG4" i="10"/>
  <c r="BG5" i="10" s="1"/>
  <c r="BH6" i="8"/>
  <c r="BG4" i="8"/>
  <c r="BG5" i="8" s="1"/>
  <c r="BH6" i="9"/>
  <c r="BG4" i="9"/>
  <c r="BG5" i="9" s="1"/>
  <c r="BF5" i="7"/>
  <c r="BI6" i="7" l="1"/>
  <c r="BH4" i="7"/>
  <c r="BH4" i="10"/>
  <c r="BH5" i="10" s="1"/>
  <c r="BI6" i="10"/>
  <c r="BI6" i="8"/>
  <c r="BH4" i="8"/>
  <c r="BH5" i="8" s="1"/>
  <c r="BH4" i="9"/>
  <c r="BH5" i="9" s="1"/>
  <c r="BI6" i="9"/>
  <c r="BG5" i="7"/>
  <c r="BJ6" i="7" l="1"/>
  <c r="BJ4" i="7" s="1"/>
  <c r="BI4" i="7"/>
  <c r="BJ6" i="10"/>
  <c r="BJ4" i="10" s="1"/>
  <c r="BI4" i="10"/>
  <c r="BI5" i="10" s="1"/>
  <c r="BJ6" i="8"/>
  <c r="BJ4" i="8" s="1"/>
  <c r="BI4" i="8"/>
  <c r="BI5" i="8" s="1"/>
  <c r="BJ6" i="9"/>
  <c r="BJ4" i="9" s="1"/>
  <c r="BI4" i="9"/>
  <c r="BI5" i="9" s="1"/>
  <c r="BH5" i="7"/>
  <c r="A3" i="7" l="1"/>
  <c r="B6" i="3"/>
  <c r="BJ5" i="7"/>
  <c r="B6" i="6"/>
  <c r="A3" i="10"/>
  <c r="BJ5" i="10"/>
  <c r="A3" i="8"/>
  <c r="B6" i="4"/>
  <c r="BJ5" i="8"/>
  <c r="B6" i="5"/>
  <c r="A3" i="9"/>
  <c r="BJ5" i="9"/>
  <c r="BI5" i="7"/>
  <c r="L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5" authorId="0" shapeId="0" xr:uid="{00000000-0006-0000-0100-000001000000}">
      <text>
        <r>
          <rPr>
            <sz val="10"/>
            <rFont val="FreeSans"/>
            <family val="2"/>
          </rPr>
          <t>⚠️ توزيع مبدئي مؤقت للأطفال المستوردين من ملفك (معرفناش فصل كل طفل). عدّله من القايمة المنسدلة</t>
        </r>
        <r>
          <rPr>
            <sz val="10"/>
            <rFont val="Arial"/>
            <family val="2"/>
          </rPr>
          <t>.</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futureMetadata>
  <valueMetadata count="5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valueMetadata>
</metadata>
</file>

<file path=xl/sharedStrings.xml><?xml version="1.0" encoding="utf-8"?>
<sst xmlns="http://schemas.openxmlformats.org/spreadsheetml/2006/main" count="553" uniqueCount="283">
  <si>
    <t>🌱 خدمة براعم — نظام الافتقاد والحضور</t>
  </si>
  <si>
    <t>🧭 التنقل السريع</t>
  </si>
  <si>
    <t>📌 نظرة عامة</t>
  </si>
  <si>
    <t>👶 إجمالي الأطفال</t>
  </si>
  <si>
    <t>👦 أولاد</t>
  </si>
  <si>
    <t>👧 بنات</t>
  </si>
  <si>
    <t>📈 نسبة الحضور العامة</t>
  </si>
  <si>
    <t>⚠️ محتاجين افتقاد</t>
  </si>
  <si>
    <t>🗓️ آخر جمعة مسجلة</t>
  </si>
  <si>
    <t>📊 ملخص الفصول</t>
  </si>
  <si>
    <t>الفصل</t>
  </si>
  <si>
    <t>الأطفال</t>
  </si>
  <si>
    <t>أولاد</t>
  </si>
  <si>
    <t>بنات</t>
  </si>
  <si>
    <t>نسبة الحضور</t>
  </si>
  <si>
    <t>محتاجين افتقاد</t>
  </si>
  <si>
    <t>حالة السعة</t>
  </si>
  <si>
    <t>الإجمالي</t>
  </si>
  <si>
    <t>📋 قاعدة بيانات الأطفال</t>
  </si>
  <si>
    <t>✍️ اكتب بيانات الطفل في أول صف فاضي (الخانات البيضاء من «الاسم» لـ «الحالة») — الأعمدة الرمادية الغامقة بتتحسب لوحدها.   الطفل بيظهر أوتوماتيك في كارت فصله وفي قايمة الحضور.   ⚠️ ماتمسحش صفوف ولا تعمل Sort — استخدم «غير نشط».</t>
  </si>
  <si>
    <t>م</t>
  </si>
  <si>
    <t>الكود</t>
  </si>
  <si>
    <t>الاسم</t>
  </si>
  <si>
    <t>النوع</t>
  </si>
  <si>
    <t>السنة الدراسية</t>
  </si>
  <si>
    <t>الفصل (الملاك)</t>
  </si>
  <si>
    <t>يروح لوحده؟</t>
  </si>
  <si>
    <t>رقم الأم</t>
  </si>
  <si>
    <t>رقم الأب</t>
  </si>
  <si>
    <t>العنوان</t>
  </si>
  <si>
    <t>الصورة 📷</t>
  </si>
  <si>
    <t>ملاحظات</t>
  </si>
  <si>
    <t>الحالة</t>
  </si>
  <si>
    <t>مفتاح</t>
  </si>
  <si>
    <t>ترتيب</t>
  </si>
  <si>
    <t>حضور ✅</t>
  </si>
  <si>
    <t>غياب ❌</t>
  </si>
  <si>
    <t>النسبة</t>
  </si>
  <si>
    <t>غياب متتالي</t>
  </si>
  <si>
    <t>آخر حضور</t>
  </si>
  <si>
    <t>حالة الحضور</t>
  </si>
  <si>
    <t>tier</t>
  </si>
  <si>
    <t>فهرس</t>
  </si>
  <si>
    <t>ولد</t>
  </si>
  <si>
    <t>سنة أولى</t>
  </si>
  <si>
    <t>سوريال</t>
  </si>
  <si>
    <t>نشط</t>
  </si>
  <si>
    <t>بنت</t>
  </si>
  <si>
    <t>غبريال</t>
  </si>
  <si>
    <t>سنة تانية</t>
  </si>
  <si>
    <t>رفائيل</t>
  </si>
  <si>
    <t>ميخائيل</t>
  </si>
  <si>
    <t>👶 عدد الأطفال</t>
  </si>
  <si>
    <t>👦 أولاد   |   👧 بنات</t>
  </si>
  <si>
    <t>📈 متوسط حضور الفصل</t>
  </si>
  <si>
    <t>اضغط على الخانة واختار:   ح = حاضر   |   غ = غائب   |   ع = معتذر (بعذر)</t>
  </si>
  <si>
    <t>← كل عمود = اجتماع أسبوعي واحد. العمود المميّز بالذهبي = اجتماع الأسبوع ده.</t>
  </si>
  <si>
    <t>👥 عدد الحاضرين في الاجتماع</t>
  </si>
  <si>
    <t>📈 نسبة الحضور في الاجتماع</t>
  </si>
  <si>
    <t>بعذر 🟠</t>
  </si>
  <si>
    <t>📞 قايمة الافتقاد</t>
  </si>
  <si>
    <t>القايمة بتتحدّث أوتوماتيك من الحضور. اضغط على الرقم للاتصال، أو واتساب للمراسلة.</t>
  </si>
  <si>
    <t>واتساب الأم</t>
  </si>
  <si>
    <t>واتساب الأب</t>
  </si>
  <si>
    <t>⚙️ الإعدادات</t>
  </si>
  <si>
    <t>الفصول (الملائكة)</t>
  </si>
  <si>
    <t>نعم/لا</t>
  </si>
  <si>
    <t>الأيام</t>
  </si>
  <si>
    <t>الحضور</t>
  </si>
  <si>
    <t>فصل 1</t>
  </si>
  <si>
    <t>نعم</t>
  </si>
  <si>
    <t>الأحد</t>
  </si>
  <si>
    <t>ح</t>
  </si>
  <si>
    <t>فصل 2</t>
  </si>
  <si>
    <t>لا</t>
  </si>
  <si>
    <t>غير نشط</t>
  </si>
  <si>
    <t>الاثنين</t>
  </si>
  <si>
    <t>غ</t>
  </si>
  <si>
    <t>فصل 3</t>
  </si>
  <si>
    <t>سنة تالتة</t>
  </si>
  <si>
    <t>الثلاثاء</t>
  </si>
  <si>
    <t>ع</t>
  </si>
  <si>
    <t>فصل 4</t>
  </si>
  <si>
    <t>سنة رابعة</t>
  </si>
  <si>
    <t>الأربعاء</t>
  </si>
  <si>
    <t>⚠️ ماتغيّرش أسماء الفصول بعد ما تبدأ تسجّل أطفال (الأسماء دي هي اللي بيتربط بيها الأطفال).</t>
  </si>
  <si>
    <t>سنة خامسة</t>
  </si>
  <si>
    <t>الخميس</t>
  </si>
  <si>
    <t>التواريخ والحضور</t>
  </si>
  <si>
    <t>سنة سادسة</t>
  </si>
  <si>
    <t>الجمعة</t>
  </si>
  <si>
    <t>بداية العام الخدمي</t>
  </si>
  <si>
    <t>السبت</t>
  </si>
  <si>
    <t>نهاية العام الخدمي</t>
  </si>
  <si>
    <t>يوم الاجتماع</t>
  </si>
  <si>
    <t>رقم اليوم (تلقائي)</t>
  </si>
  <si>
    <t>أول اجتماع (تلقائي)</t>
  </si>
  <si>
    <t>حدود التقييم</t>
  </si>
  <si>
    <t>القوائم المنسدلة بتتاخد من هنا — ضيف سنة جديدة في الخانات الفاضية.</t>
  </si>
  <si>
    <t>نسبة حضور «ممتاز» من</t>
  </si>
  <si>
    <t>نسبة حضور «جيد» من</t>
  </si>
  <si>
    <t>غياب متتالي = افتقاد ضروري من</t>
  </si>
  <si>
    <t>سعة كل فصل: 30 طفل (متضبطة في تصميم الكروت وقوايم الحضور).</t>
  </si>
  <si>
    <t>الخانات الصفراء = إدخال (بالأزرق). الرمادي = تلقائي.</t>
  </si>
  <si>
    <t>الجمع المسجلة بتتحسب من تاريخ البداية لحد النهاية — 53 اجتماع كحد أقصى.</t>
  </si>
  <si>
    <t>📖 دليل الاستخدام</t>
  </si>
  <si>
    <t>➕ إضافة طفل جديد</t>
  </si>
  <si>
    <t>اضغط زرار «إضافة طفل جديد» (موجود في كل صفحة) — هياخدك لأول صف فاضي في «قاعدة البيانات». اكتب الاسم، النوع، السنة، الفصل، التليفونات… الطفل بيظهر لوحده في كارت فصله وقايمة الحضور وإحصائيات الصفحة الرئيسية.</t>
  </si>
  <si>
    <t>🪪 كروت الأطفال</t>
  </si>
  <si>
    <t>كل فصل ليه صفحة «فصل …» فيها كارت لكل طفل: الاسم والصورة والتليفونات (اضغط الرقم = اتصال، واتساب = رسالة) وإحصائيات الحضور وحالته.</t>
  </si>
  <si>
    <t>📷 إضافة صورة الطفل</t>
  </si>
  <si>
    <t>في «قاعدة البيانات» اضغط خانة «الصورة» للطفل ← Insert ← Pictures ← Place in Cell (Excel 365). الصورة بتظهر أوتوماتيك في كارته. من غير صورة بيظهر أول حرف من الاسم بلون حسب النوع.</t>
  </si>
  <si>
    <t>📅 تسجيل الحضور</t>
  </si>
  <si>
    <t>افتح «حضور …» للفصل، واضغط على خانة الطفل في عمود الاجتماع واختار: ح = حاضر، غ = غائب، ع = معتذر. الألوان والنسب والإحصائيات بتتحسب لوحدها. عمود اجتماع الأسبوع ده بيتلوّن ذهبي.</t>
  </si>
  <si>
    <t>📞 الافتقاد</t>
  </si>
  <si>
    <t>صفحة «الافتقاد» بتجمّع أوتوماتيك الأطفال اللي نسبة حضورهم قليلة أو غايبين اجتماعات ورا بعض، ومعاهم أزرار الاتصال والواتساب للأم والأب. حدود التقييم بتتغيّر من «الإعدادات».</t>
  </si>
  <si>
    <t>⚠️ قواعد مهمة</t>
  </si>
  <si>
    <t>1) ماتمسحش صف من «قاعدة البيانات» ولا تعمل Sort — لو الطفل مشي غيّر حالته لـ «غير نشط».  2) ماتغيّرش فصل طفل بعد ما يبدأ الحضور (مكانه في القايمة بيتحدد بترتيبه في الفصل).  3) أرقام الموبايل 11 رقم تبدأ بـ 01.  4) السعة 30 طفل لكل فصل.</t>
  </si>
  <si>
    <t>🔒 الحماية</t>
  </si>
  <si>
    <t>الصفحات محمية بدون باسورد عشان ماتتمسحش المعادلات بالغلط. لو عايز تعدّل التصميم: Review ← Unprotect Sheet.</t>
  </si>
  <si>
    <t>🔁 تحديد فصول الأطفال</t>
  </si>
  <si>
    <t>الفصول للأطفال المستوردين من ملفك الأصلي اتوزعت مبدئيًا (مؤقت) — راجعها وعدّلها من عمود «الفصل» في قاعدة البيانات.</t>
  </si>
  <si>
    <t>توماس صابر صبحى</t>
  </si>
  <si>
    <t>سيلينا رامي رومانى</t>
  </si>
  <si>
    <t>روبن عبد المسيح رافت</t>
  </si>
  <si>
    <t>جوى جورج ثابت</t>
  </si>
  <si>
    <t>بارثينيا رامز منير شفيق</t>
  </si>
  <si>
    <t>مينا رفيق زكريا عبد الشهيد</t>
  </si>
  <si>
    <t>بولا غالى توفيق</t>
  </si>
  <si>
    <t>ماري جرجس اسحق عطا الله</t>
  </si>
  <si>
    <t>بيشوى سمير ميخائيل فيلته</t>
  </si>
  <si>
    <t>دانييلا توفيق شوقي</t>
  </si>
  <si>
    <t>بولا ابانوب كرم شلبى</t>
  </si>
  <si>
    <t>دولوريس جوزيف رزق الله</t>
  </si>
  <si>
    <t>جاستن مينا عبد السيد عطيه</t>
  </si>
  <si>
    <t>جانا عبادى يوسف عبادى</t>
  </si>
  <si>
    <t>يوسف ميلاد رسمى بقطر</t>
  </si>
  <si>
    <t>ايرينى ريمون حنا</t>
  </si>
  <si>
    <t>يوستينا سامي عريان سامى فرج</t>
  </si>
  <si>
    <t>مارتينوس مايكل ميشيل</t>
  </si>
  <si>
    <t>جونير بسام نصرى مكرم</t>
  </si>
  <si>
    <t>مريم عماد زارع</t>
  </si>
  <si>
    <t>ماروسكا ميشيل ثروت</t>
  </si>
  <si>
    <t>بيرلا مايكل خليل</t>
  </si>
  <si>
    <t>مورين مينا عوض</t>
  </si>
  <si>
    <t>كارين وليم منير</t>
  </si>
  <si>
    <t>01271325124</t>
  </si>
  <si>
    <t>01286806532</t>
  </si>
  <si>
    <t>01227832577</t>
  </si>
  <si>
    <t>01228872241</t>
  </si>
  <si>
    <t>01270484412</t>
  </si>
  <si>
    <t>01287449133</t>
  </si>
  <si>
    <t>01201247688</t>
  </si>
  <si>
    <t>01201652497</t>
  </si>
  <si>
    <t>01208183104</t>
  </si>
  <si>
    <t>01289871210</t>
  </si>
  <si>
    <t>01225620289</t>
  </si>
  <si>
    <t>01284105321</t>
  </si>
  <si>
    <t>01205976098</t>
  </si>
  <si>
    <t>01273654595</t>
  </si>
  <si>
    <t>01210019391</t>
  </si>
  <si>
    <t>01221026225</t>
  </si>
  <si>
    <t>01270302120</t>
  </si>
  <si>
    <t>01224857003</t>
  </si>
  <si>
    <t>01273998657</t>
  </si>
  <si>
    <t>01206191722</t>
  </si>
  <si>
    <t>01206111792</t>
  </si>
  <si>
    <t>01210949273</t>
  </si>
  <si>
    <t>01227989278</t>
  </si>
  <si>
    <t>01227429046</t>
  </si>
  <si>
    <t>01221561038</t>
  </si>
  <si>
    <t>01206588362</t>
  </si>
  <si>
    <t>01221363758</t>
  </si>
  <si>
    <t>01277561044</t>
  </si>
  <si>
    <t>58 شارع ترعة حمزة - شقة 6 الدور 3 - يمين السلم</t>
  </si>
  <si>
    <t>115 أ ابراج الاصاله امام الصحة - الدور ال 12 الشقة اللي علي اليمين - براج الاصاله امام الصحة الدور ال 12 الشقه على اليمين 
اول عمارة على الشمال</t>
  </si>
  <si>
    <t>8 شارع محمد مغاورى - شقة 5 الدور 5 - من شارع البشري / الشارع اللى قدام محل بيبو</t>
  </si>
  <si>
    <t>5 شارع البشرى المليحة - صيدلية ميشيل</t>
  </si>
  <si>
    <t>19 شارع عزبة الرشيدى - الدور 7 - عزبه النخل / 19 رشدى نساك</t>
  </si>
  <si>
    <t>2 شارع فايز مترى -  شقة 1 - الأرضي / مجدى البقال</t>
  </si>
  <si>
    <t>25 شارع عبد الشافى حسن</t>
  </si>
  <si>
    <t>4 شارع روفائيل سليمان -  شقة 85 الدور 11 - امام الاسانسير</t>
  </si>
  <si>
    <t>10 شارع عطوه حسن - شقة 4 الدور 4</t>
  </si>
  <si>
    <t>8 شارع عبد العاطى احمد عليوة -  شقة 3 الدور 3 - متفرع من شارع جوجو</t>
  </si>
  <si>
    <t>2 شارع محمد عبد الله سلام - شقة 6 الدور 2 - منطقة 2</t>
  </si>
  <si>
    <t>26 شارع أحمد رفاعى -  شقة 6 الدور 6</t>
  </si>
  <si>
    <t>1 شارع على ابو عيش - شقة 1 الدور 2 - عماره المقله</t>
  </si>
  <si>
    <t>5 شارع المدارس - الارضي - الارضى</t>
  </si>
  <si>
    <t>2 شارع فايز مترى - شقة 5 الدور 3 - يمين / مجدى البقال</t>
  </si>
  <si>
    <t>24 شارع مرزق مرزوق الدور 2</t>
  </si>
  <si>
    <t>10 شارع عطية عبد اللطيف - شقة 2 الدور 2</t>
  </si>
  <si>
    <t>13 شارع منطقة أ - شقة 1 الدور 1</t>
  </si>
  <si>
    <t>843 شارع بورسعيد - شقة 4 الدور 2 - مدخل الشونة</t>
  </si>
  <si>
    <t>44 شارع ترعة حمزة - شقة 1 الدور 3 - فوق صيدليه عماد بعد الارضى الشقة شمال السلم</t>
  </si>
  <si>
    <t>4 شارع خاتم المرسلين - الدور 5</t>
  </si>
  <si>
    <t>3 شارع عمرو عبد العزيز - شقة 1 الدور 1</t>
  </si>
  <si>
    <t>23 شارع أحمد رفاعى -  شقة 1 - الارضى - مورين و انجى مع عائلة الجد مكرم حبيب بقطر فى نفس الشقة</t>
  </si>
  <si>
    <t>3 شارع قباء -  شقة 3 الدور 3 - اخر مختار اباظة - قباء</t>
  </si>
  <si>
    <t>بارثينيا اسحق جرجس نادى</t>
  </si>
  <si>
    <t>ادم يوسف يعقوب فهمى عزيز</t>
  </si>
  <si>
    <t>ميرا هاني ظريف فوزى</t>
  </si>
  <si>
    <t>ماريا هانى مكرم نصيف</t>
  </si>
  <si>
    <t>بافلى سلامه سليمان</t>
  </si>
  <si>
    <t>سامي سامح سامي جاد الله</t>
  </si>
  <si>
    <t>بافلى بيشوى جرجس جندى</t>
  </si>
  <si>
    <t>يؤانا دميان جمال</t>
  </si>
  <si>
    <t>مارسيلينو جرجس روماني حبيب</t>
  </si>
  <si>
    <t>جاسيكا صموئيل شكر الله</t>
  </si>
  <si>
    <t>باتريك بولا عطا الله</t>
  </si>
  <si>
    <t>كنده بيشوي سامي</t>
  </si>
  <si>
    <t>إيلاريا أمير رسمي مراد</t>
  </si>
  <si>
    <t>بولا ميشيل رزق يوسف</t>
  </si>
  <si>
    <t>كريس فيكتور الشحات</t>
  </si>
  <si>
    <t>مريم نادر امين يعقوب حنا</t>
  </si>
  <si>
    <t>كيريا مدحت كمال قاعود</t>
  </si>
  <si>
    <t>تونی رومانی فخرى فرهود</t>
  </si>
  <si>
    <t>مارتسيا سامح ميلاد</t>
  </si>
  <si>
    <t>ماثيو مينا مجدى</t>
  </si>
  <si>
    <t>كاراس سمير توفيق شفيق</t>
  </si>
  <si>
    <t>روفانيو مينا ناجى</t>
  </si>
  <si>
    <t>مارك مايكل نبيل نجيب</t>
  </si>
  <si>
    <t>01277715819</t>
  </si>
  <si>
    <t>01280605823</t>
  </si>
  <si>
    <t>01200977582</t>
  </si>
  <si>
    <t>01211025572</t>
  </si>
  <si>
    <t>01283850844</t>
  </si>
  <si>
    <t>01280039813</t>
  </si>
  <si>
    <t>01020032613</t>
  </si>
  <si>
    <t>01284074874</t>
  </si>
  <si>
    <t>01204337555</t>
  </si>
  <si>
    <t>01201002104</t>
  </si>
  <si>
    <t>01287124772</t>
  </si>
  <si>
    <t>01227395565</t>
  </si>
  <si>
    <t>01208403031</t>
  </si>
  <si>
    <t>01220413105</t>
  </si>
  <si>
    <t>01286886002</t>
  </si>
  <si>
    <t>01287576432</t>
  </si>
  <si>
    <t>01224717891</t>
  </si>
  <si>
    <t>01279057492</t>
  </si>
  <si>
    <t>01202234121</t>
  </si>
  <si>
    <t>01287025522</t>
  </si>
  <si>
    <t>01094784210</t>
  </si>
  <si>
    <t>01284238840</t>
  </si>
  <si>
    <t>01201432926</t>
  </si>
  <si>
    <t>01211025537</t>
  </si>
  <si>
    <t>01283970133</t>
  </si>
  <si>
    <t>01223222833</t>
  </si>
  <si>
    <t>01285721261</t>
  </si>
  <si>
    <t>01272167444</t>
  </si>
  <si>
    <t>01283206525</t>
  </si>
  <si>
    <t>01277714878</t>
  </si>
  <si>
    <t>01201682184</t>
  </si>
  <si>
    <t>01060867397</t>
  </si>
  <si>
    <t>01206016411</t>
  </si>
  <si>
    <t>01227021759</t>
  </si>
  <si>
    <t>01206387683</t>
  </si>
  <si>
    <t>01276392214</t>
  </si>
  <si>
    <t>01201449110</t>
  </si>
  <si>
    <t>01202730132</t>
  </si>
  <si>
    <t>5 شارع صليب نخلة، المليحة، حدائق القبة، القاهرة؛ شقة 9، الدور 2</t>
  </si>
  <si>
    <t>7 شارع حامد رضوان، المليحة، حدائق القبة، القاهرة؛ شقة 8، الدور 5</t>
  </si>
  <si>
    <t>20 شارع محمد علي خليل، المليحة، حدائق القبة، القاهرة؛ شقة 8، الدور 4</t>
  </si>
  <si>
    <t>20 شارع عاصم، المليحة، حدائق القبة، القاهرة؛ شقة 7، الدور 7</t>
  </si>
  <si>
    <t>23 شارع عبد الرحمن السني، عمار بن ياسر، العمرانية، الجيزة؛ شقة 5، الدور 3</t>
  </si>
  <si>
    <t>3 شارع نصر الدين محمد، المليحة، حدائق القبة، القاهرة؛ شقة 11، الدور 4</t>
  </si>
  <si>
    <t>23 شارع عاصم، المليحة، حدائق القبة، القاهرة؛ الدور 3</t>
  </si>
  <si>
    <t>16 شارع فضل دير الملاك، حدائق القبة، القاهرة؛ شقة 15، الدور 9</t>
  </si>
  <si>
    <t>18 شارع أحمد محمد فرج، منطقة 5، المليحة، حدائق القبة، القاهرة؛ شقة 1، الدور 4</t>
  </si>
  <si>
    <t>7 شارع أبو طه، متفرع من الفريد، عزبة النخل، القاهرة؛ شقة 2، الدور 3</t>
  </si>
  <si>
    <t>22 شارع دياب فهمي، المليحة، حدائق القبة، القاهرة؛ الدور 4</t>
  </si>
  <si>
    <t>17 شارع صليب نخلة، المليحة، حدائق القبة، القاهرة؛ شقة 2، الدور 2</t>
  </si>
  <si>
    <t>11 شارع محمود سامي عامر، المليحة، حدائق القبة، القاهرة؛ الدور 6</t>
  </si>
  <si>
    <t>17 شارع أحمد رشاد، النزهة، الإسكندرية؛ شقة 21، الدور 6</t>
  </si>
  <si>
    <t>24 شارع سعيد علي أحمد، المليحة، حدائق القبة، القاهرة</t>
  </si>
  <si>
    <t>3 شارع حسين العقبى، المليحة، حدائق القبة، القاهرة؛ الدور 4</t>
  </si>
  <si>
    <t>22 شارع علي شعراوي، المليحة، حدائق القبة، القاهرة؛ الدور 2، شقة 8</t>
  </si>
  <si>
    <t>15 شارع فوزي كيرلس، منطقة 5، المليحة، حدائق القبة، القاهرة؛ الدور 4</t>
  </si>
  <si>
    <t>12 شارع روفائيل سليمان، المليحة، حدائق القبة، القاهرة؛ شقة 12، الدور 12</t>
  </si>
  <si>
    <t>30 شارع دياب فهمي، المليحة، حدائق القبة، القاهرة؛ شقة 7، الدور 4</t>
  </si>
  <si>
    <t>39 شارع الحضانة رقم أول مكرر، عزبة منصور، شبرا الخيمة، القليوبية</t>
  </si>
  <si>
    <t>863 شارع بورسعيد، المليحة، حدائق القبة، القاهرة؛ الدور الأرضي شمال السلم</t>
  </si>
  <si>
    <t>فيرينا مينا عجايبي يوسف سعد</t>
  </si>
  <si>
    <t xml:space="preserve">13 شارع الشيخ المنفلوطي، المليحة، حدائق القبة، القاهرة؛ الدور 8، شقة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</si>
</sst>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d/mm"/>
  </numFmts>
  <fonts count="71">
    <font>
      <sz val="11"/>
      <color theme="1"/>
      <name val="Calibri"/>
      <family val="2"/>
      <charset val="1"/>
    </font>
    <font>
      <sz val="11"/>
      <color theme="1"/>
      <name val="Calibri"/>
      <family val="2"/>
      <scheme val="minor"/>
    </font>
    <font>
      <b/>
      <sz val="26"/>
      <color rgb="FFFFFFFF"/>
      <name val="Arial"/>
      <charset val="1"/>
    </font>
    <font>
      <b/>
      <sz val="11"/>
      <color rgb="FFFFFFFF"/>
      <name val="Arial"/>
      <charset val="1"/>
    </font>
    <font>
      <b/>
      <sz val="13"/>
      <color rgb="FF1F2A44"/>
      <name val="Arial"/>
      <charset val="1"/>
    </font>
    <font>
      <b/>
      <sz val="13"/>
      <color rgb="FFFFFFFF"/>
      <name val="Arial"/>
      <charset val="1"/>
    </font>
    <font>
      <b/>
      <sz val="12"/>
      <color rgb="FFFFFFFF"/>
      <name val="Arial"/>
      <charset val="1"/>
    </font>
    <font>
      <b/>
      <sz val="10"/>
      <color rgb="FFFFFFFF"/>
      <name val="Arial"/>
      <charset val="1"/>
    </font>
    <font>
      <b/>
      <sz val="24"/>
      <color rgb="FF1F2A44"/>
      <name val="Arial"/>
      <charset val="1"/>
    </font>
    <font>
      <b/>
      <sz val="24"/>
      <color rgb="FF3B82C4"/>
      <name val="Arial"/>
      <charset val="1"/>
    </font>
    <font>
      <b/>
      <sz val="24"/>
      <color rgb="FFD6589F"/>
      <name val="Arial"/>
      <charset val="1"/>
    </font>
    <font>
      <b/>
      <sz val="24"/>
      <color rgb="FF1E9E4A"/>
      <name val="Arial"/>
      <charset val="1"/>
    </font>
    <font>
      <b/>
      <sz val="24"/>
      <color rgb="FFC0392B"/>
      <name val="Arial"/>
      <charset val="1"/>
    </font>
    <font>
      <b/>
      <sz val="18"/>
      <color rgb="FF6B4BB8"/>
      <name val="Arial"/>
      <charset val="1"/>
    </font>
    <font>
      <b/>
      <sz val="12"/>
      <color rgb="FF1F2937"/>
      <name val="Arial"/>
      <charset val="1"/>
    </font>
    <font>
      <sz val="12"/>
      <color rgb="FF1F2937"/>
      <name val="Arial"/>
      <charset val="1"/>
    </font>
    <font>
      <b/>
      <sz val="12"/>
      <color rgb="FFB42318"/>
      <name val="Arial"/>
      <charset val="1"/>
    </font>
    <font>
      <b/>
      <sz val="10"/>
      <color rgb="FF4B5563"/>
      <name val="Arial"/>
      <charset val="1"/>
    </font>
    <font>
      <b/>
      <sz val="20"/>
      <color rgb="FFFFFFFF"/>
      <name val="Arial"/>
      <charset val="1"/>
    </font>
    <font>
      <b/>
      <sz val="11"/>
      <color rgb="FF1F2A44"/>
      <name val="Arial"/>
      <charset val="1"/>
    </font>
    <font>
      <sz val="10"/>
      <color rgb="FF7A5B00"/>
      <name val="Arial"/>
      <charset val="1"/>
    </font>
    <font>
      <sz val="10"/>
      <color rgb="FF6B7280"/>
      <name val="Arial"/>
      <charset val="1"/>
    </font>
    <font>
      <b/>
      <sz val="10"/>
      <color rgb="FF1F2A44"/>
      <name val="Arial"/>
      <charset val="1"/>
    </font>
    <font>
      <b/>
      <sz val="11"/>
      <color rgb="FF1F2937"/>
      <name val="Arial"/>
      <charset val="1"/>
    </font>
    <font>
      <sz val="11"/>
      <color rgb="FF1F2937"/>
      <name val="Arial"/>
      <charset val="1"/>
    </font>
    <font>
      <sz val="11"/>
      <color theme="1"/>
      <name val="FreeSans"/>
      <family val="2"/>
    </font>
    <font>
      <sz val="10"/>
      <color rgb="FF1F2937"/>
      <name val="Arial"/>
      <charset val="1"/>
    </font>
    <font>
      <sz val="10"/>
      <name val="FreeSans"/>
      <family val="2"/>
    </font>
    <font>
      <sz val="10"/>
      <name val="Arial"/>
      <family val="2"/>
    </font>
    <font>
      <b/>
      <sz val="24"/>
      <color rgb="FFFFFFFF"/>
      <name val="Arial"/>
      <charset val="1"/>
    </font>
    <font>
      <b/>
      <sz val="22"/>
      <color rgb="FF095A61"/>
      <name val="Arial"/>
      <charset val="1"/>
    </font>
    <font>
      <b/>
      <sz val="18"/>
      <color rgb="FF095A61"/>
      <name val="Arial"/>
      <charset val="1"/>
    </font>
    <font>
      <b/>
      <sz val="10"/>
      <color rgb="FF6B7280"/>
      <name val="Arial"/>
      <charset val="1"/>
    </font>
    <font>
      <b/>
      <sz val="14"/>
      <color rgb="FFFFFFFF"/>
      <name val="Arial"/>
      <charset val="1"/>
    </font>
    <font>
      <b/>
      <sz val="44"/>
      <color rgb="FFFFFFFF"/>
      <name val="Arial"/>
      <charset val="1"/>
    </font>
    <font>
      <b/>
      <sz val="10"/>
      <color rgb="FF1F2937"/>
      <name val="Arial"/>
      <charset val="1"/>
    </font>
    <font>
      <b/>
      <u/>
      <sz val="11"/>
      <color rgb="FF0B5CAD"/>
      <name val="Arial"/>
      <charset val="1"/>
    </font>
    <font>
      <b/>
      <u/>
      <sz val="10"/>
      <color rgb="FF1E7B34"/>
      <name val="Arial"/>
      <charset val="1"/>
    </font>
    <font>
      <b/>
      <sz val="9"/>
      <color rgb="FF4B5563"/>
      <name val="Arial"/>
      <charset val="1"/>
    </font>
    <font>
      <b/>
      <sz val="20"/>
      <color rgb="FF1F6A40"/>
      <name val="Arial"/>
      <charset val="1"/>
    </font>
    <font>
      <b/>
      <sz val="20"/>
      <color rgb="FFB42318"/>
      <name val="Arial"/>
      <charset val="1"/>
    </font>
    <font>
      <b/>
      <sz val="20"/>
      <color rgb="FF6B7280"/>
      <name val="Arial"/>
      <charset val="1"/>
    </font>
    <font>
      <b/>
      <sz val="12"/>
      <color rgb="FF6B7280"/>
      <name val="Arial"/>
      <charset val="1"/>
    </font>
    <font>
      <sz val="9"/>
      <color rgb="FF4B5563"/>
      <name val="Arial"/>
      <charset val="1"/>
    </font>
    <font>
      <b/>
      <sz val="22"/>
      <color rgb="FF4C3386"/>
      <name val="Arial"/>
      <charset val="1"/>
    </font>
    <font>
      <b/>
      <sz val="18"/>
      <color rgb="FF4C3386"/>
      <name val="Arial"/>
      <charset val="1"/>
    </font>
    <font>
      <b/>
      <sz val="22"/>
      <color rgb="FF1F6A40"/>
      <name val="Arial"/>
      <charset val="1"/>
    </font>
    <font>
      <b/>
      <sz val="18"/>
      <color rgb="FF1F6A40"/>
      <name val="Arial"/>
      <charset val="1"/>
    </font>
    <font>
      <b/>
      <sz val="22"/>
      <color rgb="FF8E2A1F"/>
      <name val="Arial"/>
      <charset val="1"/>
    </font>
    <font>
      <b/>
      <sz val="18"/>
      <color rgb="FF8E2A1F"/>
      <name val="Arial"/>
      <charset val="1"/>
    </font>
    <font>
      <b/>
      <sz val="10"/>
      <color rgb="FF095A61"/>
      <name val="Arial"/>
      <charset val="1"/>
    </font>
    <font>
      <b/>
      <sz val="10"/>
      <color rgb="FF7A5B00"/>
      <name val="Arial"/>
      <charset val="1"/>
    </font>
    <font>
      <i/>
      <sz val="10"/>
      <color rgb="FF6B7280"/>
      <name val="Arial"/>
      <charset val="1"/>
    </font>
    <font>
      <b/>
      <sz val="10"/>
      <color rgb="FF1F6A40"/>
      <name val="Arial"/>
      <charset val="1"/>
    </font>
    <font>
      <sz val="9"/>
      <color rgb="FF1D5A94"/>
      <name val="Arial"/>
      <charset val="1"/>
    </font>
    <font>
      <b/>
      <sz val="11"/>
      <color rgb="FF1F6A40"/>
      <name val="Arial"/>
      <charset val="1"/>
    </font>
    <font>
      <b/>
      <sz val="11"/>
      <color rgb="FFB42318"/>
      <name val="Arial"/>
      <charset val="1"/>
    </font>
    <font>
      <b/>
      <sz val="11"/>
      <color rgb="FF9C5700"/>
      <name val="Arial"/>
      <charset val="1"/>
    </font>
    <font>
      <b/>
      <sz val="10"/>
      <color rgb="FF4C3386"/>
      <name val="Arial"/>
      <charset val="1"/>
    </font>
    <font>
      <b/>
      <sz val="10"/>
      <color rgb="FF8E2A1F"/>
      <name val="Arial"/>
      <charset val="1"/>
    </font>
    <font>
      <b/>
      <sz val="22"/>
      <color rgb="FFFFFFFF"/>
      <name val="Arial"/>
      <charset val="1"/>
    </font>
    <font>
      <b/>
      <sz val="11"/>
      <color rgb="FF7A1F14"/>
      <name val="Arial"/>
      <charset val="1"/>
    </font>
    <font>
      <b/>
      <sz val="12"/>
      <color rgb="FF1F2A44"/>
      <name val="Arial"/>
      <charset val="1"/>
    </font>
    <font>
      <b/>
      <sz val="11"/>
      <color rgb="FF0000FF"/>
      <name val="Arial"/>
      <charset val="1"/>
    </font>
    <font>
      <sz val="10"/>
      <color rgb="FF0000FF"/>
      <name val="Arial"/>
      <charset val="1"/>
    </font>
    <font>
      <i/>
      <sz val="9"/>
      <color rgb="FFB42318"/>
      <name val="Arial"/>
      <charset val="1"/>
    </font>
    <font>
      <i/>
      <sz val="9"/>
      <color rgb="FF6B7280"/>
      <name val="Arial"/>
      <charset val="1"/>
    </font>
    <font>
      <sz val="8"/>
      <name val="Calibri"/>
      <family val="2"/>
      <charset val="1"/>
    </font>
    <font>
      <b/>
      <sz val="11"/>
      <color rgb="FF1F2937"/>
      <name val="Arial"/>
      <family val="2"/>
    </font>
    <font>
      <b/>
      <sz val="11"/>
      <color rgb="FF0000FF"/>
      <name val="Arial"/>
      <family val="2"/>
    </font>
    <font>
      <sz val="11"/>
      <color rgb="FF1F2937"/>
      <name val="Arial"/>
      <family val="2"/>
    </font>
  </fonts>
  <fills count="25">
    <fill>
      <patternFill patternType="none"/>
    </fill>
    <fill>
      <patternFill patternType="gray125"/>
    </fill>
    <fill>
      <patternFill patternType="solid">
        <fgColor rgb="FF1F2A45"/>
        <bgColor rgb="FF1F2937"/>
      </patternFill>
    </fill>
    <fill>
      <patternFill patternType="solid">
        <fgColor rgb="FF1F2A45"/>
        <bgColor rgb="FF1F2937"/>
      </patternFill>
    </fill>
    <fill>
      <patternFill patternType="solid">
        <fgColor rgb="FFE7EBF3"/>
        <bgColor rgb="FFE3E8F0"/>
      </patternFill>
    </fill>
    <fill>
      <patternFill patternType="solid">
        <fgColor rgb="FF1E9E4A"/>
        <bgColor rgb="FF2E8B57"/>
      </patternFill>
    </fill>
    <fill>
      <patternFill patternType="solid">
        <fgColor rgb="FFBF382C"/>
        <bgColor rgb="FFD64545"/>
      </patternFill>
    </fill>
    <fill>
      <patternFill patternType="solid">
        <fgColor rgb="FF5B6B8C"/>
        <bgColor rgb="FF6B7280"/>
      </patternFill>
    </fill>
    <fill>
      <patternFill patternType="solid">
        <fgColor rgb="FF0E7C86"/>
        <bgColor rgb="FF2E8B57"/>
      </patternFill>
    </fill>
    <fill>
      <patternFill patternType="solid">
        <fgColor rgb="FF6B4BB8"/>
        <bgColor rgb="FF5B6B8C"/>
      </patternFill>
    </fill>
    <fill>
      <patternFill patternType="solid">
        <fgColor rgb="FF2E8B57"/>
        <bgColor rgb="FF1E9E4A"/>
      </patternFill>
    </fill>
    <fill>
      <patternFill patternType="solid">
        <fgColor rgb="FF095A61"/>
        <bgColor rgb="FF195A96"/>
      </patternFill>
    </fill>
    <fill>
      <patternFill patternType="solid">
        <fgColor rgb="FF4C3386"/>
        <bgColor rgb="FF4B5563"/>
      </patternFill>
    </fill>
    <fill>
      <patternFill patternType="solid">
        <fgColor rgb="FF1F6B3F"/>
        <bgColor rgb="FF136B31"/>
      </patternFill>
    </fill>
    <fill>
      <patternFill patternType="solid">
        <fgColor rgb="FF8D281D"/>
        <bgColor rgb="FFB42318"/>
      </patternFill>
    </fill>
    <fill>
      <patternFill patternType="solid">
        <fgColor rgb="FF3B82C4"/>
        <bgColor rgb="FF5B6B8C"/>
      </patternFill>
    </fill>
    <fill>
      <patternFill patternType="solid">
        <fgColor rgb="FFD6589F"/>
        <bgColor rgb="FFD64545"/>
      </patternFill>
    </fill>
    <fill>
      <patternFill patternType="solid">
        <fgColor rgb="FFF4F6FA"/>
        <bgColor rgb="FFF3F4F6"/>
      </patternFill>
    </fill>
    <fill>
      <patternFill patternType="darkGray">
        <fgColor rgb="FFE8F0FB"/>
        <bgColor rgb="FFEEF2F7"/>
      </patternFill>
    </fill>
    <fill>
      <patternFill patternType="solid">
        <fgColor rgb="FFFFF4CC"/>
        <bgColor rgb="FFFFF3C4"/>
      </patternFill>
    </fill>
    <fill>
      <patternFill patternType="solid">
        <fgColor rgb="FFEEF0F4"/>
        <bgColor rgb="FFEEF2F7"/>
      </patternFill>
    </fill>
    <fill>
      <patternFill patternType="solid">
        <fgColor rgb="FFFFFFFF"/>
        <bgColor rgb="FFF8FAFC"/>
      </patternFill>
    </fill>
    <fill>
      <patternFill patternType="solid">
        <fgColor rgb="FFEEF2F7"/>
        <bgColor rgb="FFEEF0F4"/>
      </patternFill>
    </fill>
    <fill>
      <patternFill patternType="solid">
        <fgColor rgb="FFFDE8E6"/>
        <bgColor rgb="FFFDE2E2"/>
      </patternFill>
    </fill>
    <fill>
      <patternFill patternType="solid">
        <fgColor rgb="FFFFF9DB"/>
        <bgColor rgb="FFFFF4CC"/>
      </patternFill>
    </fill>
  </fills>
  <borders count="21">
    <border>
      <left/>
      <right/>
      <top/>
      <bottom/>
      <diagonal/>
    </border>
    <border>
      <left style="thin">
        <color rgb="FF136B31"/>
      </left>
      <right style="thin">
        <color rgb="FF136B31"/>
      </right>
      <top style="thin">
        <color rgb="FF136B31"/>
      </top>
      <bottom style="thick">
        <color rgb="FF136B31"/>
      </bottom>
      <diagonal/>
    </border>
    <border>
      <left style="thin">
        <color rgb="FFC9A227"/>
      </left>
      <right style="thin">
        <color rgb="FFC9A227"/>
      </right>
      <top style="thin">
        <color rgb="FFC9A227"/>
      </top>
      <bottom style="thick">
        <color rgb="FFC9A227"/>
      </bottom>
      <diagonal/>
    </border>
    <border>
      <left style="thin">
        <color rgb="FF8D281D"/>
      </left>
      <right style="thin">
        <color rgb="FF8D281D"/>
      </right>
      <top style="thin">
        <color rgb="FF8D281D"/>
      </top>
      <bottom style="thick">
        <color rgb="FF8D281D"/>
      </bottom>
      <diagonal/>
    </border>
    <border>
      <left style="thin">
        <color rgb="FF1F2A45"/>
      </left>
      <right style="thin">
        <color rgb="FF1F2A45"/>
      </right>
      <top style="thin">
        <color rgb="FF1F2A45"/>
      </top>
      <bottom style="thick">
        <color rgb="FF1F2A45"/>
      </bottom>
      <diagonal/>
    </border>
    <border>
      <left style="thin">
        <color rgb="FF095A61"/>
      </left>
      <right style="thin">
        <color rgb="FF095A61"/>
      </right>
      <top style="thin">
        <color rgb="FF095A61"/>
      </top>
      <bottom style="thick">
        <color rgb="FF095A61"/>
      </bottom>
      <diagonal/>
    </border>
    <border>
      <left style="thin">
        <color rgb="FF4C3386"/>
      </left>
      <right style="thin">
        <color rgb="FF4C3386"/>
      </right>
      <top style="thin">
        <color rgb="FF4C3386"/>
      </top>
      <bottom style="thick">
        <color rgb="FF4C3386"/>
      </bottom>
      <diagonal/>
    </border>
    <border>
      <left style="thin">
        <color rgb="FF1F6B3F"/>
      </left>
      <right style="thin">
        <color rgb="FF1F6B3F"/>
      </right>
      <top style="thin">
        <color rgb="FF1F6B3F"/>
      </top>
      <bottom style="thick">
        <color rgb="FF1F6B3F"/>
      </bottom>
      <diagonal/>
    </border>
    <border>
      <left style="thin">
        <color rgb="FF0E7C86"/>
      </left>
      <right style="thin">
        <color rgb="FF0E7C86"/>
      </right>
      <top style="thin">
        <color rgb="FF0E7C86"/>
      </top>
      <bottom style="thick">
        <color rgb="FF0E7C86"/>
      </bottom>
      <diagonal/>
    </border>
    <border>
      <left style="thin">
        <color rgb="FF6B4BB8"/>
      </left>
      <right style="thin">
        <color rgb="FF6B4BB8"/>
      </right>
      <top style="thin">
        <color rgb="FF6B4BB8"/>
      </top>
      <bottom style="thick">
        <color rgb="FF6B4BB8"/>
      </bottom>
      <diagonal/>
    </border>
    <border>
      <left style="thin">
        <color rgb="FF2E8B57"/>
      </left>
      <right style="thin">
        <color rgb="FF2E8B57"/>
      </right>
      <top style="thin">
        <color rgb="FF2E8B57"/>
      </top>
      <bottom style="thick">
        <color rgb="FF2E8B57"/>
      </bottom>
      <diagonal/>
    </border>
    <border>
      <left style="thin">
        <color rgb="FFBF382C"/>
      </left>
      <right style="thin">
        <color rgb="FFBF382C"/>
      </right>
      <top style="thin">
        <color rgb="FFBF382C"/>
      </top>
      <bottom style="thick">
        <color rgb="FFBF382C"/>
      </bottom>
      <diagonal/>
    </border>
    <border>
      <left/>
      <right/>
      <top/>
      <bottom style="thick">
        <color rgb="FF1F2A45"/>
      </bottom>
      <diagonal/>
    </border>
    <border>
      <left/>
      <right/>
      <top/>
      <bottom style="thick">
        <color rgb="FF3B82C4"/>
      </bottom>
      <diagonal/>
    </border>
    <border>
      <left/>
      <right/>
      <top/>
      <bottom style="thick">
        <color rgb="FFD6589F"/>
      </bottom>
      <diagonal/>
    </border>
    <border>
      <left/>
      <right/>
      <top/>
      <bottom style="thick">
        <color rgb="FF1E9E4A"/>
      </bottom>
      <diagonal/>
    </border>
    <border>
      <left/>
      <right/>
      <top/>
      <bottom style="thick">
        <color rgb="FFBF382C"/>
      </bottom>
      <diagonal/>
    </border>
    <border>
      <left/>
      <right/>
      <top/>
      <bottom style="thick">
        <color rgb="FF6B4BB8"/>
      </bottom>
      <diagonal/>
    </border>
    <border>
      <left style="thin">
        <color rgb="FFFFFFFF"/>
      </left>
      <right style="thin">
        <color rgb="FFFFFFFF"/>
      </right>
      <top style="thin">
        <color rgb="FFFFFFFF"/>
      </top>
      <bottom style="thin">
        <color rgb="FFFFFFFF"/>
      </bottom>
      <diagonal/>
    </border>
    <border>
      <left style="thin">
        <color rgb="FFD5DAE3"/>
      </left>
      <right style="thin">
        <color rgb="FFD5DAE3"/>
      </right>
      <top style="thin">
        <color rgb="FFD5DAE3"/>
      </top>
      <bottom style="thin">
        <color rgb="FFD5DAE3"/>
      </bottom>
      <diagonal/>
    </border>
    <border>
      <left style="thin">
        <color rgb="FFE5E7EB"/>
      </left>
      <right style="thin">
        <color rgb="FFE5E7EB"/>
      </right>
      <top style="thin">
        <color rgb="FFE5E7EB"/>
      </top>
      <bottom style="thin">
        <color rgb="FFE5E7EB"/>
      </bottom>
      <diagonal/>
    </border>
  </borders>
  <cellStyleXfs count="2">
    <xf numFmtId="0" fontId="0" fillId="0" borderId="0"/>
    <xf numFmtId="0" fontId="1" fillId="0" borderId="0"/>
  </cellStyleXfs>
  <cellXfs count="165">
    <xf numFmtId="0" fontId="0" fillId="0" borderId="0" xfId="0"/>
    <xf numFmtId="0" fontId="6" fillId="12" borderId="9" xfId="0" applyFont="1" applyFill="1" applyBorder="1" applyAlignment="1">
      <alignment horizontal="center" vertical="center" readingOrder="2"/>
    </xf>
    <xf numFmtId="0" fontId="6" fillId="11" borderId="8" xfId="0" applyFont="1" applyFill="1" applyBorder="1" applyAlignment="1">
      <alignment horizontal="center" vertical="center" readingOrder="2"/>
    </xf>
    <xf numFmtId="0" fontId="6" fillId="6" borderId="3" xfId="0" applyFont="1" applyFill="1" applyBorder="1" applyAlignment="1">
      <alignment horizontal="center" vertical="center" readingOrder="2"/>
    </xf>
    <xf numFmtId="0" fontId="6" fillId="10" borderId="7" xfId="0" applyFont="1" applyFill="1" applyBorder="1" applyAlignment="1">
      <alignment horizontal="center" vertical="center" readingOrder="2"/>
    </xf>
    <xf numFmtId="0" fontId="6" fillId="9" borderId="6" xfId="0" applyFont="1" applyFill="1" applyBorder="1" applyAlignment="1">
      <alignment horizontal="center" vertical="center" readingOrder="2"/>
    </xf>
    <xf numFmtId="0" fontId="6" fillId="8" borderId="5" xfId="0" applyFont="1" applyFill="1" applyBorder="1" applyAlignment="1">
      <alignment horizontal="center" vertical="center" readingOrder="2"/>
    </xf>
    <xf numFmtId="0" fontId="6" fillId="7" borderId="4" xfId="0" applyFont="1" applyFill="1" applyBorder="1" applyAlignment="1">
      <alignment horizontal="center" vertical="center" readingOrder="2"/>
    </xf>
    <xf numFmtId="0" fontId="5" fillId="6" borderId="3" xfId="0" applyFont="1" applyFill="1" applyBorder="1" applyAlignment="1">
      <alignment horizontal="center" vertical="center" readingOrder="2"/>
    </xf>
    <xf numFmtId="0" fontId="5" fillId="2" borderId="2" xfId="0" applyFont="1" applyFill="1" applyBorder="1" applyAlignment="1">
      <alignment horizontal="center" vertical="center" readingOrder="2"/>
    </xf>
    <xf numFmtId="0" fontId="5" fillId="5" borderId="1" xfId="0" applyFont="1" applyFill="1" applyBorder="1" applyAlignment="1">
      <alignment horizontal="center" vertical="center" readingOrder="2"/>
    </xf>
    <xf numFmtId="0" fontId="4" fillId="4" borderId="0" xfId="0" applyFont="1" applyFill="1" applyAlignment="1">
      <alignment horizontal="right" vertical="center" readingOrder="2"/>
    </xf>
    <xf numFmtId="0" fontId="3" fillId="3" borderId="0" xfId="0" applyFont="1" applyFill="1" applyAlignment="1">
      <alignment horizontal="center" vertical="center" readingOrder="2"/>
    </xf>
    <xf numFmtId="0" fontId="2" fillId="2" borderId="0" xfId="0" applyFont="1" applyFill="1" applyAlignment="1">
      <alignment horizontal="center" vertical="center" readingOrder="2"/>
    </xf>
    <xf numFmtId="0" fontId="3" fillId="2" borderId="18" xfId="0" applyFont="1" applyFill="1" applyBorder="1" applyAlignment="1">
      <alignment horizontal="center" vertical="center" readingOrder="2"/>
    </xf>
    <xf numFmtId="1" fontId="14" fillId="17" borderId="19" xfId="0" applyNumberFormat="1" applyFont="1" applyFill="1" applyBorder="1" applyAlignment="1">
      <alignment horizontal="center" vertical="center" readingOrder="2"/>
    </xf>
    <xf numFmtId="1" fontId="15" fillId="17" borderId="19" xfId="0" applyNumberFormat="1" applyFont="1" applyFill="1" applyBorder="1" applyAlignment="1">
      <alignment horizontal="center" vertical="center" readingOrder="2"/>
    </xf>
    <xf numFmtId="1" fontId="6" fillId="2" borderId="18" xfId="0" applyNumberFormat="1" applyFont="1" applyFill="1" applyBorder="1" applyAlignment="1">
      <alignment horizontal="center" vertical="center" readingOrder="2"/>
    </xf>
    <xf numFmtId="0" fontId="3" fillId="2" borderId="2" xfId="0" applyFont="1" applyFill="1" applyBorder="1" applyAlignment="1">
      <alignment horizontal="center" vertical="center" readingOrder="2"/>
    </xf>
    <xf numFmtId="0" fontId="6" fillId="5" borderId="1" xfId="0" applyFont="1" applyFill="1" applyBorder="1" applyAlignment="1">
      <alignment horizontal="center" vertical="center" readingOrder="2"/>
    </xf>
    <xf numFmtId="0" fontId="3" fillId="8" borderId="5" xfId="0" applyFont="1" applyFill="1" applyBorder="1" applyAlignment="1">
      <alignment horizontal="center" vertical="center" readingOrder="2"/>
    </xf>
    <xf numFmtId="0" fontId="3" fillId="9" borderId="6" xfId="0" applyFont="1" applyFill="1" applyBorder="1" applyAlignment="1">
      <alignment horizontal="center" vertical="center" readingOrder="2"/>
    </xf>
    <xf numFmtId="0" fontId="3" fillId="10" borderId="7" xfId="0" applyFont="1" applyFill="1" applyBorder="1" applyAlignment="1">
      <alignment horizontal="center" vertical="center" readingOrder="2"/>
    </xf>
    <xf numFmtId="0" fontId="3" fillId="6" borderId="3" xfId="0" applyFont="1" applyFill="1" applyBorder="1" applyAlignment="1">
      <alignment horizontal="center" vertical="center" readingOrder="2"/>
    </xf>
    <xf numFmtId="0" fontId="3" fillId="7" borderId="18" xfId="0" applyFont="1" applyFill="1" applyBorder="1" applyAlignment="1">
      <alignment horizontal="center" vertical="center" wrapText="1" readingOrder="2"/>
    </xf>
    <xf numFmtId="0" fontId="3" fillId="2" borderId="18" xfId="0" applyFont="1" applyFill="1" applyBorder="1" applyAlignment="1">
      <alignment horizontal="center" vertical="center" wrapText="1" readingOrder="2"/>
    </xf>
    <xf numFmtId="0" fontId="21" fillId="20" borderId="19" xfId="0" applyFont="1" applyFill="1" applyBorder="1" applyAlignment="1">
      <alignment horizontal="center" vertical="center" readingOrder="2"/>
    </xf>
    <xf numFmtId="0" fontId="22" fillId="20" borderId="19" xfId="0" applyFont="1" applyFill="1" applyBorder="1" applyAlignment="1">
      <alignment horizontal="center" vertical="center" readingOrder="2"/>
    </xf>
    <xf numFmtId="0" fontId="23" fillId="21" borderId="19" xfId="0" applyFont="1" applyFill="1" applyBorder="1" applyAlignment="1" applyProtection="1">
      <alignment horizontal="right" vertical="center" readingOrder="2"/>
      <protection locked="0"/>
    </xf>
    <xf numFmtId="0" fontId="24" fillId="21" borderId="19" xfId="0" applyFont="1" applyFill="1" applyBorder="1" applyAlignment="1" applyProtection="1">
      <alignment horizontal="center" vertical="center" readingOrder="2"/>
      <protection locked="0"/>
    </xf>
    <xf numFmtId="49" fontId="24" fillId="21" borderId="19" xfId="0" applyNumberFormat="1" applyFont="1" applyFill="1" applyBorder="1" applyAlignment="1" applyProtection="1">
      <alignment horizontal="center" vertical="center" readingOrder="2"/>
      <protection locked="0"/>
    </xf>
    <xf numFmtId="0" fontId="24" fillId="21" borderId="19" xfId="0" applyFont="1" applyFill="1" applyBorder="1" applyAlignment="1" applyProtection="1">
      <alignment horizontal="right" vertical="center" wrapText="1" readingOrder="2"/>
      <protection locked="0"/>
    </xf>
    <xf numFmtId="0" fontId="25" fillId="0" borderId="0" xfId="0" applyFont="1"/>
    <xf numFmtId="1" fontId="26" fillId="20" borderId="19" xfId="0" applyNumberFormat="1" applyFont="1" applyFill="1" applyBorder="1" applyAlignment="1">
      <alignment horizontal="center" vertical="center" readingOrder="2"/>
    </xf>
    <xf numFmtId="9" fontId="26" fillId="20" borderId="19" xfId="0" applyNumberFormat="1" applyFont="1" applyFill="1" applyBorder="1" applyAlignment="1">
      <alignment horizontal="center" vertical="center" readingOrder="2"/>
    </xf>
    <xf numFmtId="164" fontId="26" fillId="20" borderId="19" xfId="0" applyNumberFormat="1" applyFont="1" applyFill="1" applyBorder="1" applyAlignment="1">
      <alignment horizontal="center" vertical="center" readingOrder="2"/>
    </xf>
    <xf numFmtId="0" fontId="26" fillId="20" borderId="19" xfId="0" applyFont="1" applyFill="1" applyBorder="1" applyAlignment="1">
      <alignment horizontal="center" vertical="center" readingOrder="2"/>
    </xf>
    <xf numFmtId="0" fontId="34" fillId="0" borderId="0" xfId="0" applyFont="1" applyAlignment="1">
      <alignment horizontal="center" vertical="center" readingOrder="2"/>
    </xf>
    <xf numFmtId="0" fontId="23" fillId="0" borderId="0" xfId="0" applyFont="1" applyAlignment="1">
      <alignment horizontal="center" vertical="center" readingOrder="2"/>
    </xf>
    <xf numFmtId="0" fontId="36" fillId="0" borderId="0" xfId="0" applyFont="1" applyAlignment="1">
      <alignment horizontal="center" vertical="center" readingOrder="2"/>
    </xf>
    <xf numFmtId="0" fontId="37" fillId="0" borderId="0" xfId="0" applyFont="1" applyAlignment="1">
      <alignment horizontal="center" vertical="center" readingOrder="2"/>
    </xf>
    <xf numFmtId="0" fontId="38" fillId="0" borderId="0" xfId="0" applyFont="1" applyAlignment="1">
      <alignment horizontal="center" vertical="center" readingOrder="2"/>
    </xf>
    <xf numFmtId="1" fontId="39" fillId="0" borderId="0" xfId="0" applyNumberFormat="1" applyFont="1" applyAlignment="1">
      <alignment horizontal="center" vertical="center" readingOrder="2"/>
    </xf>
    <xf numFmtId="1" fontId="40" fillId="0" borderId="0" xfId="0" applyNumberFormat="1" applyFont="1" applyAlignment="1">
      <alignment horizontal="center" vertical="center" readingOrder="2"/>
    </xf>
    <xf numFmtId="9" fontId="41" fillId="0" borderId="0" xfId="0" applyNumberFormat="1" applyFont="1" applyAlignment="1">
      <alignment horizontal="center" vertical="center" readingOrder="2"/>
    </xf>
    <xf numFmtId="1" fontId="53" fillId="22" borderId="19" xfId="0" applyNumberFormat="1" applyFont="1" applyFill="1" applyBorder="1" applyAlignment="1">
      <alignment horizontal="center" vertical="center" readingOrder="2"/>
    </xf>
    <xf numFmtId="9" fontId="54" fillId="22" borderId="19" xfId="0" applyNumberFormat="1" applyFont="1" applyFill="1" applyBorder="1" applyAlignment="1">
      <alignment horizontal="center" vertical="center" readingOrder="2"/>
    </xf>
    <xf numFmtId="0" fontId="7" fillId="11" borderId="18" xfId="0" applyFont="1" applyFill="1" applyBorder="1" applyAlignment="1">
      <alignment horizontal="center" vertical="center" wrapText="1" readingOrder="2"/>
    </xf>
    <xf numFmtId="165" fontId="7" fillId="11" borderId="18" xfId="0" applyNumberFormat="1" applyFont="1" applyFill="1" applyBorder="1" applyAlignment="1">
      <alignment horizontal="center" vertical="center" wrapText="1" readingOrder="2"/>
    </xf>
    <xf numFmtId="0" fontId="21" fillId="0" borderId="19" xfId="0" applyFont="1" applyBorder="1" applyAlignment="1">
      <alignment horizontal="center" vertical="center" readingOrder="2"/>
    </xf>
    <xf numFmtId="0" fontId="23" fillId="0" borderId="19" xfId="0" applyFont="1" applyBorder="1" applyAlignment="1">
      <alignment horizontal="right" vertical="center" readingOrder="2"/>
    </xf>
    <xf numFmtId="1" fontId="55" fillId="0" borderId="19" xfId="0" applyNumberFormat="1" applyFont="1" applyBorder="1" applyAlignment="1">
      <alignment horizontal="center" vertical="center" readingOrder="2"/>
    </xf>
    <xf numFmtId="1" fontId="56" fillId="0" borderId="19" xfId="0" applyNumberFormat="1" applyFont="1" applyBorder="1" applyAlignment="1">
      <alignment horizontal="center" vertical="center" readingOrder="2"/>
    </xf>
    <xf numFmtId="1" fontId="57" fillId="0" borderId="19" xfId="0" applyNumberFormat="1" applyFont="1" applyBorder="1" applyAlignment="1">
      <alignment horizontal="center" vertical="center" readingOrder="2"/>
    </xf>
    <xf numFmtId="9" fontId="23" fillId="0" borderId="19" xfId="0" applyNumberFormat="1" applyFont="1" applyBorder="1" applyAlignment="1">
      <alignment horizontal="center" vertical="center" readingOrder="2"/>
    </xf>
    <xf numFmtId="1" fontId="23" fillId="0" borderId="19" xfId="0" applyNumberFormat="1" applyFont="1" applyBorder="1" applyAlignment="1">
      <alignment horizontal="center" vertical="center" readingOrder="2"/>
    </xf>
    <xf numFmtId="164" fontId="26" fillId="0" borderId="19" xfId="0" applyNumberFormat="1" applyFont="1" applyBorder="1" applyAlignment="1">
      <alignment horizontal="center" vertical="center" readingOrder="2"/>
    </xf>
    <xf numFmtId="0" fontId="35" fillId="0" borderId="19" xfId="0" applyFont="1" applyBorder="1" applyAlignment="1">
      <alignment horizontal="center" vertical="center" readingOrder="2"/>
    </xf>
    <xf numFmtId="0" fontId="14" fillId="0" borderId="20" xfId="0" applyFont="1" applyBorder="1" applyAlignment="1" applyProtection="1">
      <alignment horizontal="center" vertical="center" readingOrder="2"/>
      <protection locked="0"/>
    </xf>
    <xf numFmtId="0" fontId="7" fillId="12" borderId="18" xfId="0" applyFont="1" applyFill="1" applyBorder="1" applyAlignment="1">
      <alignment horizontal="center" vertical="center" wrapText="1" readingOrder="2"/>
    </xf>
    <xf numFmtId="165" fontId="7" fillId="12" borderId="18" xfId="0" applyNumberFormat="1" applyFont="1" applyFill="1" applyBorder="1" applyAlignment="1">
      <alignment horizontal="center" vertical="center" wrapText="1" readingOrder="2"/>
    </xf>
    <xf numFmtId="0" fontId="7" fillId="13" borderId="18" xfId="0" applyFont="1" applyFill="1" applyBorder="1" applyAlignment="1">
      <alignment horizontal="center" vertical="center" wrapText="1" readingOrder="2"/>
    </xf>
    <xf numFmtId="165" fontId="7" fillId="13" borderId="18" xfId="0" applyNumberFormat="1" applyFont="1" applyFill="1" applyBorder="1" applyAlignment="1">
      <alignment horizontal="center" vertical="center" wrapText="1" readingOrder="2"/>
    </xf>
    <xf numFmtId="0" fontId="7" fillId="14" borderId="18" xfId="0" applyFont="1" applyFill="1" applyBorder="1" applyAlignment="1">
      <alignment horizontal="center" vertical="center" wrapText="1" readingOrder="2"/>
    </xf>
    <xf numFmtId="165" fontId="7" fillId="14" borderId="18" xfId="0" applyNumberFormat="1" applyFont="1" applyFill="1" applyBorder="1" applyAlignment="1">
      <alignment horizontal="center" vertical="center" wrapText="1" readingOrder="2"/>
    </xf>
    <xf numFmtId="0" fontId="3" fillId="6" borderId="18" xfId="0" applyFont="1" applyFill="1" applyBorder="1" applyAlignment="1">
      <alignment horizontal="center" vertical="center" wrapText="1" readingOrder="2"/>
    </xf>
    <xf numFmtId="0" fontId="36" fillId="0" borderId="19" xfId="0" applyFont="1" applyBorder="1" applyAlignment="1">
      <alignment horizontal="center" vertical="center" readingOrder="2"/>
    </xf>
    <xf numFmtId="0" fontId="37" fillId="0" borderId="19" xfId="0" applyFont="1" applyBorder="1" applyAlignment="1">
      <alignment horizontal="center" vertical="center" readingOrder="2"/>
    </xf>
    <xf numFmtId="0" fontId="26" fillId="0" borderId="19" xfId="0" applyFont="1" applyBorder="1" applyAlignment="1">
      <alignment horizontal="right" vertical="center" wrapText="1" readingOrder="2"/>
    </xf>
    <xf numFmtId="0" fontId="62" fillId="0" borderId="0" xfId="0" applyFont="1"/>
    <xf numFmtId="0" fontId="7" fillId="2" borderId="19" xfId="0" applyFont="1" applyFill="1" applyBorder="1" applyAlignment="1">
      <alignment horizontal="center" vertical="center" readingOrder="2"/>
    </xf>
    <xf numFmtId="0" fontId="24" fillId="17" borderId="19" xfId="0" applyFont="1" applyFill="1" applyBorder="1" applyAlignment="1">
      <alignment horizontal="center" vertical="center" readingOrder="2"/>
    </xf>
    <xf numFmtId="0" fontId="63" fillId="24" borderId="19" xfId="0" applyFont="1" applyFill="1" applyBorder="1" applyAlignment="1">
      <alignment horizontal="center" vertical="center" readingOrder="2"/>
    </xf>
    <xf numFmtId="0" fontId="64" fillId="24" borderId="19" xfId="0" applyFont="1" applyFill="1" applyBorder="1" applyAlignment="1">
      <alignment horizontal="center" vertical="center" readingOrder="2"/>
    </xf>
    <xf numFmtId="0" fontId="65" fillId="0" borderId="0" xfId="0" applyFont="1"/>
    <xf numFmtId="0" fontId="24" fillId="17" borderId="19" xfId="0" applyFont="1" applyFill="1" applyBorder="1" applyAlignment="1">
      <alignment horizontal="right" vertical="center" readingOrder="2"/>
    </xf>
    <xf numFmtId="164" fontId="63" fillId="24" borderId="19" xfId="0" applyNumberFormat="1" applyFont="1" applyFill="1" applyBorder="1" applyAlignment="1">
      <alignment horizontal="center" vertical="center" readingOrder="2"/>
    </xf>
    <xf numFmtId="164" fontId="24" fillId="20" borderId="19" xfId="0" applyNumberFormat="1" applyFont="1" applyFill="1" applyBorder="1" applyAlignment="1">
      <alignment horizontal="center" vertical="center" readingOrder="2"/>
    </xf>
    <xf numFmtId="1" fontId="24" fillId="20" borderId="19" xfId="0" applyNumberFormat="1" applyFont="1" applyFill="1" applyBorder="1" applyAlignment="1">
      <alignment horizontal="center" vertical="center" readingOrder="2"/>
    </xf>
    <xf numFmtId="0" fontId="66" fillId="0" borderId="0" xfId="0" applyFont="1" applyAlignment="1">
      <alignment horizontal="right" vertical="center" readingOrder="2"/>
    </xf>
    <xf numFmtId="9" fontId="63" fillId="24" borderId="19" xfId="0" applyNumberFormat="1" applyFont="1" applyFill="1" applyBorder="1" applyAlignment="1">
      <alignment horizontal="center" vertical="center" readingOrder="2"/>
    </xf>
    <xf numFmtId="1" fontId="63" fillId="24" borderId="19" xfId="0" applyNumberFormat="1" applyFont="1" applyFill="1" applyBorder="1" applyAlignment="1">
      <alignment horizontal="center" vertical="center" readingOrder="2"/>
    </xf>
    <xf numFmtId="0" fontId="6" fillId="2" borderId="18" xfId="0" applyFont="1" applyFill="1" applyBorder="1" applyAlignment="1">
      <alignment horizontal="right" vertical="center" wrapText="1" readingOrder="2"/>
    </xf>
    <xf numFmtId="0" fontId="24" fillId="17" borderId="18" xfId="0" applyFont="1" applyFill="1" applyBorder="1" applyAlignment="1">
      <alignment horizontal="right" vertical="center" wrapText="1" readingOrder="2"/>
    </xf>
    <xf numFmtId="0" fontId="6" fillId="13" borderId="10" xfId="0" applyFont="1" applyFill="1" applyBorder="1" applyAlignment="1">
      <alignment horizontal="center" vertical="center" readingOrder="2"/>
    </xf>
    <xf numFmtId="0" fontId="6" fillId="14" borderId="11" xfId="0" applyFont="1" applyFill="1" applyBorder="1" applyAlignment="1">
      <alignment horizontal="center" vertical="center" readingOrder="2"/>
    </xf>
    <xf numFmtId="0" fontId="7" fillId="2" borderId="0" xfId="0" applyFont="1" applyFill="1" applyAlignment="1">
      <alignment horizontal="center" vertical="center" readingOrder="2"/>
    </xf>
    <xf numFmtId="0" fontId="7" fillId="15" borderId="0" xfId="0" applyFont="1" applyFill="1" applyAlignment="1">
      <alignment horizontal="center" vertical="center" readingOrder="2"/>
    </xf>
    <xf numFmtId="0" fontId="7" fillId="16" borderId="0" xfId="0" applyFont="1" applyFill="1" applyAlignment="1">
      <alignment horizontal="center" vertical="center" readingOrder="2"/>
    </xf>
    <xf numFmtId="0" fontId="7" fillId="5" borderId="0" xfId="0" applyFont="1" applyFill="1" applyAlignment="1">
      <alignment horizontal="center" vertical="center" readingOrder="2"/>
    </xf>
    <xf numFmtId="0" fontId="7" fillId="6" borderId="0" xfId="0" applyFont="1" applyFill="1" applyAlignment="1">
      <alignment horizontal="center" vertical="center" readingOrder="2"/>
    </xf>
    <xf numFmtId="0" fontId="7" fillId="9" borderId="0" xfId="0" applyFont="1" applyFill="1" applyAlignment="1">
      <alignment horizontal="center" vertical="center" readingOrder="2"/>
    </xf>
    <xf numFmtId="1" fontId="8" fillId="17" borderId="12" xfId="0" applyNumberFormat="1" applyFont="1" applyFill="1" applyBorder="1" applyAlignment="1">
      <alignment horizontal="center" vertical="center" readingOrder="2"/>
    </xf>
    <xf numFmtId="1" fontId="9" fillId="17" borderId="13" xfId="0" applyNumberFormat="1" applyFont="1" applyFill="1" applyBorder="1" applyAlignment="1">
      <alignment horizontal="center" vertical="center" readingOrder="2"/>
    </xf>
    <xf numFmtId="1" fontId="10" fillId="17" borderId="14" xfId="0" applyNumberFormat="1" applyFont="1" applyFill="1" applyBorder="1" applyAlignment="1">
      <alignment horizontal="center" vertical="center" readingOrder="2"/>
    </xf>
    <xf numFmtId="9" fontId="11" fillId="17" borderId="15" xfId="0" applyNumberFormat="1" applyFont="1" applyFill="1" applyBorder="1" applyAlignment="1">
      <alignment horizontal="center" vertical="center" readingOrder="2"/>
    </xf>
    <xf numFmtId="1" fontId="12" fillId="17" borderId="16" xfId="0" applyNumberFormat="1" applyFont="1" applyFill="1" applyBorder="1" applyAlignment="1">
      <alignment horizontal="center" vertical="center" readingOrder="2"/>
    </xf>
    <xf numFmtId="164" fontId="13" fillId="17" borderId="17" xfId="0" applyNumberFormat="1" applyFont="1" applyFill="1" applyBorder="1" applyAlignment="1">
      <alignment horizontal="center" vertical="center" readingOrder="2"/>
    </xf>
    <xf numFmtId="0" fontId="3" fillId="2" borderId="18" xfId="0" applyFont="1" applyFill="1" applyBorder="1" applyAlignment="1">
      <alignment horizontal="center" vertical="center" readingOrder="2"/>
    </xf>
    <xf numFmtId="0" fontId="6" fillId="8" borderId="18" xfId="0" applyFont="1" applyFill="1" applyBorder="1" applyAlignment="1">
      <alignment horizontal="center" vertical="center" readingOrder="2"/>
    </xf>
    <xf numFmtId="9" fontId="14" fillId="17" borderId="19" xfId="0" applyNumberFormat="1" applyFont="1" applyFill="1" applyBorder="1" applyAlignment="1">
      <alignment horizontal="center" vertical="center" readingOrder="2"/>
    </xf>
    <xf numFmtId="1" fontId="16" fillId="17" borderId="19" xfId="0" applyNumberFormat="1" applyFont="1" applyFill="1" applyBorder="1" applyAlignment="1">
      <alignment horizontal="center" vertical="center" readingOrder="2"/>
    </xf>
    <xf numFmtId="0" fontId="17" fillId="17" borderId="19" xfId="0" applyFont="1" applyFill="1" applyBorder="1" applyAlignment="1">
      <alignment horizontal="center" vertical="center" readingOrder="2"/>
    </xf>
    <xf numFmtId="0" fontId="6" fillId="9" borderId="18" xfId="0" applyFont="1" applyFill="1" applyBorder="1" applyAlignment="1">
      <alignment horizontal="center" vertical="center" readingOrder="2"/>
    </xf>
    <xf numFmtId="0" fontId="6" fillId="10" borderId="18" xfId="0" applyFont="1" applyFill="1" applyBorder="1" applyAlignment="1">
      <alignment horizontal="center" vertical="center" readingOrder="2"/>
    </xf>
    <xf numFmtId="0" fontId="6" fillId="6" borderId="18" xfId="0" applyFont="1" applyFill="1" applyBorder="1" applyAlignment="1">
      <alignment horizontal="center" vertical="center" readingOrder="2"/>
    </xf>
    <xf numFmtId="0" fontId="6" fillId="2" borderId="18" xfId="0" applyFont="1" applyFill="1" applyBorder="1" applyAlignment="1">
      <alignment horizontal="center" vertical="center" readingOrder="2"/>
    </xf>
    <xf numFmtId="9" fontId="6" fillId="2" borderId="18" xfId="0" applyNumberFormat="1" applyFont="1" applyFill="1" applyBorder="1" applyAlignment="1">
      <alignment horizontal="center" vertical="center" readingOrder="2"/>
    </xf>
    <xf numFmtId="1" fontId="6" fillId="2" borderId="18" xfId="0" applyNumberFormat="1" applyFont="1" applyFill="1" applyBorder="1" applyAlignment="1">
      <alignment horizontal="center" vertical="center" readingOrder="2"/>
    </xf>
    <xf numFmtId="0" fontId="15" fillId="2" borderId="18" xfId="0" applyFont="1" applyFill="1" applyBorder="1" applyAlignment="1">
      <alignment horizontal="center" vertical="center" readingOrder="2"/>
    </xf>
    <xf numFmtId="0" fontId="18" fillId="2" borderId="0" xfId="0" applyFont="1" applyFill="1" applyAlignment="1">
      <alignment horizontal="center" vertical="center" readingOrder="2"/>
    </xf>
    <xf numFmtId="0" fontId="3" fillId="2" borderId="2" xfId="0" applyFont="1" applyFill="1" applyBorder="1" applyAlignment="1">
      <alignment horizontal="center" vertical="center" readingOrder="2"/>
    </xf>
    <xf numFmtId="0" fontId="19" fillId="18" borderId="0" xfId="0" applyFont="1" applyFill="1" applyAlignment="1">
      <alignment horizontal="center" vertical="center" readingOrder="2"/>
    </xf>
    <xf numFmtId="0" fontId="20" fillId="19" borderId="0" xfId="0" applyFont="1" applyFill="1" applyAlignment="1">
      <alignment horizontal="right" vertical="center" wrapText="1" readingOrder="2"/>
    </xf>
    <xf numFmtId="0" fontId="29" fillId="8" borderId="0" xfId="0" applyFont="1" applyFill="1" applyAlignment="1">
      <alignment horizontal="center" vertical="center" readingOrder="2"/>
    </xf>
    <xf numFmtId="0" fontId="3" fillId="5" borderId="1" xfId="0" applyFont="1" applyFill="1" applyBorder="1" applyAlignment="1">
      <alignment horizontal="center" vertical="center" readingOrder="2"/>
    </xf>
    <xf numFmtId="0" fontId="3" fillId="8" borderId="5" xfId="0" applyFont="1" applyFill="1" applyBorder="1" applyAlignment="1">
      <alignment horizontal="center" vertical="center" readingOrder="2"/>
    </xf>
    <xf numFmtId="0" fontId="7" fillId="11" borderId="0" xfId="0" applyFont="1" applyFill="1" applyAlignment="1">
      <alignment horizontal="center" vertical="center" readingOrder="2"/>
    </xf>
    <xf numFmtId="1" fontId="30" fillId="22" borderId="0" xfId="0" applyNumberFormat="1" applyFont="1" applyFill="1" applyAlignment="1">
      <alignment horizontal="center" vertical="center" readingOrder="2"/>
    </xf>
    <xf numFmtId="0" fontId="31" fillId="22" borderId="0" xfId="0" applyFont="1" applyFill="1" applyAlignment="1">
      <alignment horizontal="center" vertical="center" readingOrder="2"/>
    </xf>
    <xf numFmtId="9" fontId="30" fillId="22" borderId="0" xfId="0" applyNumberFormat="1" applyFont="1" applyFill="1" applyAlignment="1">
      <alignment horizontal="center" vertical="center" readingOrder="2"/>
    </xf>
    <xf numFmtId="0" fontId="32" fillId="0" borderId="0" xfId="0" applyFont="1" applyAlignment="1">
      <alignment horizontal="center" vertical="center" readingOrder="2"/>
    </xf>
    <xf numFmtId="0" fontId="33" fillId="0" borderId="0" xfId="0" applyFont="1" applyAlignment="1">
      <alignment horizontal="center" vertical="center" readingOrder="2"/>
    </xf>
    <xf numFmtId="0" fontId="35" fillId="0" borderId="0" xfId="0" applyFont="1" applyAlignment="1">
      <alignment horizontal="right" vertical="center" wrapText="1" readingOrder="2"/>
    </xf>
    <xf numFmtId="0" fontId="26" fillId="0" borderId="0" xfId="0" applyFont="1" applyAlignment="1">
      <alignment horizontal="right" vertical="center" wrapText="1" readingOrder="2"/>
    </xf>
    <xf numFmtId="0" fontId="7" fillId="0" borderId="0" xfId="0" applyFont="1" applyAlignment="1">
      <alignment horizontal="center" vertical="center" readingOrder="2"/>
    </xf>
    <xf numFmtId="0" fontId="42" fillId="0" borderId="0" xfId="0" applyFont="1" applyAlignment="1">
      <alignment horizontal="center" vertical="center" readingOrder="2"/>
    </xf>
    <xf numFmtId="0" fontId="43" fillId="0" borderId="0" xfId="0" applyFont="1" applyAlignment="1">
      <alignment horizontal="center" vertical="center" readingOrder="2"/>
    </xf>
    <xf numFmtId="0" fontId="29" fillId="9" borderId="0" xfId="0" applyFont="1" applyFill="1" applyAlignment="1">
      <alignment horizontal="center" vertical="center" readingOrder="2"/>
    </xf>
    <xf numFmtId="0" fontId="3" fillId="9" borderId="6" xfId="0" applyFont="1" applyFill="1" applyBorder="1" applyAlignment="1">
      <alignment horizontal="center" vertical="center" readingOrder="2"/>
    </xf>
    <xf numFmtId="0" fontId="7" fillId="12" borderId="0" xfId="0" applyFont="1" applyFill="1" applyAlignment="1">
      <alignment horizontal="center" vertical="center" readingOrder="2"/>
    </xf>
    <xf numFmtId="1" fontId="44" fillId="22" borderId="0" xfId="0" applyNumberFormat="1" applyFont="1" applyFill="1" applyAlignment="1">
      <alignment horizontal="center" vertical="center" readingOrder="2"/>
    </xf>
    <xf numFmtId="0" fontId="45" fillId="22" borderId="0" xfId="0" applyFont="1" applyFill="1" applyAlignment="1">
      <alignment horizontal="center" vertical="center" readingOrder="2"/>
    </xf>
    <xf numFmtId="9" fontId="44" fillId="22" borderId="0" xfId="0" applyNumberFormat="1" applyFont="1" applyFill="1" applyAlignment="1">
      <alignment horizontal="center" vertical="center" readingOrder="2"/>
    </xf>
    <xf numFmtId="0" fontId="29" fillId="10" borderId="0" xfId="0" applyFont="1" applyFill="1" applyAlignment="1">
      <alignment horizontal="center" vertical="center" readingOrder="2"/>
    </xf>
    <xf numFmtId="0" fontId="3" fillId="10" borderId="7" xfId="0" applyFont="1" applyFill="1" applyBorder="1" applyAlignment="1">
      <alignment horizontal="center" vertical="center" readingOrder="2"/>
    </xf>
    <xf numFmtId="0" fontId="7" fillId="13" borderId="0" xfId="0" applyFont="1" applyFill="1" applyAlignment="1">
      <alignment horizontal="center" vertical="center" readingOrder="2"/>
    </xf>
    <xf numFmtId="1" fontId="46" fillId="22" borderId="0" xfId="0" applyNumberFormat="1" applyFont="1" applyFill="1" applyAlignment="1">
      <alignment horizontal="center" vertical="center" readingOrder="2"/>
    </xf>
    <xf numFmtId="0" fontId="47" fillId="22" borderId="0" xfId="0" applyFont="1" applyFill="1" applyAlignment="1">
      <alignment horizontal="center" vertical="center" readingOrder="2"/>
    </xf>
    <xf numFmtId="9" fontId="46" fillId="22" borderId="0" xfId="0" applyNumberFormat="1" applyFont="1" applyFill="1" applyAlignment="1">
      <alignment horizontal="center" vertical="center" readingOrder="2"/>
    </xf>
    <xf numFmtId="0" fontId="29" fillId="6" borderId="0" xfId="0" applyFont="1" applyFill="1" applyAlignment="1">
      <alignment horizontal="center" vertical="center" readingOrder="2"/>
    </xf>
    <xf numFmtId="0" fontId="3" fillId="6" borderId="3" xfId="0" applyFont="1" applyFill="1" applyBorder="1" applyAlignment="1">
      <alignment horizontal="center" vertical="center" readingOrder="2"/>
    </xf>
    <xf numFmtId="0" fontId="7" fillId="14" borderId="0" xfId="0" applyFont="1" applyFill="1" applyAlignment="1">
      <alignment horizontal="center" vertical="center" readingOrder="2"/>
    </xf>
    <xf numFmtId="1" fontId="48" fillId="22" borderId="0" xfId="0" applyNumberFormat="1" applyFont="1" applyFill="1" applyAlignment="1">
      <alignment horizontal="center" vertical="center" readingOrder="2"/>
    </xf>
    <xf numFmtId="0" fontId="49" fillId="22" borderId="0" xfId="0" applyFont="1" applyFill="1" applyAlignment="1">
      <alignment horizontal="center" vertical="center" readingOrder="2"/>
    </xf>
    <xf numFmtId="9" fontId="48" fillId="22" borderId="0" xfId="0" applyNumberFormat="1" applyFont="1" applyFill="1" applyAlignment="1">
      <alignment horizontal="center" vertical="center" readingOrder="2"/>
    </xf>
    <xf numFmtId="0" fontId="18" fillId="8" borderId="0" xfId="0" applyFont="1" applyFill="1" applyAlignment="1">
      <alignment horizontal="center" vertical="center" readingOrder="2"/>
    </xf>
    <xf numFmtId="0" fontId="50" fillId="22" borderId="0" xfId="0" applyFont="1" applyFill="1" applyAlignment="1">
      <alignment horizontal="center" vertical="center" wrapText="1" readingOrder="2"/>
    </xf>
    <xf numFmtId="0" fontId="51" fillId="19" borderId="0" xfId="0" applyFont="1" applyFill="1" applyAlignment="1">
      <alignment horizontal="center" vertical="center" readingOrder="2"/>
    </xf>
    <xf numFmtId="0" fontId="52" fillId="22" borderId="0" xfId="0" applyFont="1" applyFill="1" applyAlignment="1">
      <alignment horizontal="right" vertical="center" readingOrder="2"/>
    </xf>
    <xf numFmtId="0" fontId="35" fillId="22" borderId="0" xfId="0" applyFont="1" applyFill="1" applyAlignment="1">
      <alignment horizontal="right" vertical="center" readingOrder="2"/>
    </xf>
    <xf numFmtId="0" fontId="18" fillId="9" borderId="0" xfId="0" applyFont="1" applyFill="1" applyAlignment="1">
      <alignment horizontal="center" vertical="center" readingOrder="2"/>
    </xf>
    <xf numFmtId="0" fontId="58" fillId="22" borderId="0" xfId="0" applyFont="1" applyFill="1" applyAlignment="1">
      <alignment horizontal="center" vertical="center" wrapText="1" readingOrder="2"/>
    </xf>
    <xf numFmtId="0" fontId="18" fillId="10" borderId="0" xfId="0" applyFont="1" applyFill="1" applyAlignment="1">
      <alignment horizontal="center" vertical="center" readingOrder="2"/>
    </xf>
    <xf numFmtId="0" fontId="53" fillId="22" borderId="0" xfId="0" applyFont="1" applyFill="1" applyAlignment="1">
      <alignment horizontal="center" vertical="center" wrapText="1" readingOrder="2"/>
    </xf>
    <xf numFmtId="0" fontId="18" fillId="6" borderId="0" xfId="0" applyFont="1" applyFill="1" applyAlignment="1">
      <alignment horizontal="center" vertical="center" readingOrder="2"/>
    </xf>
    <xf numFmtId="0" fontId="59" fillId="22" borderId="0" xfId="0" applyFont="1" applyFill="1" applyAlignment="1">
      <alignment horizontal="center" vertical="center" wrapText="1" readingOrder="2"/>
    </xf>
    <xf numFmtId="0" fontId="60" fillId="6" borderId="0" xfId="0" applyFont="1" applyFill="1" applyAlignment="1">
      <alignment horizontal="center" vertical="center" readingOrder="2"/>
    </xf>
    <xf numFmtId="0" fontId="61" fillId="23" borderId="0" xfId="0" applyFont="1" applyFill="1" applyAlignment="1">
      <alignment horizontal="center" vertical="center" readingOrder="2"/>
    </xf>
    <xf numFmtId="0" fontId="52" fillId="0" borderId="0" xfId="0" applyFont="1" applyAlignment="1">
      <alignment horizontal="center" vertical="center" readingOrder="2"/>
    </xf>
    <xf numFmtId="0" fontId="60" fillId="2" borderId="0" xfId="0" applyFont="1" applyFill="1" applyAlignment="1">
      <alignment horizontal="center" vertical="center" readingOrder="2"/>
    </xf>
    <xf numFmtId="0" fontId="68" fillId="21" borderId="19" xfId="0" applyFont="1" applyFill="1" applyBorder="1" applyAlignment="1" applyProtection="1">
      <alignment horizontal="right" vertical="center" readingOrder="2"/>
      <protection locked="0"/>
    </xf>
    <xf numFmtId="0" fontId="69" fillId="24" borderId="19" xfId="0" applyFont="1" applyFill="1" applyBorder="1" applyAlignment="1">
      <alignment horizontal="center" vertical="center" readingOrder="2"/>
    </xf>
    <xf numFmtId="0" fontId="70" fillId="21" borderId="19" xfId="0" applyFont="1" applyFill="1" applyBorder="1" applyAlignment="1" applyProtection="1">
      <alignment horizontal="right" vertical="center" wrapText="1" readingOrder="2"/>
      <protection locked="0"/>
    </xf>
    <xf numFmtId="0" fontId="68" fillId="21" borderId="19" xfId="0" applyFont="1" applyFill="1" applyBorder="1" applyAlignment="1" applyProtection="1">
      <alignment horizontal="center" vertical="center" readingOrder="2"/>
      <protection locked="0"/>
    </xf>
  </cellXfs>
  <cellStyles count="2">
    <cellStyle name="Normal" xfId="0" builtinId="0"/>
    <cellStyle name="Normal 2" xfId="1" xr:uid="{13DD9753-1E72-4509-BAB7-44E63BA7FEB6}"/>
  </cellStyles>
  <dxfs count="155">
    <dxf>
      <font>
        <color rgb="FF9CA3AF"/>
      </font>
      <fill>
        <patternFill>
          <bgColor rgb="FFF3F4F6"/>
        </patternFill>
      </fill>
    </dxf>
    <dxf>
      <font>
        <b/>
        <color rgb="FF9C0006"/>
      </font>
      <fill>
        <patternFill>
          <bgColor rgb="FFFFC7CE"/>
        </patternFill>
      </fill>
    </dxf>
    <dxf>
      <fill>
        <patternFill>
          <bgColor rgb="FFFDF2F1"/>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C0392B"/>
        </patternFill>
      </fill>
    </dxf>
    <dxf>
      <fill>
        <patternFill>
          <bgColor rgb="FF9CA3AF"/>
        </patternFill>
      </fill>
    </dxf>
    <dxf>
      <fill>
        <patternFill>
          <bgColor rgb="FFFFFFFF"/>
        </patternFill>
      </fill>
    </dxf>
    <dxf>
      <fill>
        <patternFill>
          <bgColor rgb="FFD6589F"/>
        </patternFill>
      </fill>
    </dxf>
    <dxf>
      <fill>
        <patternFill>
          <bgColor rgb="FF3B82C4"/>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2E8B57"/>
        </patternFill>
      </fill>
    </dxf>
    <dxf>
      <fill>
        <patternFill>
          <bgColor rgb="FF9CA3AF"/>
        </patternFill>
      </fill>
    </dxf>
    <dxf>
      <fill>
        <patternFill>
          <bgColor rgb="FFFFFFFF"/>
        </patternFill>
      </fill>
    </dxf>
    <dxf>
      <fill>
        <patternFill>
          <bgColor rgb="FFD6589F"/>
        </patternFill>
      </fill>
    </dxf>
    <dxf>
      <fill>
        <patternFill>
          <bgColor rgb="FF3B82C4"/>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6B4BB8"/>
        </patternFill>
      </fill>
    </dxf>
    <dxf>
      <fill>
        <patternFill>
          <bgColor rgb="FF9CA3AF"/>
        </patternFill>
      </fill>
    </dxf>
    <dxf>
      <fill>
        <patternFill>
          <bgColor rgb="FFFFFFFF"/>
        </patternFill>
      </fill>
    </dxf>
    <dxf>
      <fill>
        <patternFill>
          <bgColor rgb="FFD6589F"/>
        </patternFill>
      </fill>
    </dxf>
    <dxf>
      <fill>
        <patternFill>
          <bgColor rgb="FF3B82C4"/>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0E7C86"/>
        </patternFill>
      </fill>
    </dxf>
    <dxf>
      <fill>
        <patternFill>
          <bgColor rgb="FF9CA3AF"/>
        </patternFill>
      </fill>
    </dxf>
    <dxf>
      <fill>
        <patternFill>
          <bgColor rgb="FFFFFFFF"/>
        </patternFill>
      </fill>
    </dxf>
    <dxf>
      <fill>
        <patternFill>
          <bgColor rgb="FFD6589F"/>
        </patternFill>
      </fill>
    </dxf>
    <dxf>
      <fill>
        <patternFill>
          <bgColor rgb="FF3B82C4"/>
        </patternFill>
      </fill>
    </dxf>
    <dxf>
      <font>
        <color rgb="FF9CA3AF"/>
      </font>
      <fill>
        <patternFill>
          <bgColor rgb="FFF3F4F6"/>
        </patternFill>
      </fill>
    </dxf>
    <dxf>
      <font>
        <b/>
        <color rgb="FFB42318"/>
      </font>
      <fill>
        <patternFill>
          <bgColor rgb="FFFADBD8"/>
        </patternFill>
      </fill>
    </dxf>
    <dxf>
      <font>
        <b/>
        <color rgb="FF7A5B00"/>
      </font>
      <fill>
        <patternFill>
          <bgColor rgb="FFFFF0C2"/>
        </patternFill>
      </fill>
    </dxf>
    <dxf>
      <font>
        <b/>
        <color rgb="FF1D5A94"/>
      </font>
      <fill>
        <patternFill>
          <bgColor rgb="FFE3EEFB"/>
        </patternFill>
      </fill>
    </dxf>
    <dxf>
      <font>
        <b/>
        <color rgb="FF1F6A40"/>
      </font>
      <fill>
        <patternFill>
          <bgColor rgb="FFDDF1E5"/>
        </patternFill>
      </fill>
    </dxf>
    <dxf>
      <font>
        <b/>
        <color rgb="FF8E2A1F"/>
      </font>
      <fill>
        <patternFill>
          <bgColor rgb="FFFADBD8"/>
        </patternFill>
      </fill>
    </dxf>
    <dxf>
      <font>
        <b/>
        <color rgb="FF1F6A40"/>
      </font>
      <fill>
        <patternFill>
          <bgColor rgb="FFDDF1E5"/>
        </patternFill>
      </fill>
    </dxf>
    <dxf>
      <font>
        <b/>
        <color rgb="FF4C3386"/>
      </font>
      <fill>
        <patternFill>
          <bgColor rgb="FFE7E0F7"/>
        </patternFill>
      </fill>
    </dxf>
    <dxf>
      <font>
        <b/>
        <color rgb="FF095A61"/>
      </font>
      <fill>
        <patternFill>
          <bgColor rgb="FFD8F0F2"/>
        </patternFill>
      </fill>
    </dxf>
    <dxf>
      <fill>
        <patternFill>
          <bgColor rgb="FFFDE2E2"/>
        </patternFill>
      </fill>
    </dxf>
    <dxf>
      <font>
        <color rgb="FFB42318"/>
      </font>
      <fill>
        <patternFill>
          <bgColor rgb="FFFDE2E2"/>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
      <font>
        <b/>
        <color rgb="FFA3306F"/>
      </font>
      <fill>
        <patternFill>
          <bgColor rgb="FFFBE0EE"/>
        </patternFill>
      </fill>
    </dxf>
    <dxf>
      <font>
        <b/>
        <color rgb="FF1D5A94"/>
      </font>
      <fill>
        <patternFill>
          <bgColor rgb="FFDCEBFA"/>
        </patternFill>
      </fill>
    </dxf>
  </dxfs>
  <tableStyles count="0" defaultTableStyle="TableStyleMedium2" defaultPivotStyle="PivotStyleLight16"/>
  <colors>
    <indexedColors>
      <rgbColor rgb="FF000000"/>
      <rgbColor rgb="FFFFFFFF"/>
      <rgbColor rgb="FFFDF2F1"/>
      <rgbColor rgb="FFEEF2F7"/>
      <rgbColor rgb="FF0000FF"/>
      <rgbColor rgb="FFFFF0C2"/>
      <rgbColor rgb="FFFDE2E2"/>
      <rgbColor rgb="FFE7EBF3"/>
      <rgbColor rgb="FF9C0006"/>
      <rgbColor rgb="FF006100"/>
      <rgbColor rgb="FF1F6B3F"/>
      <rgbColor rgb="FF7A5B00"/>
      <rgbColor rgb="FF6B4BB8"/>
      <rgbColor rgb="FF0E7C86"/>
      <rgbColor rgb="FFE7E0F7"/>
      <rgbColor rgb="FF818B8C"/>
      <rgbColor rgb="FF6B7280"/>
      <rgbColor rgb="FFBF382C"/>
      <rgbColor rgb="FFFFF9DB"/>
      <rgbColor rgb="FFDDF1E5"/>
      <rgbColor rgb="FFF3F4F6"/>
      <rgbColor rgb="FFD6589F"/>
      <rgbColor rgb="FF195A96"/>
      <rgbColor rgb="FFD5DAE3"/>
      <rgbColor rgb="FFF8FAFC"/>
      <rgbColor rgb="FFFDE8E6"/>
      <rgbColor rgb="FFFFF3C4"/>
      <rgbColor rgb="FFE8F0FB"/>
      <rgbColor rgb="FFF1F3F6"/>
      <rgbColor rgb="FF9C5700"/>
      <rgbColor rgb="FF095A61"/>
      <rgbColor rgb="FFF4F6FA"/>
      <rgbColor rgb="FFEEF0F4"/>
      <rgbColor rgb="FFDCECFA"/>
      <rgbColor rgb="FFC6EFCE"/>
      <rgbColor rgb="FFFFEB9C"/>
      <rgbColor rgb="FFE3E8F0"/>
      <rgbColor rgb="FFFADBD8"/>
      <rgbColor rgb="FFFBE0EE"/>
      <rgbColor rgb="FFFFC7CE"/>
      <rgbColor rgb="FF3B82C4"/>
      <rgbColor rgb="FF1E9E4A"/>
      <rgbColor rgb="FFE5E7EB"/>
      <rgbColor rgb="FFFFF4CC"/>
      <rgbColor rgb="FFC9A227"/>
      <rgbColor rgb="FFD64545"/>
      <rgbColor rgb="FF5B6B8C"/>
      <rgbColor rgb="FF9CA3AF"/>
      <rgbColor rgb="FF1F2A45"/>
      <rgbColor rgb="FF2E8B57"/>
      <rgbColor rgb="FF136B31"/>
      <rgbColor rgb="FF4B5563"/>
      <rgbColor rgb="FF8D281D"/>
      <rgbColor rgb="FFB42318"/>
      <rgbColor rgb="FF4C3386"/>
      <rgbColor rgb="FF1F293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ar-SA" sz="1800" b="1" strike="noStrike" spc="-1">
                <a:solidFill>
                  <a:srgbClr val="000000"/>
                </a:solidFill>
                <a:latin typeface="Calibri"/>
              </a:rPr>
              <a:t>عدد الأطفال في كل فصل</a:t>
            </a:r>
          </a:p>
        </c:rich>
      </c:tx>
      <c:overlay val="0"/>
      <c:spPr>
        <a:noFill/>
        <a:ln w="0">
          <a:noFill/>
        </a:ln>
      </c:spPr>
    </c:title>
    <c:autoTitleDeleted val="0"/>
    <c:plotArea>
      <c:layout/>
      <c:barChart>
        <c:barDir val="col"/>
        <c:grouping val="stacked"/>
        <c:varyColors val="0"/>
        <c:ser>
          <c:idx val="0"/>
          <c:order val="0"/>
          <c:tx>
            <c:strRef>
              <c:f>الرئيسية!$E$15</c:f>
              <c:strCache>
                <c:ptCount val="1"/>
                <c:pt idx="0">
                  <c:v>أولاد</c:v>
                </c:pt>
              </c:strCache>
            </c:strRef>
          </c:tx>
          <c:spPr>
            <a:solidFill>
              <a:srgbClr val="3B82C4"/>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الرئيسية!$B$16:$B$19</c:f>
              <c:strCache>
                <c:ptCount val="4"/>
                <c:pt idx="0">
                  <c:v>سوريال</c:v>
                </c:pt>
                <c:pt idx="1">
                  <c:v>غبريال</c:v>
                </c:pt>
                <c:pt idx="2">
                  <c:v>رفائيل</c:v>
                </c:pt>
                <c:pt idx="3">
                  <c:v>ميخائيل</c:v>
                </c:pt>
              </c:strCache>
            </c:strRef>
          </c:cat>
          <c:val>
            <c:numRef>
              <c:f>الرئيسية!$E$16:$E$19</c:f>
              <c:numCache>
                <c:formatCode>0</c:formatCode>
                <c:ptCount val="4"/>
                <c:pt idx="0">
                  <c:v>13</c:v>
                </c:pt>
                <c:pt idx="1">
                  <c:v>10</c:v>
                </c:pt>
                <c:pt idx="2">
                  <c:v>0</c:v>
                </c:pt>
                <c:pt idx="3">
                  <c:v>0</c:v>
                </c:pt>
              </c:numCache>
            </c:numRef>
          </c:val>
          <c:extLst>
            <c:ext xmlns:c16="http://schemas.microsoft.com/office/drawing/2014/chart" uri="{C3380CC4-5D6E-409C-BE32-E72D297353CC}">
              <c16:uniqueId val="{00000000-729B-42E7-B4DC-3761D7D89A4D}"/>
            </c:ext>
          </c:extLst>
        </c:ser>
        <c:ser>
          <c:idx val="1"/>
          <c:order val="1"/>
          <c:tx>
            <c:strRef>
              <c:f>الرئيسية!$F$15</c:f>
              <c:strCache>
                <c:ptCount val="1"/>
                <c:pt idx="0">
                  <c:v>بنات</c:v>
                </c:pt>
              </c:strCache>
            </c:strRef>
          </c:tx>
          <c:spPr>
            <a:solidFill>
              <a:srgbClr val="D6589F"/>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الرئيسية!$B$16:$B$19</c:f>
              <c:strCache>
                <c:ptCount val="4"/>
                <c:pt idx="0">
                  <c:v>سوريال</c:v>
                </c:pt>
                <c:pt idx="1">
                  <c:v>غبريال</c:v>
                </c:pt>
                <c:pt idx="2">
                  <c:v>رفائيل</c:v>
                </c:pt>
                <c:pt idx="3">
                  <c:v>ميخائيل</c:v>
                </c:pt>
              </c:strCache>
            </c:strRef>
          </c:cat>
          <c:val>
            <c:numRef>
              <c:f>الرئيسية!$F$16:$F$19</c:f>
              <c:numCache>
                <c:formatCode>0</c:formatCode>
                <c:ptCount val="4"/>
                <c:pt idx="0">
                  <c:v>11</c:v>
                </c:pt>
                <c:pt idx="1">
                  <c:v>14</c:v>
                </c:pt>
                <c:pt idx="2">
                  <c:v>0</c:v>
                </c:pt>
                <c:pt idx="3">
                  <c:v>0</c:v>
                </c:pt>
              </c:numCache>
            </c:numRef>
          </c:val>
          <c:extLst>
            <c:ext xmlns:c16="http://schemas.microsoft.com/office/drawing/2014/chart" uri="{C3380CC4-5D6E-409C-BE32-E72D297353CC}">
              <c16:uniqueId val="{00000001-729B-42E7-B4DC-3761D7D89A4D}"/>
            </c:ext>
          </c:extLst>
        </c:ser>
        <c:dLbls>
          <c:showLegendKey val="0"/>
          <c:showVal val="0"/>
          <c:showCatName val="0"/>
          <c:showSerName val="0"/>
          <c:showPercent val="0"/>
          <c:showBubbleSize val="0"/>
        </c:dLbls>
        <c:gapWidth val="150"/>
        <c:overlap val="100"/>
        <c:axId val="27742820"/>
        <c:axId val="99149967"/>
      </c:barChart>
      <c:catAx>
        <c:axId val="2774282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9149967"/>
        <c:crosses val="autoZero"/>
        <c:auto val="1"/>
        <c:lblAlgn val="ctr"/>
        <c:lblOffset val="100"/>
        <c:noMultiLvlLbl val="0"/>
      </c:catAx>
      <c:valAx>
        <c:axId val="99149967"/>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7742820"/>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ar-SA" sz="1800" b="1" strike="noStrike" spc="-1">
                <a:solidFill>
                  <a:srgbClr val="000000"/>
                </a:solidFill>
                <a:latin typeface="Calibri"/>
              </a:rPr>
              <a:t>نسبة الحضور لكل فصل</a:t>
            </a:r>
          </a:p>
        </c:rich>
      </c:tx>
      <c:overlay val="0"/>
      <c:spPr>
        <a:noFill/>
        <a:ln w="0">
          <a:noFill/>
        </a:ln>
      </c:spPr>
    </c:title>
    <c:autoTitleDeleted val="0"/>
    <c:plotArea>
      <c:layout/>
      <c:barChart>
        <c:barDir val="col"/>
        <c:grouping val="clustered"/>
        <c:varyColors val="0"/>
        <c:ser>
          <c:idx val="0"/>
          <c:order val="0"/>
          <c:tx>
            <c:strRef>
              <c:f>الرئيسية!$G$15</c:f>
              <c:strCache>
                <c:ptCount val="1"/>
                <c:pt idx="0">
                  <c:v>نسبة الحضور</c:v>
                </c:pt>
              </c:strCache>
            </c:strRef>
          </c:tx>
          <c:spPr>
            <a:solidFill>
              <a:srgbClr val="1E9E4A"/>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الرئيسية!$B$16:$B$19</c:f>
              <c:strCache>
                <c:ptCount val="4"/>
                <c:pt idx="0">
                  <c:v>سوريال</c:v>
                </c:pt>
                <c:pt idx="1">
                  <c:v>غبريال</c:v>
                </c:pt>
                <c:pt idx="2">
                  <c:v>رفائيل</c:v>
                </c:pt>
                <c:pt idx="3">
                  <c:v>ميخائيل</c:v>
                </c:pt>
              </c:strCache>
            </c:strRef>
          </c:cat>
          <c:val>
            <c:numRef>
              <c:f>الرئيسية!$G$16:$G$19</c:f>
              <c:numCache>
                <c:formatCode>0%</c:formatCode>
                <c:ptCount val="4"/>
                <c:pt idx="0">
                  <c:v>0</c:v>
                </c:pt>
                <c:pt idx="1">
                  <c:v>0</c:v>
                </c:pt>
                <c:pt idx="2">
                  <c:v>0</c:v>
                </c:pt>
                <c:pt idx="3">
                  <c:v>0</c:v>
                </c:pt>
              </c:numCache>
            </c:numRef>
          </c:val>
          <c:extLst>
            <c:ext xmlns:c16="http://schemas.microsoft.com/office/drawing/2014/chart" uri="{C3380CC4-5D6E-409C-BE32-E72D297353CC}">
              <c16:uniqueId val="{00000000-9997-478B-AB0F-519CF5D6DA88}"/>
            </c:ext>
          </c:extLst>
        </c:ser>
        <c:dLbls>
          <c:showLegendKey val="0"/>
          <c:showVal val="0"/>
          <c:showCatName val="0"/>
          <c:showSerName val="0"/>
          <c:showPercent val="0"/>
          <c:showBubbleSize val="0"/>
        </c:dLbls>
        <c:gapWidth val="150"/>
        <c:axId val="97414006"/>
        <c:axId val="61380466"/>
      </c:barChart>
      <c:catAx>
        <c:axId val="9741400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1380466"/>
        <c:crosses val="autoZero"/>
        <c:auto val="1"/>
        <c:lblAlgn val="ctr"/>
        <c:lblOffset val="100"/>
        <c:noMultiLvlLbl val="0"/>
      </c:catAx>
      <c:valAx>
        <c:axId val="61380466"/>
        <c:scaling>
          <c:orientation val="minMax"/>
          <c:max val="1"/>
          <c:min val="0"/>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7414006"/>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-630720</xdr:colOff>
      <xdr:row>21</xdr:row>
      <xdr:rowOff>0</xdr:rowOff>
    </xdr:from>
    <xdr:to>
      <xdr:col>6</xdr:col>
      <xdr:colOff>0</xdr:colOff>
      <xdr:row>35</xdr:row>
      <xdr:rowOff>32400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-630720</xdr:colOff>
      <xdr:row>21</xdr:row>
      <xdr:rowOff>0</xdr:rowOff>
    </xdr:from>
    <xdr:to>
      <xdr:col>12</xdr:col>
      <xdr:colOff>0</xdr:colOff>
      <xdr:row>35</xdr:row>
      <xdr:rowOff>32400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4">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14</v>
    <v>4</v>
  </rv>
  <rv s="0">
    <v>15</v>
    <v>4</v>
  </rv>
  <rv s="0">
    <v>16</v>
    <v>4</v>
  </rv>
  <rv s="0">
    <v>17</v>
    <v>4</v>
  </rv>
  <rv s="0">
    <v>18</v>
    <v>4</v>
  </rv>
  <rv s="0">
    <v>19</v>
    <v>4</v>
  </rv>
  <rv s="0">
    <v>20</v>
    <v>4</v>
  </rv>
  <rv s="0">
    <v>21</v>
    <v>4</v>
  </rv>
  <rv s="0">
    <v>22</v>
    <v>4</v>
  </rv>
  <rv s="0">
    <v>23</v>
    <v>4</v>
  </rv>
  <rv s="0">
    <v>24</v>
    <v>4</v>
  </rv>
  <rv s="0">
    <v>25</v>
    <v>4</v>
  </rv>
  <rv s="0">
    <v>26</v>
    <v>4</v>
  </rv>
  <rv s="0">
    <v>0</v>
    <v>4</v>
  </rv>
  <rv s="0">
    <v>1</v>
    <v>4</v>
  </rv>
  <rv s="0">
    <v>2</v>
    <v>4</v>
  </rv>
  <rv s="0">
    <v>3</v>
    <v>4</v>
  </rv>
  <rv s="0">
    <v>4</v>
    <v>4</v>
  </rv>
  <rv s="0">
    <v>5</v>
    <v>4</v>
  </rv>
  <rv s="0">
    <v>6</v>
    <v>4</v>
  </rv>
  <rv s="0">
    <v>7</v>
    <v>4</v>
  </rv>
  <rv s="0">
    <v>8</v>
    <v>4</v>
  </rv>
  <rv s="0">
    <v>9</v>
    <v>4</v>
  </rv>
  <rv s="0">
    <v>10</v>
    <v>4</v>
  </rv>
  <rv s="0">
    <v>11</v>
    <v>4</v>
  </rv>
  <rv s="0">
    <v>12</v>
    <v>4</v>
  </rv>
  <rv s="0">
    <v>13</v>
    <v>4</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ichValueRel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M20"/>
  <sheetViews>
    <sheetView showGridLines="0" rightToLeft="1" zoomScale="90" zoomScaleNormal="90" workbookViewId="0">
      <selection activeCell="E7" sqref="E7:G7"/>
    </sheetView>
  </sheetViews>
  <sheetFormatPr defaultColWidth="8.6640625" defaultRowHeight="14.4"/>
  <cols>
    <col min="1" max="1" width="2" customWidth="1"/>
    <col min="2" max="13" width="12" customWidth="1"/>
    <col min="14" max="14" width="2" customWidth="1"/>
  </cols>
  <sheetData>
    <row r="1" spans="2:13" ht="61.5" customHeight="1">
      <c r="B1" s="13" t="s">
        <v>0</v>
      </c>
      <c r="C1" s="13"/>
      <c r="D1" s="13"/>
      <c r="E1" s="13"/>
      <c r="F1" s="13"/>
      <c r="G1" s="13"/>
      <c r="H1" s="13"/>
      <c r="I1" s="13"/>
      <c r="J1" s="13"/>
      <c r="K1" s="13"/>
      <c r="L1" s="13"/>
      <c r="M1" s="13"/>
    </row>
    <row r="2" spans="2:13" ht="25.5" customHeight="1">
      <c r="B2" s="12" t="str">
        <f>"العام الخدمي  "&amp;DAY(الإعدادات!$B$10)&amp;"/"&amp;MONTH(الإعدادات!$B$10)&amp;"/"&amp;YEAR(الإعدادات!$B$10)&amp;"   ←   "&amp;DAY(الإعدادات!$B$11)&amp;"/"&amp;MONTH(الإعدادات!$B$11)&amp;"/"&amp;YEAR(الإعدادات!$B$11)&amp;"      •      اجتماع كل "&amp;الإعدادات!$B$12</f>
        <v>العام الخدمي  1/10/2026   ←   1/10/2027      •      اجتماع كل الجمعة</v>
      </c>
      <c r="C2" s="12"/>
      <c r="D2" s="12"/>
      <c r="E2" s="12"/>
      <c r="F2" s="12"/>
      <c r="G2" s="12"/>
      <c r="H2" s="12"/>
      <c r="I2" s="12"/>
      <c r="J2" s="12"/>
      <c r="K2" s="12"/>
      <c r="L2" s="12"/>
      <c r="M2" s="12"/>
    </row>
    <row r="3" spans="2:13" ht="9.75" customHeight="1"/>
    <row r="4" spans="2:13" ht="25.5" customHeight="1">
      <c r="B4" s="11" t="s">
        <v>1</v>
      </c>
      <c r="C4" s="11"/>
      <c r="D4" s="11"/>
      <c r="E4" s="11"/>
      <c r="F4" s="11"/>
      <c r="G4" s="11"/>
      <c r="H4" s="11"/>
      <c r="I4" s="11"/>
      <c r="J4" s="11"/>
      <c r="K4" s="11"/>
      <c r="L4" s="11"/>
      <c r="M4" s="11"/>
    </row>
    <row r="5" spans="2:13" ht="42" customHeight="1">
      <c r="B5" s="10" t="str">
        <f>HYPERLINK("#'قاعدة البيانات'!C"&amp;MIN(305,6+COUNTA('قاعدة البيانات'!$C$6:$C$305)),"➕ إضافة طفل جديد")</f>
        <v>➕ إضافة طفل جديد</v>
      </c>
      <c r="C5" s="10"/>
      <c r="D5" s="10"/>
      <c r="E5" s="9" t="str">
        <f>HYPERLINK("#'قاعدة البيانات'!A1","📋 قاعدة البيانات")</f>
        <v>📋 قاعدة البيانات</v>
      </c>
      <c r="F5" s="9"/>
      <c r="G5" s="9"/>
      <c r="H5" s="8" t="str">
        <f>HYPERLINK("#'الافتقاد'!A1","📞 الافتقاد")</f>
        <v>📞 الافتقاد</v>
      </c>
      <c r="I5" s="8"/>
      <c r="J5" s="7" t="str">
        <f>HYPERLINK("#'الإعدادات'!A1","⚙️ الإعدادات")</f>
        <v>⚙️ الإعدادات</v>
      </c>
      <c r="K5" s="7"/>
      <c r="L5" s="7" t="str">
        <f>HYPERLINK("#'دليل الاستخدام'!A1","📖 الدليل")</f>
        <v>📖 الدليل</v>
      </c>
      <c r="M5" s="7"/>
    </row>
    <row r="6" spans="2:13" ht="6" customHeight="1"/>
    <row r="7" spans="2:13" ht="42" customHeight="1">
      <c r="B7" s="6" t="str">
        <f>HYPERLINK("#'فصل سوريال'!A1","🪪 كروت ملاك سوريال")</f>
        <v>🪪 كروت ملاك سوريال</v>
      </c>
      <c r="C7" s="6"/>
      <c r="D7" s="6"/>
      <c r="E7" s="5" t="str">
        <f>HYPERLINK("#'فصل غبريال'!A1","🪪 كروت ملاك غبريال")</f>
        <v>🪪 كروت ملاك غبريال</v>
      </c>
      <c r="F7" s="5"/>
      <c r="G7" s="5"/>
      <c r="H7" s="4" t="str">
        <f>HYPERLINK("#'فصل رفائيل'!A1","🪪 كروت ملاك رفائيل")</f>
        <v>🪪 كروت ملاك رفائيل</v>
      </c>
      <c r="I7" s="4"/>
      <c r="J7" s="4"/>
      <c r="K7" s="3" t="str">
        <f>HYPERLINK("#'فصل ميخائيل'!A1","🪪 كروت ملاك ميخائيل")</f>
        <v>🪪 كروت ملاك ميخائيل</v>
      </c>
      <c r="L7" s="3"/>
      <c r="M7" s="3"/>
    </row>
    <row r="8" spans="2:13" ht="42" customHeight="1">
      <c r="B8" s="2" t="str">
        <f>HYPERLINK("#'حضور سوريال'!A1","📅 حضور سوريال")</f>
        <v>📅 حضور سوريال</v>
      </c>
      <c r="C8" s="2"/>
      <c r="D8" s="2"/>
      <c r="E8" s="1" t="str">
        <f>HYPERLINK("#'حضور غبريال'!A1","📅 حضور غبريال")</f>
        <v>📅 حضور غبريال</v>
      </c>
      <c r="F8" s="1"/>
      <c r="G8" s="1"/>
      <c r="H8" s="84" t="str">
        <f>HYPERLINK("#'حضور رفائيل'!A1","📅 حضور رفائيل")</f>
        <v>📅 حضور رفائيل</v>
      </c>
      <c r="I8" s="84"/>
      <c r="J8" s="84"/>
      <c r="K8" s="85" t="str">
        <f>HYPERLINK("#'حضور ميخائيل'!A1","📅 حضور ميخائيل")</f>
        <v>📅 حضور ميخائيل</v>
      </c>
      <c r="L8" s="85"/>
      <c r="M8" s="85"/>
    </row>
    <row r="9" spans="2:13" ht="9.75" customHeight="1"/>
    <row r="10" spans="2:13" ht="25.5" customHeight="1">
      <c r="B10" s="11" t="s">
        <v>2</v>
      </c>
      <c r="C10" s="11"/>
      <c r="D10" s="11"/>
      <c r="E10" s="11"/>
      <c r="F10" s="11"/>
      <c r="G10" s="11"/>
      <c r="H10" s="11"/>
      <c r="I10" s="11"/>
      <c r="J10" s="11"/>
      <c r="K10" s="11"/>
      <c r="L10" s="11"/>
      <c r="M10" s="11"/>
    </row>
    <row r="11" spans="2:13" ht="21.75" customHeight="1">
      <c r="B11" s="86" t="s">
        <v>3</v>
      </c>
      <c r="C11" s="86"/>
      <c r="D11" s="87" t="s">
        <v>4</v>
      </c>
      <c r="E11" s="87"/>
      <c r="F11" s="88" t="s">
        <v>5</v>
      </c>
      <c r="G11" s="88"/>
      <c r="H11" s="89" t="s">
        <v>6</v>
      </c>
      <c r="I11" s="89"/>
      <c r="J11" s="90" t="s">
        <v>7</v>
      </c>
      <c r="K11" s="90"/>
      <c r="L11" s="91" t="s">
        <v>8</v>
      </c>
      <c r="M11" s="91"/>
    </row>
    <row r="12" spans="2:13" ht="49.5" customHeight="1">
      <c r="B12" s="92">
        <f>COUNTIFS('قاعدة البيانات'!$C$6:$C$305,"&lt;&gt;",'قاعدة البيانات'!$M$6:$M$305,"&lt;&gt;غير نشط")</f>
        <v>48</v>
      </c>
      <c r="C12" s="92"/>
      <c r="D12" s="93">
        <f>COUNTIFS('قاعدة البيانات'!$D$6:$D$305,"ولد",'قاعدة البيانات'!$C$6:$C$305,"&lt;&gt;",'قاعدة البيانات'!$M$6:$M$305,"&lt;&gt;غير نشط")</f>
        <v>23</v>
      </c>
      <c r="E12" s="93"/>
      <c r="F12" s="94">
        <f>COUNTIFS('قاعدة البيانات'!$D$6:$D$305,"بنت",'قاعدة البيانات'!$C$6:$C$305,"&lt;&gt;",'قاعدة البيانات'!$M$6:$M$305,"&lt;&gt;غير نشط")</f>
        <v>25</v>
      </c>
      <c r="G12" s="94"/>
      <c r="H12" s="95" t="str">
        <f>IFERROR((SUM('حضور سوريال'!C7:C36)+SUM('حضور غبريال'!C7:C36)+SUM('حضور رفائيل'!C7:C36)+SUM('حضور ميخائيل'!C7:C36))/((SUM('حضور سوريال'!C7:C36)+SUM('حضور غبريال'!C7:C36)+SUM('حضور رفائيل'!C7:C36)+SUM('حضور ميخائيل'!C7:C36))+(SUM('حضور سوريال'!D7:D36)+SUM('حضور غبريال'!D7:D36)+SUM('حضور رفائيل'!D7:D36)+SUM('حضور ميخائيل'!D7:D36))),"—")</f>
        <v>—</v>
      </c>
      <c r="I12" s="95"/>
      <c r="J12" s="96">
        <f>COUNT('قاعدة البيانات'!$W$6:$W$305)</f>
        <v>0</v>
      </c>
      <c r="K12" s="96"/>
      <c r="L12" s="97" t="str">
        <f>IF(MAX(IFERROR(LOOKUP(2,1/ISNUMBER('حضور سوريال'!J4:BJ4),'حضور سوريال'!J6:BJ6),0),IFERROR(LOOKUP(2,1/ISNUMBER('حضور غبريال'!J4:BJ4),'حضور غبريال'!J6:BJ6),0),IFERROR(LOOKUP(2,1/ISNUMBER('حضور رفائيل'!J4:BJ4),'حضور رفائيل'!J6:BJ6),0),IFERROR(LOOKUP(2,1/ISNUMBER('حضور ميخائيل'!J4:BJ4),'حضور ميخائيل'!J6:BJ6),0))=0,"—",MAX(IFERROR(LOOKUP(2,1/ISNUMBER('حضور سوريال'!J4:BJ4),'حضور سوريال'!J6:BJ6),0),IFERROR(LOOKUP(2,1/ISNUMBER('حضور غبريال'!J4:BJ4),'حضور غبريال'!J6:BJ6),0),IFERROR(LOOKUP(2,1/ISNUMBER('حضور رفائيل'!J4:BJ4),'حضور رفائيل'!J6:BJ6),0),IFERROR(LOOKUP(2,1/ISNUMBER('حضور ميخائيل'!J4:BJ4),'حضور ميخائيل'!J6:BJ6),0)))</f>
        <v>—</v>
      </c>
      <c r="M12" s="97"/>
    </row>
    <row r="13" spans="2:13" ht="12" customHeight="1"/>
    <row r="14" spans="2:13" ht="25.5" customHeight="1">
      <c r="B14" s="11" t="s">
        <v>9</v>
      </c>
      <c r="C14" s="11"/>
      <c r="D14" s="11"/>
      <c r="E14" s="11"/>
      <c r="F14" s="11"/>
      <c r="G14" s="11"/>
      <c r="H14" s="11"/>
      <c r="I14" s="11"/>
      <c r="J14" s="11"/>
      <c r="K14" s="11"/>
      <c r="L14" s="11"/>
      <c r="M14" s="11"/>
    </row>
    <row r="15" spans="2:13" ht="27.75" customHeight="1">
      <c r="B15" s="98" t="s">
        <v>10</v>
      </c>
      <c r="C15" s="98"/>
      <c r="D15" s="14" t="s">
        <v>11</v>
      </c>
      <c r="E15" s="14" t="s">
        <v>12</v>
      </c>
      <c r="F15" s="14" t="s">
        <v>13</v>
      </c>
      <c r="G15" s="98" t="s">
        <v>14</v>
      </c>
      <c r="H15" s="98"/>
      <c r="I15" s="98" t="s">
        <v>15</v>
      </c>
      <c r="J15" s="98"/>
      <c r="K15" s="98" t="s">
        <v>16</v>
      </c>
      <c r="L15" s="98"/>
      <c r="M15" s="98"/>
    </row>
    <row r="16" spans="2:13" ht="27.75" customHeight="1">
      <c r="B16" s="99" t="str">
        <f>الإعدادات!$B$4</f>
        <v>سوريال</v>
      </c>
      <c r="C16" s="99"/>
      <c r="D16" s="15">
        <f>COUNTIFS('قاعدة البيانات'!$F$6:$F$305,الإعدادات!$B$4,'قاعدة البيانات'!$C$6:$C$305,"&lt;&gt;",'قاعدة البيانات'!$M$6:$M$305,"&lt;&gt;غير نشط")</f>
        <v>24</v>
      </c>
      <c r="E16" s="16">
        <f>COUNTIFS('قاعدة البيانات'!$F$6:$F$305,الإعدادات!$B$4,'قاعدة البيانات'!$D$6:$D$305,"ولد",'قاعدة البيانات'!$C$6:$C$305,"&lt;&gt;",'قاعدة البيانات'!$M$6:$M$305,"&lt;&gt;غير نشط")</f>
        <v>13</v>
      </c>
      <c r="F16" s="16">
        <f>COUNTIFS('قاعدة البيانات'!$F$6:$F$305,الإعدادات!$B$4,'قاعدة البيانات'!$D$6:$D$305,"بنت",'قاعدة البيانات'!$C$6:$C$305,"&lt;&gt;",'قاعدة البيانات'!$M$6:$M$305,"&lt;&gt;غير نشط")</f>
        <v>11</v>
      </c>
      <c r="G16" s="100" t="str">
        <f>IFERROR(SUM('حضور سوريال'!C7:C36)/(SUM('حضور سوريال'!C7:C36)+SUM('حضور سوريال'!D7:D36)),"—")</f>
        <v>—</v>
      </c>
      <c r="H16" s="100"/>
      <c r="I16" s="101">
        <f>COUNTIFS('قاعدة البيانات'!$F$6:$F$305,الإعدادات!$B$4,'قاعدة البيانات'!$V$6:$V$305,3)+COUNTIFS('قاعدة البيانات'!$F$6:$F$305,الإعدادات!$B$4,'قاعدة البيانات'!$V$6:$V$305,4)</f>
        <v>0</v>
      </c>
      <c r="J16" s="101"/>
      <c r="K16" s="102" t="str">
        <f>IF(COUNTIFS('قاعدة البيانات'!$F$6:$F$305,الإعدادات!$B$4,'قاعدة البيانات'!$C$6:$C$305,"&lt;&gt;")&gt;30,"⚠️ زيادة عن 30 — الزيادة مش هتظهر","✅ "&amp;(30-COUNTIFS('قاعدة البيانات'!$F$6:$F$305,الإعدادات!$B$4,'قاعدة البيانات'!$C$6:$C$305,"&lt;&gt;"))&amp;" مكان فاضي")</f>
        <v>✅ 6 مكان فاضي</v>
      </c>
      <c r="L16" s="102"/>
      <c r="M16" s="102"/>
    </row>
    <row r="17" spans="2:13" ht="27.75" customHeight="1">
      <c r="B17" s="103" t="str">
        <f>الإعدادات!$B$5</f>
        <v>غبريال</v>
      </c>
      <c r="C17" s="103"/>
      <c r="D17" s="15">
        <f>COUNTIFS('قاعدة البيانات'!$F$6:$F$305,الإعدادات!$B$5,'قاعدة البيانات'!$C$6:$C$305,"&lt;&gt;",'قاعدة البيانات'!$M$6:$M$305,"&lt;&gt;غير نشط")</f>
        <v>24</v>
      </c>
      <c r="E17" s="16">
        <f>COUNTIFS('قاعدة البيانات'!$F$6:$F$305,الإعدادات!$B$5,'قاعدة البيانات'!$D$6:$D$305,"ولد",'قاعدة البيانات'!$C$6:$C$305,"&lt;&gt;",'قاعدة البيانات'!$M$6:$M$305,"&lt;&gt;غير نشط")</f>
        <v>10</v>
      </c>
      <c r="F17" s="16">
        <f>COUNTIFS('قاعدة البيانات'!$F$6:$F$305,الإعدادات!$B$5,'قاعدة البيانات'!$D$6:$D$305,"بنت",'قاعدة البيانات'!$C$6:$C$305,"&lt;&gt;",'قاعدة البيانات'!$M$6:$M$305,"&lt;&gt;غير نشط")</f>
        <v>14</v>
      </c>
      <c r="G17" s="100" t="str">
        <f>IFERROR(SUM('حضور غبريال'!C7:C36)/(SUM('حضور غبريال'!C7:C36)+SUM('حضور غبريال'!D7:D36)),"—")</f>
        <v>—</v>
      </c>
      <c r="H17" s="100"/>
      <c r="I17" s="101">
        <f>COUNTIFS('قاعدة البيانات'!$F$6:$F$305,الإعدادات!$B$5,'قاعدة البيانات'!$V$6:$V$305,3)+COUNTIFS('قاعدة البيانات'!$F$6:$F$305,الإعدادات!$B$5,'قاعدة البيانات'!$V$6:$V$305,4)</f>
        <v>0</v>
      </c>
      <c r="J17" s="101"/>
      <c r="K17" s="102" t="str">
        <f>IF(COUNTIFS('قاعدة البيانات'!$F$6:$F$305,الإعدادات!$B$5,'قاعدة البيانات'!$C$6:$C$305,"&lt;&gt;")&gt;30,"⚠️ زيادة عن 30 — الزيادة مش هتظهر","✅ "&amp;(30-COUNTIFS('قاعدة البيانات'!$F$6:$F$305,الإعدادات!$B$5,'قاعدة البيانات'!$C$6:$C$305,"&lt;&gt;"))&amp;" مكان فاضي")</f>
        <v>✅ 6 مكان فاضي</v>
      </c>
      <c r="L17" s="102"/>
      <c r="M17" s="102"/>
    </row>
    <row r="18" spans="2:13" ht="27.75" customHeight="1">
      <c r="B18" s="104" t="str">
        <f>الإعدادات!$B$6</f>
        <v>رفائيل</v>
      </c>
      <c r="C18" s="104"/>
      <c r="D18" s="15">
        <f>COUNTIFS('قاعدة البيانات'!$F$6:$F$305,الإعدادات!$B$6,'قاعدة البيانات'!$C$6:$C$305,"&lt;&gt;",'قاعدة البيانات'!$M$6:$M$305,"&lt;&gt;غير نشط")</f>
        <v>0</v>
      </c>
      <c r="E18" s="16">
        <f>COUNTIFS('قاعدة البيانات'!$F$6:$F$305,الإعدادات!$B$6,'قاعدة البيانات'!$D$6:$D$305,"ولد",'قاعدة البيانات'!$C$6:$C$305,"&lt;&gt;",'قاعدة البيانات'!$M$6:$M$305,"&lt;&gt;غير نشط")</f>
        <v>0</v>
      </c>
      <c r="F18" s="16">
        <f>COUNTIFS('قاعدة البيانات'!$F$6:$F$305,الإعدادات!$B$6,'قاعدة البيانات'!$D$6:$D$305,"بنت",'قاعدة البيانات'!$C$6:$C$305,"&lt;&gt;",'قاعدة البيانات'!$M$6:$M$305,"&lt;&gt;غير نشط")</f>
        <v>0</v>
      </c>
      <c r="G18" s="100" t="str">
        <f>IFERROR(SUM('حضور رفائيل'!C7:C36)/(SUM('حضور رفائيل'!C7:C36)+SUM('حضور رفائيل'!D7:D36)),"—")</f>
        <v>—</v>
      </c>
      <c r="H18" s="100"/>
      <c r="I18" s="101">
        <f>COUNTIFS('قاعدة البيانات'!$F$6:$F$305,الإعدادات!$B$6,'قاعدة البيانات'!$V$6:$V$305,3)+COUNTIFS('قاعدة البيانات'!$F$6:$F$305,الإعدادات!$B$6,'قاعدة البيانات'!$V$6:$V$305,4)</f>
        <v>0</v>
      </c>
      <c r="J18" s="101"/>
      <c r="K18" s="102" t="str">
        <f>IF(COUNTIFS('قاعدة البيانات'!$F$6:$F$305,الإعدادات!$B$6,'قاعدة البيانات'!$C$6:$C$305,"&lt;&gt;")&gt;30,"⚠️ زيادة عن 30 — الزيادة مش هتظهر","✅ "&amp;(30-COUNTIFS('قاعدة البيانات'!$F$6:$F$305,الإعدادات!$B$6,'قاعدة البيانات'!$C$6:$C$305,"&lt;&gt;"))&amp;" مكان فاضي")</f>
        <v>✅ 30 مكان فاضي</v>
      </c>
      <c r="L18" s="102"/>
      <c r="M18" s="102"/>
    </row>
    <row r="19" spans="2:13" ht="27.75" customHeight="1">
      <c r="B19" s="105" t="str">
        <f>الإعدادات!$B$7</f>
        <v>ميخائيل</v>
      </c>
      <c r="C19" s="105"/>
      <c r="D19" s="15">
        <f>COUNTIFS('قاعدة البيانات'!$F$6:$F$305,الإعدادات!$B$7,'قاعدة البيانات'!$C$6:$C$305,"&lt;&gt;",'قاعدة البيانات'!$M$6:$M$305,"&lt;&gt;غير نشط")</f>
        <v>0</v>
      </c>
      <c r="E19" s="16">
        <f>COUNTIFS('قاعدة البيانات'!$F$6:$F$305,الإعدادات!$B$7,'قاعدة البيانات'!$D$6:$D$305,"ولد",'قاعدة البيانات'!$C$6:$C$305,"&lt;&gt;",'قاعدة البيانات'!$M$6:$M$305,"&lt;&gt;غير نشط")</f>
        <v>0</v>
      </c>
      <c r="F19" s="16">
        <f>COUNTIFS('قاعدة البيانات'!$F$6:$F$305,الإعدادات!$B$7,'قاعدة البيانات'!$D$6:$D$305,"بنت",'قاعدة البيانات'!$C$6:$C$305,"&lt;&gt;",'قاعدة البيانات'!$M$6:$M$305,"&lt;&gt;غير نشط")</f>
        <v>0</v>
      </c>
      <c r="G19" s="100" t="str">
        <f>IFERROR(SUM('حضور ميخائيل'!C7:C36)/(SUM('حضور ميخائيل'!C7:C36)+SUM('حضور ميخائيل'!D7:D36)),"—")</f>
        <v>—</v>
      </c>
      <c r="H19" s="100"/>
      <c r="I19" s="101">
        <f>COUNTIFS('قاعدة البيانات'!$F$6:$F$305,الإعدادات!$B$7,'قاعدة البيانات'!$V$6:$V$305,3)+COUNTIFS('قاعدة البيانات'!$F$6:$F$305,الإعدادات!$B$7,'قاعدة البيانات'!$V$6:$V$305,4)</f>
        <v>0</v>
      </c>
      <c r="J19" s="101"/>
      <c r="K19" s="102" t="str">
        <f>IF(COUNTIFS('قاعدة البيانات'!$F$6:$F$305,الإعدادات!$B$7,'قاعدة البيانات'!$C$6:$C$305,"&lt;&gt;")&gt;30,"⚠️ زيادة عن 30 — الزيادة مش هتظهر","✅ "&amp;(30-COUNTIFS('قاعدة البيانات'!$F$6:$F$305,الإعدادات!$B$7,'قاعدة البيانات'!$C$6:$C$305,"&lt;&gt;"))&amp;" مكان فاضي")</f>
        <v>✅ 30 مكان فاضي</v>
      </c>
      <c r="L19" s="102"/>
      <c r="M19" s="102"/>
    </row>
    <row r="20" spans="2:13" ht="27.75" customHeight="1">
      <c r="B20" s="106" t="s">
        <v>17</v>
      </c>
      <c r="C20" s="106"/>
      <c r="D20" s="17">
        <f>SUM(D16:D19)</f>
        <v>48</v>
      </c>
      <c r="E20" s="17">
        <f>SUM(E16:E19)</f>
        <v>23</v>
      </c>
      <c r="F20" s="17">
        <f>SUM(F16:F19)</f>
        <v>25</v>
      </c>
      <c r="G20" s="107" t="str">
        <f>IFERROR((SUM('حضور سوريال'!C7:C36)+SUM('حضور غبريال'!C7:C36)+SUM('حضور رفائيل'!C7:C36)+SUM('حضور ميخائيل'!C7:C36))/((SUM('حضور سوريال'!C7:C36)+SUM('حضور غبريال'!C7:C36)+SUM('حضور رفائيل'!C7:C36)+SUM('حضور ميخائيل'!C7:C36))+(SUM('حضور سوريال'!D7:D36)+SUM('حضور غبريال'!D7:D36)+SUM('حضور رفائيل'!D7:D36)+SUM('حضور ميخائيل'!D7:D36))),"—")</f>
        <v>—</v>
      </c>
      <c r="H20" s="107"/>
      <c r="I20" s="108">
        <f>SUM(I16:I19)</f>
        <v>0</v>
      </c>
      <c r="J20" s="108"/>
      <c r="K20" s="109"/>
      <c r="L20" s="109"/>
      <c r="M20" s="109"/>
    </row>
  </sheetData>
  <sheetProtection sheet="1"/>
  <mergeCells count="54">
    <mergeCell ref="B20:C20"/>
    <mergeCell ref="G20:H20"/>
    <mergeCell ref="I20:J20"/>
    <mergeCell ref="K20:M20"/>
    <mergeCell ref="B18:C18"/>
    <mergeCell ref="G18:H18"/>
    <mergeCell ref="I18:J18"/>
    <mergeCell ref="K18:M18"/>
    <mergeCell ref="B19:C19"/>
    <mergeCell ref="G19:H19"/>
    <mergeCell ref="I19:J19"/>
    <mergeCell ref="K19:M19"/>
    <mergeCell ref="B16:C16"/>
    <mergeCell ref="G16:H16"/>
    <mergeCell ref="I16:J16"/>
    <mergeCell ref="K16:M16"/>
    <mergeCell ref="B17:C17"/>
    <mergeCell ref="G17:H17"/>
    <mergeCell ref="I17:J17"/>
    <mergeCell ref="K17:M17"/>
    <mergeCell ref="L12:M12"/>
    <mergeCell ref="B14:M14"/>
    <mergeCell ref="B15:C15"/>
    <mergeCell ref="G15:H15"/>
    <mergeCell ref="I15:J15"/>
    <mergeCell ref="K15:M15"/>
    <mergeCell ref="B12:C12"/>
    <mergeCell ref="D12:E12"/>
    <mergeCell ref="F12:G12"/>
    <mergeCell ref="H12:I12"/>
    <mergeCell ref="J12:K12"/>
    <mergeCell ref="B10:M10"/>
    <mergeCell ref="B11:C11"/>
    <mergeCell ref="D11:E11"/>
    <mergeCell ref="F11:G11"/>
    <mergeCell ref="H11:I11"/>
    <mergeCell ref="J11:K11"/>
    <mergeCell ref="L11:M11"/>
    <mergeCell ref="B7:D7"/>
    <mergeCell ref="E7:G7"/>
    <mergeCell ref="H7:J7"/>
    <mergeCell ref="K7:M7"/>
    <mergeCell ref="B8:D8"/>
    <mergeCell ref="E8:G8"/>
    <mergeCell ref="H8:J8"/>
    <mergeCell ref="K8:M8"/>
    <mergeCell ref="B1:M1"/>
    <mergeCell ref="B2:M2"/>
    <mergeCell ref="B4:M4"/>
    <mergeCell ref="B5:D5"/>
    <mergeCell ref="E5:G5"/>
    <mergeCell ref="H5:I5"/>
    <mergeCell ref="J5:K5"/>
    <mergeCell ref="L5:M5"/>
  </mergeCells>
  <conditionalFormatting sqref="I16:J19">
    <cfRule type="expression" dxfId="150" priority="2">
      <formula>I16&gt;0</formula>
    </cfRule>
  </conditionalFormatting>
  <printOptions horizontalCentered="1"/>
  <pageMargins left="0.75" right="0.75" top="1" bottom="1" header="0.511811023622047" footer="0.511811023622047"/>
  <pageSetup fitToHeight="0"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expression" priority="3" id="{00000000-000E-0000-0000-000003000000}">
            <xm:f>AND(ISNUMBER(G16),G16&gt;=الإعدادات!$B$16)</xm:f>
            <x14:dxf>
              <font>
                <b/>
                <color rgb="FF006100"/>
              </font>
              <fill>
                <patternFill>
                  <bgColor rgb="FFC6EFCE"/>
                </patternFill>
              </fill>
            </x14:dxf>
          </x14:cfRule>
          <x14:cfRule type="expression" priority="4" id="{00000000-000E-0000-0000-000004000000}">
            <xm:f>AND(ISNUMBER(G16),G16&lt;الإعدادات!$B$17)</xm:f>
            <x14:dxf>
              <font>
                <b/>
                <color rgb="FF9C0006"/>
              </font>
              <fill>
                <patternFill>
                  <bgColor rgb="FFFFC7CE"/>
                </patternFill>
              </fill>
            </x14:dxf>
          </x14:cfRule>
          <xm:sqref>G16:H19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W305"/>
  <sheetViews>
    <sheetView showGridLines="0" rightToLeft="1" zoomScaleNormal="100" workbookViewId="0">
      <pane xSplit="3" ySplit="5" topLeftCell="F35" activePane="bottomRight" state="frozen"/>
      <selection pane="topRight" activeCell="D1" sqref="D1"/>
      <selection pane="bottomLeft" activeCell="A6" sqref="A6"/>
      <selection pane="bottomRight" activeCell="G2" sqref="G2"/>
    </sheetView>
  </sheetViews>
  <sheetFormatPr defaultColWidth="8.6640625" defaultRowHeight="14.4"/>
  <cols>
    <col min="1" max="1" width="5" customWidth="1"/>
    <col min="2" max="2" width="9" customWidth="1"/>
    <col min="3" max="3" width="26" customWidth="1"/>
    <col min="4" max="4" width="8" customWidth="1"/>
    <col min="5" max="5" width="14" customWidth="1"/>
    <col min="6" max="7" width="12" customWidth="1"/>
    <col min="8" max="9" width="16" customWidth="1"/>
    <col min="10" max="10" width="72.77734375" bestFit="1" customWidth="1"/>
    <col min="11" max="11" width="14" customWidth="1"/>
    <col min="12" max="12" width="24" customWidth="1"/>
    <col min="13" max="13" width="10" customWidth="1"/>
    <col min="14" max="14" width="10" hidden="1" customWidth="1"/>
    <col min="15" max="15" width="6" hidden="1" customWidth="1"/>
    <col min="16" max="17" width="8" customWidth="1"/>
    <col min="18" max="18" width="9" customWidth="1"/>
    <col min="19" max="19" width="10" customWidth="1"/>
    <col min="20" max="20" width="13" customWidth="1"/>
    <col min="21" max="21" width="18" customWidth="1"/>
    <col min="22" max="23" width="6" hidden="1" customWidth="1"/>
  </cols>
  <sheetData>
    <row r="1" spans="1:23" ht="42" customHeight="1">
      <c r="A1" s="110" t="s">
        <v>18</v>
      </c>
      <c r="B1" s="110"/>
      <c r="C1" s="110"/>
      <c r="D1" s="110"/>
      <c r="E1" s="110"/>
      <c r="F1" s="110"/>
      <c r="G1" s="110"/>
      <c r="H1" s="110"/>
      <c r="I1" s="110"/>
      <c r="J1" s="110"/>
      <c r="K1" s="110"/>
      <c r="L1" s="110"/>
      <c r="M1" s="110"/>
      <c r="N1" s="110"/>
      <c r="O1" s="110"/>
      <c r="P1" s="110"/>
      <c r="Q1" s="110"/>
      <c r="R1" s="110"/>
      <c r="S1" s="110"/>
      <c r="T1" s="110"/>
      <c r="U1" s="110"/>
    </row>
    <row r="2" spans="1:23" ht="30" customHeight="1">
      <c r="A2" s="111" t="str">
        <f>HYPERLINK("#'الرئيسية'!A1","🏠 الرئيسية")</f>
        <v>🏠 الرئيسية</v>
      </c>
      <c r="B2" s="111"/>
      <c r="C2" s="19" t="str">
        <f>HYPERLINK("#'قاعدة البيانات'!C"&amp;MIN(305,6+COUNTA('قاعدة البيانات'!$C$6:$C$305)),"➕ إضافة طفل جديد")</f>
        <v>➕ إضافة طفل جديد</v>
      </c>
      <c r="D2" s="111" t="str">
        <f>HYPERLINK("#'الافتقاد'!A1","📞 الافتقاد")</f>
        <v>📞 الافتقاد</v>
      </c>
      <c r="E2" s="111"/>
      <c r="F2" s="111"/>
      <c r="G2" s="20" t="str">
        <f>HYPERLINK("#'فصل سوريال'!A1","🪪 سوريال")</f>
        <v>🪪 سوريال</v>
      </c>
      <c r="H2" s="21" t="str">
        <f>HYPERLINK("#'فصل غبريال'!A1","🪪 غبريال")</f>
        <v>🪪 غبريال</v>
      </c>
      <c r="I2" s="22" t="str">
        <f>HYPERLINK("#'فصل رفائيل'!A1","🪪 رفائيل")</f>
        <v>🪪 رفائيل</v>
      </c>
      <c r="J2" s="23" t="str">
        <f>HYPERLINK("#'فصل ميخائيل'!A1","🪪 ميخائيل")</f>
        <v>🪪 ميخائيل</v>
      </c>
      <c r="K2" s="111" t="str">
        <f>HYPERLINK("#'الإعدادات'!A1","⚙️ الإعدادات")</f>
        <v>⚙️ الإعدادات</v>
      </c>
      <c r="L2" s="111"/>
      <c r="M2" s="111" t="str">
        <f>HYPERLINK("#'دليل الاستخدام'!A1","📖 دليل الاستخدام")</f>
        <v>📖 دليل الاستخدام</v>
      </c>
      <c r="N2" s="111"/>
      <c r="O2" s="111"/>
      <c r="P2" s="111"/>
      <c r="Q2" s="111"/>
      <c r="R2" s="111"/>
      <c r="S2" s="111"/>
      <c r="T2" s="111"/>
      <c r="U2" s="111"/>
    </row>
    <row r="3" spans="1:23" ht="24" customHeight="1">
      <c r="A3" s="112" t="str">
        <f>"👶 المسجلين: "&amp;COUNTA(C6:C305)&amp;"     ✅ نشط: "&amp;COUNTIFS(C6:C305,"&lt;&gt;",M6:M305,"&lt;&gt;غير نشط")&amp;"     🆓 صفوف فاضية: "&amp;(300-COUNTA(C6:C305))</f>
        <v>👶 المسجلين: 48     ✅ نشط: 48     🆓 صفوف فاضية: 252</v>
      </c>
      <c r="B3" s="112"/>
      <c r="C3" s="112"/>
      <c r="D3" s="112"/>
      <c r="E3" s="112"/>
      <c r="F3" s="112"/>
      <c r="G3" s="112"/>
      <c r="H3" s="112"/>
      <c r="I3" s="112"/>
      <c r="J3" s="112"/>
      <c r="K3" s="112"/>
      <c r="L3" s="112"/>
      <c r="M3" s="112"/>
      <c r="N3" s="112"/>
      <c r="O3" s="112"/>
      <c r="P3" s="112"/>
      <c r="Q3" s="112"/>
      <c r="R3" s="112"/>
      <c r="S3" s="112"/>
      <c r="T3" s="112"/>
      <c r="U3" s="112"/>
    </row>
    <row r="4" spans="1:23" ht="36" customHeight="1">
      <c r="A4" s="113" t="s">
        <v>19</v>
      </c>
      <c r="B4" s="113"/>
      <c r="C4" s="113"/>
      <c r="D4" s="113"/>
      <c r="E4" s="113"/>
      <c r="F4" s="113"/>
      <c r="G4" s="113"/>
      <c r="H4" s="113"/>
      <c r="I4" s="113"/>
      <c r="J4" s="113"/>
      <c r="K4" s="113"/>
      <c r="L4" s="113"/>
      <c r="M4" s="113"/>
      <c r="N4" s="113"/>
      <c r="O4" s="113"/>
      <c r="P4" s="113"/>
      <c r="Q4" s="113"/>
      <c r="R4" s="113"/>
      <c r="S4" s="113"/>
      <c r="T4" s="113"/>
      <c r="U4" s="113"/>
    </row>
    <row r="5" spans="1:23" ht="33.75" customHeight="1">
      <c r="A5" s="24" t="s">
        <v>20</v>
      </c>
      <c r="B5" s="24" t="s">
        <v>21</v>
      </c>
      <c r="C5" s="25" t="s">
        <v>22</v>
      </c>
      <c r="D5" s="25" t="s">
        <v>23</v>
      </c>
      <c r="E5" s="25" t="s">
        <v>24</v>
      </c>
      <c r="F5" s="25" t="s">
        <v>25</v>
      </c>
      <c r="G5" s="25" t="s">
        <v>26</v>
      </c>
      <c r="H5" s="25" t="s">
        <v>27</v>
      </c>
      <c r="I5" s="25" t="s">
        <v>28</v>
      </c>
      <c r="J5" s="25" t="s">
        <v>29</v>
      </c>
      <c r="K5" s="25" t="s">
        <v>30</v>
      </c>
      <c r="L5" s="25" t="s">
        <v>31</v>
      </c>
      <c r="M5" s="25" t="s">
        <v>32</v>
      </c>
      <c r="N5" s="24" t="s">
        <v>33</v>
      </c>
      <c r="O5" s="24" t="s">
        <v>34</v>
      </c>
      <c r="P5" s="24" t="s">
        <v>35</v>
      </c>
      <c r="Q5" s="24" t="s">
        <v>36</v>
      </c>
      <c r="R5" s="24" t="s">
        <v>37</v>
      </c>
      <c r="S5" s="24" t="s">
        <v>38</v>
      </c>
      <c r="T5" s="24" t="s">
        <v>39</v>
      </c>
      <c r="U5" s="24" t="s">
        <v>40</v>
      </c>
      <c r="V5" s="24" t="s">
        <v>41</v>
      </c>
      <c r="W5" s="24" t="s">
        <v>42</v>
      </c>
    </row>
    <row r="6" spans="1:23" ht="25.5" customHeight="1">
      <c r="A6" s="26">
        <f t="shared" ref="A6:A69" si="0">IF(C6="","",ROW()-5)</f>
        <v>1</v>
      </c>
      <c r="B6" s="27" t="str">
        <f t="shared" ref="B6:B69" si="1">IF(C6="","","B-"&amp;TEXT(ROW()-5,"000"))</f>
        <v>B-001</v>
      </c>
      <c r="C6" s="28" t="s">
        <v>122</v>
      </c>
      <c r="D6" s="29" t="s">
        <v>43</v>
      </c>
      <c r="E6" s="29" t="s">
        <v>49</v>
      </c>
      <c r="F6" s="29" t="s">
        <v>48</v>
      </c>
      <c r="G6" s="29"/>
      <c r="H6" s="30" t="s">
        <v>146</v>
      </c>
      <c r="I6" s="30"/>
      <c r="J6" s="31" t="s">
        <v>174</v>
      </c>
      <c r="K6" s="29" t="e" vm="1">
        <v>#VALUE!</v>
      </c>
      <c r="L6" s="31"/>
      <c r="M6" s="29" t="s">
        <v>46</v>
      </c>
      <c r="N6" s="32" t="str">
        <f t="shared" ref="N6:N69" si="2">IF(O6="","",F6&amp;"|"&amp;O6)</f>
        <v>غبريال|1</v>
      </c>
      <c r="O6" s="32">
        <f>IF(OR(C6="",F6=""),"",COUNTIFS(F$6:F6,F6,C$6:C6,"&lt;&gt;"))</f>
        <v>1</v>
      </c>
      <c r="P6" s="33">
        <f>IF($O6="","",IFERROR(CHOOSE(MATCH($F6,الإعدادات!$B$4:$B$7,0),INDEX('حضور سوريال'!$C$7:$C$36,$O6),INDEX('حضور غبريال'!$C$7:$C$36,$O6),INDEX('حضور رفائيل'!$C$7:$C$36,$O6),INDEX('حضور ميخائيل'!$C$7:$C$36,$O6)),""))</f>
        <v>0</v>
      </c>
      <c r="Q6" s="33">
        <f>IF($O6="","",IFERROR(CHOOSE(MATCH($F6,الإعدادات!$B$4:$B$7,0),INDEX('حضور سوريال'!$D$7:$D$36,$O6),INDEX('حضور غبريال'!$D$7:$D$36,$O6),INDEX('حضور رفائيل'!$D$7:$D$36,$O6),INDEX('حضور ميخائيل'!$D$7:$D$36,$O6)),""))</f>
        <v>0</v>
      </c>
      <c r="R6" s="34" t="str">
        <f>IF($O6="","",IFERROR(CHOOSE(MATCH($F6,الإعدادات!$B$4:$B$7,0),INDEX('حضور سوريال'!$F$7:$F$36,$O6),INDEX('حضور غبريال'!$F$7:$F$36,$O6),INDEX('حضور رفائيل'!$F$7:$F$36,$O6),INDEX('حضور ميخائيل'!$F$7:$F$36,$O6)),""))</f>
        <v/>
      </c>
      <c r="S6" s="33">
        <f>IF($O6="","",IFERROR(CHOOSE(MATCH($F6,الإعدادات!$B$4:$B$7,0),INDEX('حضور سوريال'!$G$7:$G$36,$O6),INDEX('حضور غبريال'!$G$7:$G$36,$O6),INDEX('حضور رفائيل'!$G$7:$G$36,$O6),INDEX('حضور ميخائيل'!$G$7:$G$36,$O6)),""))</f>
        <v>0</v>
      </c>
      <c r="T6" s="35" t="str">
        <f>IF($O6="","",IFERROR(CHOOSE(MATCH($F6,الإعدادات!$B$4:$B$7,0),INDEX('حضور سوريال'!$H$7:$H$36,$O6),INDEX('حضور غبريال'!$H$7:$H$36,$O6),INDEX('حضور رفائيل'!$H$7:$H$36,$O6),INDEX('حضور ميخائيل'!$H$7:$H$36,$O6)),""))</f>
        <v>—</v>
      </c>
      <c r="U6" s="36" t="str">
        <f>IF($O6="","",IFERROR(CHOOSE(MATCH($F6,الإعدادات!$B$4:$B$7,0),INDEX('حضور سوريال'!$I$7:$I$36,$O6),INDEX('حضور غبريال'!$I$7:$I$36,$O6),INDEX('حضور رفائيل'!$I$7:$I$36,$O6),INDEX('حضور ميخائيل'!$I$7:$I$36,$O6)),""))</f>
        <v>⏳ لسه مفيش حضور</v>
      </c>
      <c r="V6">
        <f>IF($O6="","",IFERROR(CHOOSE(MATCH($F6,الإعدادات!$B$4:$B$7,0),INDEX('حضور سوريال'!$BM$7:$BM$36,$O6),INDEX('حضور غبريال'!$BM$7:$BM$36,$O6),INDEX('حضور رفائيل'!$BM$7:$BM$36,$O6),INDEX('حضور ميخائيل'!$BM$7:$BM$36,$O6)),""))</f>
        <v>0</v>
      </c>
      <c r="W6" t="str">
        <f>IF(OR(V6=3,V6=4),COUNTIFS(V$6:V6,3)+COUNTIFS(V$6:V6,4),"")</f>
        <v/>
      </c>
    </row>
    <row r="7" spans="1:23" ht="25.5" customHeight="1">
      <c r="A7" s="26">
        <f t="shared" si="0"/>
        <v>2</v>
      </c>
      <c r="B7" s="27" t="str">
        <f t="shared" si="1"/>
        <v>B-002</v>
      </c>
      <c r="C7" s="28" t="s">
        <v>123</v>
      </c>
      <c r="D7" s="29" t="s">
        <v>47</v>
      </c>
      <c r="E7" s="29" t="s">
        <v>49</v>
      </c>
      <c r="F7" s="29" t="s">
        <v>48</v>
      </c>
      <c r="G7" s="29"/>
      <c r="H7" s="30" t="s">
        <v>147</v>
      </c>
      <c r="I7" s="30"/>
      <c r="J7" s="31" t="s">
        <v>175</v>
      </c>
      <c r="K7" s="29" t="e" vm="2">
        <v>#VALUE!</v>
      </c>
      <c r="L7" s="31"/>
      <c r="M7" s="29" t="s">
        <v>46</v>
      </c>
      <c r="N7" s="32" t="str">
        <f t="shared" si="2"/>
        <v>غبريال|2</v>
      </c>
      <c r="O7" s="32">
        <f>IF(OR(C7="",F7=""),"",COUNTIFS(F$6:F7,F7,C$6:C7,"&lt;&gt;"))</f>
        <v>2</v>
      </c>
      <c r="P7" s="33">
        <f>IF($O7="","",IFERROR(CHOOSE(MATCH($F7,الإعدادات!$B$4:$B$7,0),INDEX('حضور سوريال'!$C$7:$C$36,$O7),INDEX('حضور غبريال'!$C$7:$C$36,$O7),INDEX('حضور رفائيل'!$C$7:$C$36,$O7),INDEX('حضور ميخائيل'!$C$7:$C$36,$O7)),""))</f>
        <v>0</v>
      </c>
      <c r="Q7" s="33">
        <f>IF($O7="","",IFERROR(CHOOSE(MATCH($F7,الإعدادات!$B$4:$B$7,0),INDEX('حضور سوريال'!$D$7:$D$36,$O7),INDEX('حضور غبريال'!$D$7:$D$36,$O7),INDEX('حضور رفائيل'!$D$7:$D$36,$O7),INDEX('حضور ميخائيل'!$D$7:$D$36,$O7)),""))</f>
        <v>0</v>
      </c>
      <c r="R7" s="34" t="str">
        <f>IF($O7="","",IFERROR(CHOOSE(MATCH($F7,الإعدادات!$B$4:$B$7,0),INDEX('حضور سوريال'!$F$7:$F$36,$O7),INDEX('حضور غبريال'!$F$7:$F$36,$O7),INDEX('حضور رفائيل'!$F$7:$F$36,$O7),INDEX('حضور ميخائيل'!$F$7:$F$36,$O7)),""))</f>
        <v/>
      </c>
      <c r="S7" s="33">
        <f>IF($O7="","",IFERROR(CHOOSE(MATCH($F7,الإعدادات!$B$4:$B$7,0),INDEX('حضور سوريال'!$G$7:$G$36,$O7),INDEX('حضور غبريال'!$G$7:$G$36,$O7),INDEX('حضور رفائيل'!$G$7:$G$36,$O7),INDEX('حضور ميخائيل'!$G$7:$G$36,$O7)),""))</f>
        <v>0</v>
      </c>
      <c r="T7" s="35" t="str">
        <f>IF($O7="","",IFERROR(CHOOSE(MATCH($F7,الإعدادات!$B$4:$B$7,0),INDEX('حضور سوريال'!$H$7:$H$36,$O7),INDEX('حضور غبريال'!$H$7:$H$36,$O7),INDEX('حضور رفائيل'!$H$7:$H$36,$O7),INDEX('حضور ميخائيل'!$H$7:$H$36,$O7)),""))</f>
        <v>—</v>
      </c>
      <c r="U7" s="36" t="str">
        <f>IF($O7="","",IFERROR(CHOOSE(MATCH($F7,الإعدادات!$B$4:$B$7,0),INDEX('حضور سوريال'!$I$7:$I$36,$O7),INDEX('حضور غبريال'!$I$7:$I$36,$O7),INDEX('حضور رفائيل'!$I$7:$I$36,$O7),INDEX('حضور ميخائيل'!$I$7:$I$36,$O7)),""))</f>
        <v>⏳ لسه مفيش حضور</v>
      </c>
      <c r="V7">
        <f>IF($O7="","",IFERROR(CHOOSE(MATCH($F7,الإعدادات!$B$4:$B$7,0),INDEX('حضور سوريال'!$BM$7:$BM$36,$O7),INDEX('حضور غبريال'!$BM$7:$BM$36,$O7),INDEX('حضور رفائيل'!$BM$7:$BM$36,$O7),INDEX('حضور ميخائيل'!$BM$7:$BM$36,$O7)),""))</f>
        <v>0</v>
      </c>
      <c r="W7" t="str">
        <f>IF(OR(V7=3,V7=4),COUNTIFS(V$6:V7,3)+COUNTIFS(V$6:V7,4),"")</f>
        <v/>
      </c>
    </row>
    <row r="8" spans="1:23" ht="25.5" customHeight="1">
      <c r="A8" s="26">
        <f t="shared" si="0"/>
        <v>3</v>
      </c>
      <c r="B8" s="27" t="str">
        <f t="shared" si="1"/>
        <v>B-003</v>
      </c>
      <c r="C8" s="28" t="s">
        <v>124</v>
      </c>
      <c r="D8" s="29" t="s">
        <v>43</v>
      </c>
      <c r="E8" s="29" t="s">
        <v>49</v>
      </c>
      <c r="F8" s="29" t="s">
        <v>48</v>
      </c>
      <c r="G8" s="29"/>
      <c r="H8" s="30" t="s">
        <v>148</v>
      </c>
      <c r="I8" s="30" t="s">
        <v>170</v>
      </c>
      <c r="J8" s="31" t="s">
        <v>176</v>
      </c>
      <c r="K8" s="29" t="e" vm="3">
        <v>#VALUE!</v>
      </c>
      <c r="L8" s="31"/>
      <c r="M8" s="29" t="s">
        <v>46</v>
      </c>
      <c r="N8" s="32" t="str">
        <f t="shared" si="2"/>
        <v>غبريال|3</v>
      </c>
      <c r="O8" s="32">
        <f>IF(OR(C8="",F8=""),"",COUNTIFS(F$6:F8,F8,C$6:C8,"&lt;&gt;"))</f>
        <v>3</v>
      </c>
      <c r="P8" s="33">
        <f>IF($O8="","",IFERROR(CHOOSE(MATCH($F8,الإعدادات!$B$4:$B$7,0),INDEX('حضور سوريال'!$C$7:$C$36,$O8),INDEX('حضور غبريال'!$C$7:$C$36,$O8),INDEX('حضور رفائيل'!$C$7:$C$36,$O8),INDEX('حضور ميخائيل'!$C$7:$C$36,$O8)),""))</f>
        <v>0</v>
      </c>
      <c r="Q8" s="33">
        <f>IF($O8="","",IFERROR(CHOOSE(MATCH($F8,الإعدادات!$B$4:$B$7,0),INDEX('حضور سوريال'!$D$7:$D$36,$O8),INDEX('حضور غبريال'!$D$7:$D$36,$O8),INDEX('حضور رفائيل'!$D$7:$D$36,$O8),INDEX('حضور ميخائيل'!$D$7:$D$36,$O8)),""))</f>
        <v>0</v>
      </c>
      <c r="R8" s="34" t="str">
        <f>IF($O8="","",IFERROR(CHOOSE(MATCH($F8,الإعدادات!$B$4:$B$7,0),INDEX('حضور سوريال'!$F$7:$F$36,$O8),INDEX('حضور غبريال'!$F$7:$F$36,$O8),INDEX('حضور رفائيل'!$F$7:$F$36,$O8),INDEX('حضور ميخائيل'!$F$7:$F$36,$O8)),""))</f>
        <v/>
      </c>
      <c r="S8" s="33">
        <f>IF($O8="","",IFERROR(CHOOSE(MATCH($F8,الإعدادات!$B$4:$B$7,0),INDEX('حضور سوريال'!$G$7:$G$36,$O8),INDEX('حضور غبريال'!$G$7:$G$36,$O8),INDEX('حضور رفائيل'!$G$7:$G$36,$O8),INDEX('حضور ميخائيل'!$G$7:$G$36,$O8)),""))</f>
        <v>0</v>
      </c>
      <c r="T8" s="35" t="str">
        <f>IF($O8="","",IFERROR(CHOOSE(MATCH($F8,الإعدادات!$B$4:$B$7,0),INDEX('حضور سوريال'!$H$7:$H$36,$O8),INDEX('حضور غبريال'!$H$7:$H$36,$O8),INDEX('حضور رفائيل'!$H$7:$H$36,$O8),INDEX('حضور ميخائيل'!$H$7:$H$36,$O8)),""))</f>
        <v>—</v>
      </c>
      <c r="U8" s="36" t="str">
        <f>IF($O8="","",IFERROR(CHOOSE(MATCH($F8,الإعدادات!$B$4:$B$7,0),INDEX('حضور سوريال'!$I$7:$I$36,$O8),INDEX('حضور غبريال'!$I$7:$I$36,$O8),INDEX('حضور رفائيل'!$I$7:$I$36,$O8),INDEX('حضور ميخائيل'!$I$7:$I$36,$O8)),""))</f>
        <v>⏳ لسه مفيش حضور</v>
      </c>
      <c r="V8">
        <f>IF($O8="","",IFERROR(CHOOSE(MATCH($F8,الإعدادات!$B$4:$B$7,0),INDEX('حضور سوريال'!$BM$7:$BM$36,$O8),INDEX('حضور غبريال'!$BM$7:$BM$36,$O8),INDEX('حضور رفائيل'!$BM$7:$BM$36,$O8),INDEX('حضور ميخائيل'!$BM$7:$BM$36,$O8)),""))</f>
        <v>0</v>
      </c>
      <c r="W8" t="str">
        <f>IF(OR(V8=3,V8=4),COUNTIFS(V$6:V8,3)+COUNTIFS(V$6:V8,4),"")</f>
        <v/>
      </c>
    </row>
    <row r="9" spans="1:23" ht="25.5" customHeight="1">
      <c r="A9" s="26">
        <f t="shared" si="0"/>
        <v>4</v>
      </c>
      <c r="B9" s="27" t="str">
        <f t="shared" si="1"/>
        <v>B-004</v>
      </c>
      <c r="C9" s="28" t="s">
        <v>125</v>
      </c>
      <c r="D9" s="29" t="s">
        <v>47</v>
      </c>
      <c r="E9" s="29" t="s">
        <v>49</v>
      </c>
      <c r="F9" s="29" t="s">
        <v>48</v>
      </c>
      <c r="G9" s="29"/>
      <c r="H9" s="30" t="s">
        <v>149</v>
      </c>
      <c r="I9" s="30"/>
      <c r="J9" s="31" t="s">
        <v>177</v>
      </c>
      <c r="K9" s="29"/>
      <c r="L9" s="31"/>
      <c r="M9" s="29" t="s">
        <v>46</v>
      </c>
      <c r="N9" s="32" t="str">
        <f t="shared" si="2"/>
        <v>غبريال|4</v>
      </c>
      <c r="O9" s="32">
        <f>IF(OR(C9="",F9=""),"",COUNTIFS(F$6:F9,F9,C$6:C9,"&lt;&gt;"))</f>
        <v>4</v>
      </c>
      <c r="P9" s="33">
        <f>IF($O9="","",IFERROR(CHOOSE(MATCH($F9,الإعدادات!$B$4:$B$7,0),INDEX('حضور سوريال'!$C$7:$C$36,$O9),INDEX('حضور غبريال'!$C$7:$C$36,$O9),INDEX('حضور رفائيل'!$C$7:$C$36,$O9),INDEX('حضور ميخائيل'!$C$7:$C$36,$O9)),""))</f>
        <v>0</v>
      </c>
      <c r="Q9" s="33">
        <f>IF($O9="","",IFERROR(CHOOSE(MATCH($F9,الإعدادات!$B$4:$B$7,0),INDEX('حضور سوريال'!$D$7:$D$36,$O9),INDEX('حضور غبريال'!$D$7:$D$36,$O9),INDEX('حضور رفائيل'!$D$7:$D$36,$O9),INDEX('حضور ميخائيل'!$D$7:$D$36,$O9)),""))</f>
        <v>0</v>
      </c>
      <c r="R9" s="34" t="str">
        <f>IF($O9="","",IFERROR(CHOOSE(MATCH($F9,الإعدادات!$B$4:$B$7,0),INDEX('حضور سوريال'!$F$7:$F$36,$O9),INDEX('حضور غبريال'!$F$7:$F$36,$O9),INDEX('حضور رفائيل'!$F$7:$F$36,$O9),INDEX('حضور ميخائيل'!$F$7:$F$36,$O9)),""))</f>
        <v/>
      </c>
      <c r="S9" s="33">
        <f>IF($O9="","",IFERROR(CHOOSE(MATCH($F9,الإعدادات!$B$4:$B$7,0),INDEX('حضور سوريال'!$G$7:$G$36,$O9),INDEX('حضور غبريال'!$G$7:$G$36,$O9),INDEX('حضور رفائيل'!$G$7:$G$36,$O9),INDEX('حضور ميخائيل'!$G$7:$G$36,$O9)),""))</f>
        <v>0</v>
      </c>
      <c r="T9" s="35" t="str">
        <f>IF($O9="","",IFERROR(CHOOSE(MATCH($F9,الإعدادات!$B$4:$B$7,0),INDEX('حضور سوريال'!$H$7:$H$36,$O9),INDEX('حضور غبريال'!$H$7:$H$36,$O9),INDEX('حضور رفائيل'!$H$7:$H$36,$O9),INDEX('حضور ميخائيل'!$H$7:$H$36,$O9)),""))</f>
        <v>—</v>
      </c>
      <c r="U9" s="36" t="str">
        <f>IF($O9="","",IFERROR(CHOOSE(MATCH($F9,الإعدادات!$B$4:$B$7,0),INDEX('حضور سوريال'!$I$7:$I$36,$O9),INDEX('حضور غبريال'!$I$7:$I$36,$O9),INDEX('حضور رفائيل'!$I$7:$I$36,$O9),INDEX('حضور ميخائيل'!$I$7:$I$36,$O9)),""))</f>
        <v>⏳ لسه مفيش حضور</v>
      </c>
      <c r="V9">
        <f>IF($O9="","",IFERROR(CHOOSE(MATCH($F9,الإعدادات!$B$4:$B$7,0),INDEX('حضور سوريال'!$BM$7:$BM$36,$O9),INDEX('حضور غبريال'!$BM$7:$BM$36,$O9),INDEX('حضور رفائيل'!$BM$7:$BM$36,$O9),INDEX('حضور ميخائيل'!$BM$7:$BM$36,$O9)),""))</f>
        <v>0</v>
      </c>
      <c r="W9" t="str">
        <f>IF(OR(V9=3,V9=4),COUNTIFS(V$6:V9,3)+COUNTIFS(V$6:V9,4),"")</f>
        <v/>
      </c>
    </row>
    <row r="10" spans="1:23" ht="25.5" customHeight="1">
      <c r="A10" s="26">
        <f t="shared" si="0"/>
        <v>5</v>
      </c>
      <c r="B10" s="27" t="str">
        <f t="shared" si="1"/>
        <v>B-005</v>
      </c>
      <c r="C10" s="28" t="s">
        <v>126</v>
      </c>
      <c r="D10" s="29" t="s">
        <v>47</v>
      </c>
      <c r="E10" s="29" t="s">
        <v>49</v>
      </c>
      <c r="F10" s="29" t="s">
        <v>48</v>
      </c>
      <c r="G10" s="29"/>
      <c r="H10" s="30" t="s">
        <v>150</v>
      </c>
      <c r="I10" s="30"/>
      <c r="J10" s="31" t="s">
        <v>178</v>
      </c>
      <c r="K10" s="29" t="e" vm="4">
        <v>#VALUE!</v>
      </c>
      <c r="L10" s="31"/>
      <c r="M10" s="29" t="s">
        <v>46</v>
      </c>
      <c r="N10" s="32" t="str">
        <f t="shared" si="2"/>
        <v>غبريال|5</v>
      </c>
      <c r="O10" s="32">
        <f>IF(OR(C10="",F10=""),"",COUNTIFS(F$6:F10,F10,C$6:C10,"&lt;&gt;"))</f>
        <v>5</v>
      </c>
      <c r="P10" s="33">
        <f>IF($O10="","",IFERROR(CHOOSE(MATCH($F10,الإعدادات!$B$4:$B$7,0),INDEX('حضور سوريال'!$C$7:$C$36,$O10),INDEX('حضور غبريال'!$C$7:$C$36,$O10),INDEX('حضور رفائيل'!$C$7:$C$36,$O10),INDEX('حضور ميخائيل'!$C$7:$C$36,$O10)),""))</f>
        <v>0</v>
      </c>
      <c r="Q10" s="33">
        <f>IF($O10="","",IFERROR(CHOOSE(MATCH($F10,الإعدادات!$B$4:$B$7,0),INDEX('حضور سوريال'!$D$7:$D$36,$O10),INDEX('حضور غبريال'!$D$7:$D$36,$O10),INDEX('حضور رفائيل'!$D$7:$D$36,$O10),INDEX('حضور ميخائيل'!$D$7:$D$36,$O10)),""))</f>
        <v>0</v>
      </c>
      <c r="R10" s="34" t="str">
        <f>IF($O10="","",IFERROR(CHOOSE(MATCH($F10,الإعدادات!$B$4:$B$7,0),INDEX('حضور سوريال'!$F$7:$F$36,$O10),INDEX('حضور غبريال'!$F$7:$F$36,$O10),INDEX('حضور رفائيل'!$F$7:$F$36,$O10),INDEX('حضور ميخائيل'!$F$7:$F$36,$O10)),""))</f>
        <v/>
      </c>
      <c r="S10" s="33">
        <f>IF($O10="","",IFERROR(CHOOSE(MATCH($F10,الإعدادات!$B$4:$B$7,0),INDEX('حضور سوريال'!$G$7:$G$36,$O10),INDEX('حضور غبريال'!$G$7:$G$36,$O10),INDEX('حضور رفائيل'!$G$7:$G$36,$O10),INDEX('حضور ميخائيل'!$G$7:$G$36,$O10)),""))</f>
        <v>0</v>
      </c>
      <c r="T10" s="35" t="str">
        <f>IF($O10="","",IFERROR(CHOOSE(MATCH($F10,الإعدادات!$B$4:$B$7,0),INDEX('حضور سوريال'!$H$7:$H$36,$O10),INDEX('حضور غبريال'!$H$7:$H$36,$O10),INDEX('حضور رفائيل'!$H$7:$H$36,$O10),INDEX('حضور ميخائيل'!$H$7:$H$36,$O10)),""))</f>
        <v>—</v>
      </c>
      <c r="U10" s="36" t="str">
        <f>IF($O10="","",IFERROR(CHOOSE(MATCH($F10,الإعدادات!$B$4:$B$7,0),INDEX('حضور سوريال'!$I$7:$I$36,$O10),INDEX('حضور غبريال'!$I$7:$I$36,$O10),INDEX('حضور رفائيل'!$I$7:$I$36,$O10),INDEX('حضور ميخائيل'!$I$7:$I$36,$O10)),""))</f>
        <v>⏳ لسه مفيش حضور</v>
      </c>
      <c r="V10">
        <f>IF($O10="","",IFERROR(CHOOSE(MATCH($F10,الإعدادات!$B$4:$B$7,0),INDEX('حضور سوريال'!$BM$7:$BM$36,$O10),INDEX('حضور غبريال'!$BM$7:$BM$36,$O10),INDEX('حضور رفائيل'!$BM$7:$BM$36,$O10),INDEX('حضور ميخائيل'!$BM$7:$BM$36,$O10)),""))</f>
        <v>0</v>
      </c>
      <c r="W10" t="str">
        <f>IF(OR(V10=3,V10=4),COUNTIFS(V$6:V10,3)+COUNTIFS(V$6:V10,4),"")</f>
        <v/>
      </c>
    </row>
    <row r="11" spans="1:23" ht="25.5" customHeight="1">
      <c r="A11" s="26">
        <f t="shared" si="0"/>
        <v>6</v>
      </c>
      <c r="B11" s="27" t="str">
        <f t="shared" si="1"/>
        <v>B-006</v>
      </c>
      <c r="C11" s="28" t="s">
        <v>127</v>
      </c>
      <c r="D11" s="29" t="s">
        <v>43</v>
      </c>
      <c r="E11" s="29" t="s">
        <v>49</v>
      </c>
      <c r="F11" s="29" t="s">
        <v>48</v>
      </c>
      <c r="G11" s="29"/>
      <c r="H11" s="30" t="s">
        <v>151</v>
      </c>
      <c r="I11" s="30"/>
      <c r="J11" s="31" t="s">
        <v>179</v>
      </c>
      <c r="K11" s="29"/>
      <c r="L11" s="31"/>
      <c r="M11" s="29" t="s">
        <v>46</v>
      </c>
      <c r="N11" s="32" t="str">
        <f t="shared" si="2"/>
        <v>غبريال|6</v>
      </c>
      <c r="O11" s="32">
        <f>IF(OR(C11="",F11=""),"",COUNTIFS(F$6:F11,F11,C$6:C11,"&lt;&gt;"))</f>
        <v>6</v>
      </c>
      <c r="P11" s="33">
        <f>IF($O11="","",IFERROR(CHOOSE(MATCH($F11,الإعدادات!$B$4:$B$7,0),INDEX('حضور سوريال'!$C$7:$C$36,$O11),INDEX('حضور غبريال'!$C$7:$C$36,$O11),INDEX('حضور رفائيل'!$C$7:$C$36,$O11),INDEX('حضور ميخائيل'!$C$7:$C$36,$O11)),""))</f>
        <v>0</v>
      </c>
      <c r="Q11" s="33">
        <f>IF($O11="","",IFERROR(CHOOSE(MATCH($F11,الإعدادات!$B$4:$B$7,0),INDEX('حضور سوريال'!$D$7:$D$36,$O11),INDEX('حضور غبريال'!$D$7:$D$36,$O11),INDEX('حضور رفائيل'!$D$7:$D$36,$O11),INDEX('حضور ميخائيل'!$D$7:$D$36,$O11)),""))</f>
        <v>0</v>
      </c>
      <c r="R11" s="34" t="str">
        <f>IF($O11="","",IFERROR(CHOOSE(MATCH($F11,الإعدادات!$B$4:$B$7,0),INDEX('حضور سوريال'!$F$7:$F$36,$O11),INDEX('حضور غبريال'!$F$7:$F$36,$O11),INDEX('حضور رفائيل'!$F$7:$F$36,$O11),INDEX('حضور ميخائيل'!$F$7:$F$36,$O11)),""))</f>
        <v/>
      </c>
      <c r="S11" s="33">
        <f>IF($O11="","",IFERROR(CHOOSE(MATCH($F11,الإعدادات!$B$4:$B$7,0),INDEX('حضور سوريال'!$G$7:$G$36,$O11),INDEX('حضور غبريال'!$G$7:$G$36,$O11),INDEX('حضور رفائيل'!$G$7:$G$36,$O11),INDEX('حضور ميخائيل'!$G$7:$G$36,$O11)),""))</f>
        <v>0</v>
      </c>
      <c r="T11" s="35" t="str">
        <f>IF($O11="","",IFERROR(CHOOSE(MATCH($F11,الإعدادات!$B$4:$B$7,0),INDEX('حضور سوريال'!$H$7:$H$36,$O11),INDEX('حضور غبريال'!$H$7:$H$36,$O11),INDEX('حضور رفائيل'!$H$7:$H$36,$O11),INDEX('حضور ميخائيل'!$H$7:$H$36,$O11)),""))</f>
        <v>—</v>
      </c>
      <c r="U11" s="36" t="str">
        <f>IF($O11="","",IFERROR(CHOOSE(MATCH($F11,الإعدادات!$B$4:$B$7,0),INDEX('حضور سوريال'!$I$7:$I$36,$O11),INDEX('حضور غبريال'!$I$7:$I$36,$O11),INDEX('حضور رفائيل'!$I$7:$I$36,$O11),INDEX('حضور ميخائيل'!$I$7:$I$36,$O11)),""))</f>
        <v>⏳ لسه مفيش حضور</v>
      </c>
      <c r="V11">
        <f>IF($O11="","",IFERROR(CHOOSE(MATCH($F11,الإعدادات!$B$4:$B$7,0),INDEX('حضور سوريال'!$BM$7:$BM$36,$O11),INDEX('حضور غبريال'!$BM$7:$BM$36,$O11),INDEX('حضور رفائيل'!$BM$7:$BM$36,$O11),INDEX('حضور ميخائيل'!$BM$7:$BM$36,$O11)),""))</f>
        <v>0</v>
      </c>
      <c r="W11" t="str">
        <f>IF(OR(V11=3,V11=4),COUNTIFS(V$6:V11,3)+COUNTIFS(V$6:V11,4),"")</f>
        <v/>
      </c>
    </row>
    <row r="12" spans="1:23" ht="25.5" customHeight="1">
      <c r="A12" s="26">
        <f t="shared" si="0"/>
        <v>7</v>
      </c>
      <c r="B12" s="27" t="str">
        <f t="shared" si="1"/>
        <v>B-007</v>
      </c>
      <c r="C12" s="28" t="s">
        <v>128</v>
      </c>
      <c r="D12" s="29" t="s">
        <v>43</v>
      </c>
      <c r="E12" s="29" t="s">
        <v>49</v>
      </c>
      <c r="F12" s="29" t="s">
        <v>48</v>
      </c>
      <c r="G12" s="29"/>
      <c r="H12" s="30" t="s">
        <v>152</v>
      </c>
      <c r="I12" s="30" t="s">
        <v>171</v>
      </c>
      <c r="J12" s="31" t="s">
        <v>180</v>
      </c>
      <c r="K12" s="29"/>
      <c r="L12" s="31"/>
      <c r="M12" s="29" t="s">
        <v>46</v>
      </c>
      <c r="N12" s="32" t="str">
        <f t="shared" si="2"/>
        <v>غبريال|7</v>
      </c>
      <c r="O12" s="32">
        <f>IF(OR(C12="",F12=""),"",COUNTIFS(F$6:F12,F12,C$6:C12,"&lt;&gt;"))</f>
        <v>7</v>
      </c>
      <c r="P12" s="33">
        <f>IF($O12="","",IFERROR(CHOOSE(MATCH($F12,الإعدادات!$B$4:$B$7,0),INDEX('حضور سوريال'!$C$7:$C$36,$O12),INDEX('حضور غبريال'!$C$7:$C$36,$O12),INDEX('حضور رفائيل'!$C$7:$C$36,$O12),INDEX('حضور ميخائيل'!$C$7:$C$36,$O12)),""))</f>
        <v>0</v>
      </c>
      <c r="Q12" s="33">
        <f>IF($O12="","",IFERROR(CHOOSE(MATCH($F12,الإعدادات!$B$4:$B$7,0),INDEX('حضور سوريال'!$D$7:$D$36,$O12),INDEX('حضور غبريال'!$D$7:$D$36,$O12),INDEX('حضور رفائيل'!$D$7:$D$36,$O12),INDEX('حضور ميخائيل'!$D$7:$D$36,$O12)),""))</f>
        <v>0</v>
      </c>
      <c r="R12" s="34" t="str">
        <f>IF($O12="","",IFERROR(CHOOSE(MATCH($F12,الإعدادات!$B$4:$B$7,0),INDEX('حضور سوريال'!$F$7:$F$36,$O12),INDEX('حضور غبريال'!$F$7:$F$36,$O12),INDEX('حضور رفائيل'!$F$7:$F$36,$O12),INDEX('حضور ميخائيل'!$F$7:$F$36,$O12)),""))</f>
        <v/>
      </c>
      <c r="S12" s="33">
        <f>IF($O12="","",IFERROR(CHOOSE(MATCH($F12,الإعدادات!$B$4:$B$7,0),INDEX('حضور سوريال'!$G$7:$G$36,$O12),INDEX('حضور غبريال'!$G$7:$G$36,$O12),INDEX('حضور رفائيل'!$G$7:$G$36,$O12),INDEX('حضور ميخائيل'!$G$7:$G$36,$O12)),""))</f>
        <v>0</v>
      </c>
      <c r="T12" s="35" t="str">
        <f>IF($O12="","",IFERROR(CHOOSE(MATCH($F12,الإعدادات!$B$4:$B$7,0),INDEX('حضور سوريال'!$H$7:$H$36,$O12),INDEX('حضور غبريال'!$H$7:$H$36,$O12),INDEX('حضور رفائيل'!$H$7:$H$36,$O12),INDEX('حضور ميخائيل'!$H$7:$H$36,$O12)),""))</f>
        <v>—</v>
      </c>
      <c r="U12" s="36" t="str">
        <f>IF($O12="","",IFERROR(CHOOSE(MATCH($F12,الإعدادات!$B$4:$B$7,0),INDEX('حضور سوريال'!$I$7:$I$36,$O12),INDEX('حضور غبريال'!$I$7:$I$36,$O12),INDEX('حضور رفائيل'!$I$7:$I$36,$O12),INDEX('حضور ميخائيل'!$I$7:$I$36,$O12)),""))</f>
        <v>⏳ لسه مفيش حضور</v>
      </c>
      <c r="V12">
        <f>IF($O12="","",IFERROR(CHOOSE(MATCH($F12,الإعدادات!$B$4:$B$7,0),INDEX('حضور سوريال'!$BM$7:$BM$36,$O12),INDEX('حضور غبريال'!$BM$7:$BM$36,$O12),INDEX('حضور رفائيل'!$BM$7:$BM$36,$O12),INDEX('حضور ميخائيل'!$BM$7:$BM$36,$O12)),""))</f>
        <v>0</v>
      </c>
      <c r="W12" t="str">
        <f>IF(OR(V12=3,V12=4),COUNTIFS(V$6:V12,3)+COUNTIFS(V$6:V12,4),"")</f>
        <v/>
      </c>
    </row>
    <row r="13" spans="1:23" ht="25.5" customHeight="1">
      <c r="A13" s="26">
        <f t="shared" si="0"/>
        <v>8</v>
      </c>
      <c r="B13" s="27" t="str">
        <f t="shared" si="1"/>
        <v>B-008</v>
      </c>
      <c r="C13" s="28" t="s">
        <v>129</v>
      </c>
      <c r="D13" s="29" t="s">
        <v>47</v>
      </c>
      <c r="E13" s="29" t="s">
        <v>49</v>
      </c>
      <c r="F13" s="29" t="s">
        <v>48</v>
      </c>
      <c r="G13" s="29"/>
      <c r="H13" s="30" t="s">
        <v>153</v>
      </c>
      <c r="I13" s="30"/>
      <c r="J13" s="31" t="s">
        <v>181</v>
      </c>
      <c r="K13" s="29" t="e" vm="5">
        <v>#VALUE!</v>
      </c>
      <c r="L13" s="31"/>
      <c r="M13" s="29" t="s">
        <v>46</v>
      </c>
      <c r="N13" s="32" t="str">
        <f t="shared" si="2"/>
        <v>غبريال|8</v>
      </c>
      <c r="O13" s="32">
        <f>IF(OR(C13="",F13=""),"",COUNTIFS(F$6:F13,F13,C$6:C13,"&lt;&gt;"))</f>
        <v>8</v>
      </c>
      <c r="P13" s="33">
        <f>IF($O13="","",IFERROR(CHOOSE(MATCH($F13,الإعدادات!$B$4:$B$7,0),INDEX('حضور سوريال'!$C$7:$C$36,$O13),INDEX('حضور غبريال'!$C$7:$C$36,$O13),INDEX('حضور رفائيل'!$C$7:$C$36,$O13),INDEX('حضور ميخائيل'!$C$7:$C$36,$O13)),""))</f>
        <v>0</v>
      </c>
      <c r="Q13" s="33">
        <f>IF($O13="","",IFERROR(CHOOSE(MATCH($F13,الإعدادات!$B$4:$B$7,0),INDEX('حضور سوريال'!$D$7:$D$36,$O13),INDEX('حضور غبريال'!$D$7:$D$36,$O13),INDEX('حضور رفائيل'!$D$7:$D$36,$O13),INDEX('حضور ميخائيل'!$D$7:$D$36,$O13)),""))</f>
        <v>0</v>
      </c>
      <c r="R13" s="34" t="str">
        <f>IF($O13="","",IFERROR(CHOOSE(MATCH($F13,الإعدادات!$B$4:$B$7,0),INDEX('حضور سوريال'!$F$7:$F$36,$O13),INDEX('حضور غبريال'!$F$7:$F$36,$O13),INDEX('حضور رفائيل'!$F$7:$F$36,$O13),INDEX('حضور ميخائيل'!$F$7:$F$36,$O13)),""))</f>
        <v/>
      </c>
      <c r="S13" s="33">
        <f>IF($O13="","",IFERROR(CHOOSE(MATCH($F13,الإعدادات!$B$4:$B$7,0),INDEX('حضور سوريال'!$G$7:$G$36,$O13),INDEX('حضور غبريال'!$G$7:$G$36,$O13),INDEX('حضور رفائيل'!$G$7:$G$36,$O13),INDEX('حضور ميخائيل'!$G$7:$G$36,$O13)),""))</f>
        <v>0</v>
      </c>
      <c r="T13" s="35" t="str">
        <f>IF($O13="","",IFERROR(CHOOSE(MATCH($F13,الإعدادات!$B$4:$B$7,0),INDEX('حضور سوريال'!$H$7:$H$36,$O13),INDEX('حضور غبريال'!$H$7:$H$36,$O13),INDEX('حضور رفائيل'!$H$7:$H$36,$O13),INDEX('حضور ميخائيل'!$H$7:$H$36,$O13)),""))</f>
        <v>—</v>
      </c>
      <c r="U13" s="36" t="str">
        <f>IF($O13="","",IFERROR(CHOOSE(MATCH($F13,الإعدادات!$B$4:$B$7,0),INDEX('حضور سوريال'!$I$7:$I$36,$O13),INDEX('حضور غبريال'!$I$7:$I$36,$O13),INDEX('حضور رفائيل'!$I$7:$I$36,$O13),INDEX('حضور ميخائيل'!$I$7:$I$36,$O13)),""))</f>
        <v>⏳ لسه مفيش حضور</v>
      </c>
      <c r="V13">
        <f>IF($O13="","",IFERROR(CHOOSE(MATCH($F13,الإعدادات!$B$4:$B$7,0),INDEX('حضور سوريال'!$BM$7:$BM$36,$O13),INDEX('حضور غبريال'!$BM$7:$BM$36,$O13),INDEX('حضور رفائيل'!$BM$7:$BM$36,$O13),INDEX('حضور ميخائيل'!$BM$7:$BM$36,$O13)),""))</f>
        <v>0</v>
      </c>
      <c r="W13" t="str">
        <f>IF(OR(V13=3,V13=4),COUNTIFS(V$6:V13,3)+COUNTIFS(V$6:V13,4),"")</f>
        <v/>
      </c>
    </row>
    <row r="14" spans="1:23" ht="25.5" customHeight="1">
      <c r="A14" s="26">
        <f t="shared" si="0"/>
        <v>9</v>
      </c>
      <c r="B14" s="27" t="str">
        <f t="shared" si="1"/>
        <v>B-009</v>
      </c>
      <c r="C14" s="28" t="s">
        <v>130</v>
      </c>
      <c r="D14" s="29" t="s">
        <v>43</v>
      </c>
      <c r="E14" s="29" t="s">
        <v>49</v>
      </c>
      <c r="F14" s="29" t="s">
        <v>48</v>
      </c>
      <c r="G14" s="29"/>
      <c r="H14" s="30" t="s">
        <v>154</v>
      </c>
      <c r="I14" s="30"/>
      <c r="J14" s="31" t="s">
        <v>182</v>
      </c>
      <c r="K14" s="29" t="e" vm="6">
        <v>#VALUE!</v>
      </c>
      <c r="L14" s="31"/>
      <c r="M14" s="29" t="s">
        <v>46</v>
      </c>
      <c r="N14" s="32" t="str">
        <f t="shared" si="2"/>
        <v>غبريال|9</v>
      </c>
      <c r="O14" s="32">
        <f>IF(OR(C14="",F14=""),"",COUNTIFS(F$6:F14,F14,C$6:C14,"&lt;&gt;"))</f>
        <v>9</v>
      </c>
      <c r="P14" s="33">
        <f>IF($O14="","",IFERROR(CHOOSE(MATCH($F14,الإعدادات!$B$4:$B$7,0),INDEX('حضور سوريال'!$C$7:$C$36,$O14),INDEX('حضور غبريال'!$C$7:$C$36,$O14),INDEX('حضور رفائيل'!$C$7:$C$36,$O14),INDEX('حضور ميخائيل'!$C$7:$C$36,$O14)),""))</f>
        <v>0</v>
      </c>
      <c r="Q14" s="33">
        <f>IF($O14="","",IFERROR(CHOOSE(MATCH($F14,الإعدادات!$B$4:$B$7,0),INDEX('حضور سوريال'!$D$7:$D$36,$O14),INDEX('حضور غبريال'!$D$7:$D$36,$O14),INDEX('حضور رفائيل'!$D$7:$D$36,$O14),INDEX('حضور ميخائيل'!$D$7:$D$36,$O14)),""))</f>
        <v>0</v>
      </c>
      <c r="R14" s="34" t="str">
        <f>IF($O14="","",IFERROR(CHOOSE(MATCH($F14,الإعدادات!$B$4:$B$7,0),INDEX('حضور سوريال'!$F$7:$F$36,$O14),INDEX('حضور غبريال'!$F$7:$F$36,$O14),INDEX('حضور رفائيل'!$F$7:$F$36,$O14),INDEX('حضور ميخائيل'!$F$7:$F$36,$O14)),""))</f>
        <v/>
      </c>
      <c r="S14" s="33">
        <f>IF($O14="","",IFERROR(CHOOSE(MATCH($F14,الإعدادات!$B$4:$B$7,0),INDEX('حضور سوريال'!$G$7:$G$36,$O14),INDEX('حضور غبريال'!$G$7:$G$36,$O14),INDEX('حضور رفائيل'!$G$7:$G$36,$O14),INDEX('حضور ميخائيل'!$G$7:$G$36,$O14)),""))</f>
        <v>0</v>
      </c>
      <c r="T14" s="35" t="str">
        <f>IF($O14="","",IFERROR(CHOOSE(MATCH($F14,الإعدادات!$B$4:$B$7,0),INDEX('حضور سوريال'!$H$7:$H$36,$O14),INDEX('حضور غبريال'!$H$7:$H$36,$O14),INDEX('حضور رفائيل'!$H$7:$H$36,$O14),INDEX('حضور ميخائيل'!$H$7:$H$36,$O14)),""))</f>
        <v>—</v>
      </c>
      <c r="U14" s="36" t="str">
        <f>IF($O14="","",IFERROR(CHOOSE(MATCH($F14,الإعدادات!$B$4:$B$7,0),INDEX('حضور سوريال'!$I$7:$I$36,$O14),INDEX('حضور غبريال'!$I$7:$I$36,$O14),INDEX('حضور رفائيل'!$I$7:$I$36,$O14),INDEX('حضور ميخائيل'!$I$7:$I$36,$O14)),""))</f>
        <v>⏳ لسه مفيش حضور</v>
      </c>
      <c r="V14">
        <f>IF($O14="","",IFERROR(CHOOSE(MATCH($F14,الإعدادات!$B$4:$B$7,0),INDEX('حضور سوريال'!$BM$7:$BM$36,$O14),INDEX('حضور غبريال'!$BM$7:$BM$36,$O14),INDEX('حضور رفائيل'!$BM$7:$BM$36,$O14),INDEX('حضور ميخائيل'!$BM$7:$BM$36,$O14)),""))</f>
        <v>0</v>
      </c>
      <c r="W14" t="str">
        <f>IF(OR(V14=3,V14=4),COUNTIFS(V$6:V14,3)+COUNTIFS(V$6:V14,4),"")</f>
        <v/>
      </c>
    </row>
    <row r="15" spans="1:23" ht="25.5" customHeight="1">
      <c r="A15" s="26">
        <f t="shared" si="0"/>
        <v>10</v>
      </c>
      <c r="B15" s="27" t="str">
        <f t="shared" si="1"/>
        <v>B-010</v>
      </c>
      <c r="C15" s="28" t="s">
        <v>131</v>
      </c>
      <c r="D15" s="29" t="s">
        <v>43</v>
      </c>
      <c r="E15" s="29" t="s">
        <v>49</v>
      </c>
      <c r="F15" s="29" t="s">
        <v>48</v>
      </c>
      <c r="G15" s="29"/>
      <c r="H15" s="30" t="s">
        <v>155</v>
      </c>
      <c r="I15" s="30"/>
      <c r="J15" s="31" t="s">
        <v>183</v>
      </c>
      <c r="K15" s="29"/>
      <c r="L15" s="31"/>
      <c r="M15" s="29" t="s">
        <v>46</v>
      </c>
      <c r="N15" s="32" t="str">
        <f t="shared" si="2"/>
        <v>غبريال|10</v>
      </c>
      <c r="O15" s="32">
        <f>IF(OR(C15="",F15=""),"",COUNTIFS(F$6:F15,F15,C$6:C15,"&lt;&gt;"))</f>
        <v>10</v>
      </c>
      <c r="P15" s="33">
        <f>IF($O15="","",IFERROR(CHOOSE(MATCH($F15,الإعدادات!$B$4:$B$7,0),INDEX('حضور سوريال'!$C$7:$C$36,$O15),INDEX('حضور غبريال'!$C$7:$C$36,$O15),INDEX('حضور رفائيل'!$C$7:$C$36,$O15),INDEX('حضور ميخائيل'!$C$7:$C$36,$O15)),""))</f>
        <v>0</v>
      </c>
      <c r="Q15" s="33">
        <f>IF($O15="","",IFERROR(CHOOSE(MATCH($F15,الإعدادات!$B$4:$B$7,0),INDEX('حضور سوريال'!$D$7:$D$36,$O15),INDEX('حضور غبريال'!$D$7:$D$36,$O15),INDEX('حضور رفائيل'!$D$7:$D$36,$O15),INDEX('حضور ميخائيل'!$D$7:$D$36,$O15)),""))</f>
        <v>0</v>
      </c>
      <c r="R15" s="34" t="str">
        <f>IF($O15="","",IFERROR(CHOOSE(MATCH($F15,الإعدادات!$B$4:$B$7,0),INDEX('حضور سوريال'!$F$7:$F$36,$O15),INDEX('حضور غبريال'!$F$7:$F$36,$O15),INDEX('حضور رفائيل'!$F$7:$F$36,$O15),INDEX('حضور ميخائيل'!$F$7:$F$36,$O15)),""))</f>
        <v/>
      </c>
      <c r="S15" s="33">
        <f>IF($O15="","",IFERROR(CHOOSE(MATCH($F15,الإعدادات!$B$4:$B$7,0),INDEX('حضور سوريال'!$G$7:$G$36,$O15),INDEX('حضور غبريال'!$G$7:$G$36,$O15),INDEX('حضور رفائيل'!$G$7:$G$36,$O15),INDEX('حضور ميخائيل'!$G$7:$G$36,$O15)),""))</f>
        <v>0</v>
      </c>
      <c r="T15" s="35" t="str">
        <f>IF($O15="","",IFERROR(CHOOSE(MATCH($F15,الإعدادات!$B$4:$B$7,0),INDEX('حضور سوريال'!$H$7:$H$36,$O15),INDEX('حضور غبريال'!$H$7:$H$36,$O15),INDEX('حضور رفائيل'!$H$7:$H$36,$O15),INDEX('حضور ميخائيل'!$H$7:$H$36,$O15)),""))</f>
        <v>—</v>
      </c>
      <c r="U15" s="36" t="str">
        <f>IF($O15="","",IFERROR(CHOOSE(MATCH($F15,الإعدادات!$B$4:$B$7,0),INDEX('حضور سوريال'!$I$7:$I$36,$O15),INDEX('حضور غبريال'!$I$7:$I$36,$O15),INDEX('حضور رفائيل'!$I$7:$I$36,$O15),INDEX('حضور ميخائيل'!$I$7:$I$36,$O15)),""))</f>
        <v>⏳ لسه مفيش حضور</v>
      </c>
      <c r="V15">
        <f>IF($O15="","",IFERROR(CHOOSE(MATCH($F15,الإعدادات!$B$4:$B$7,0),INDEX('حضور سوريال'!$BM$7:$BM$36,$O15),INDEX('حضور غبريال'!$BM$7:$BM$36,$O15),INDEX('حضور رفائيل'!$BM$7:$BM$36,$O15),INDEX('حضور ميخائيل'!$BM$7:$BM$36,$O15)),""))</f>
        <v>0</v>
      </c>
      <c r="W15" t="str">
        <f>IF(OR(V15=3,V15=4),COUNTIFS(V$6:V15,3)+COUNTIFS(V$6:V15,4),"")</f>
        <v/>
      </c>
    </row>
    <row r="16" spans="1:23" ht="25.5" customHeight="1">
      <c r="A16" s="26">
        <f t="shared" si="0"/>
        <v>11</v>
      </c>
      <c r="B16" s="27" t="str">
        <f t="shared" si="1"/>
        <v>B-011</v>
      </c>
      <c r="C16" s="28" t="s">
        <v>132</v>
      </c>
      <c r="D16" s="29" t="s">
        <v>43</v>
      </c>
      <c r="E16" s="29" t="s">
        <v>49</v>
      </c>
      <c r="F16" s="29" t="s">
        <v>48</v>
      </c>
      <c r="G16" s="29"/>
      <c r="H16" s="30" t="s">
        <v>156</v>
      </c>
      <c r="I16" s="30"/>
      <c r="J16" s="31" t="s">
        <v>184</v>
      </c>
      <c r="K16" s="29" t="e" vm="7">
        <v>#VALUE!</v>
      </c>
      <c r="L16" s="31"/>
      <c r="M16" s="29" t="s">
        <v>46</v>
      </c>
      <c r="N16" s="32" t="str">
        <f t="shared" si="2"/>
        <v>غبريال|11</v>
      </c>
      <c r="O16" s="32">
        <f>IF(OR(C16="",F16=""),"",COUNTIFS(F$6:F16,F16,C$6:C16,"&lt;&gt;"))</f>
        <v>11</v>
      </c>
      <c r="P16" s="33">
        <f>IF($O16="","",IFERROR(CHOOSE(MATCH($F16,الإعدادات!$B$4:$B$7,0),INDEX('حضور سوريال'!$C$7:$C$36,$O16),INDEX('حضور غبريال'!$C$7:$C$36,$O16),INDEX('حضور رفائيل'!$C$7:$C$36,$O16),INDEX('حضور ميخائيل'!$C$7:$C$36,$O16)),""))</f>
        <v>0</v>
      </c>
      <c r="Q16" s="33">
        <f>IF($O16="","",IFERROR(CHOOSE(MATCH($F16,الإعدادات!$B$4:$B$7,0),INDEX('حضور سوريال'!$D$7:$D$36,$O16),INDEX('حضور غبريال'!$D$7:$D$36,$O16),INDEX('حضور رفائيل'!$D$7:$D$36,$O16),INDEX('حضور ميخائيل'!$D$7:$D$36,$O16)),""))</f>
        <v>0</v>
      </c>
      <c r="R16" s="34" t="str">
        <f>IF($O16="","",IFERROR(CHOOSE(MATCH($F16,الإعدادات!$B$4:$B$7,0),INDEX('حضور سوريال'!$F$7:$F$36,$O16),INDEX('حضور غبريال'!$F$7:$F$36,$O16),INDEX('حضور رفائيل'!$F$7:$F$36,$O16),INDEX('حضور ميخائيل'!$F$7:$F$36,$O16)),""))</f>
        <v/>
      </c>
      <c r="S16" s="33">
        <f>IF($O16="","",IFERROR(CHOOSE(MATCH($F16,الإعدادات!$B$4:$B$7,0),INDEX('حضور سوريال'!$G$7:$G$36,$O16),INDEX('حضور غبريال'!$G$7:$G$36,$O16),INDEX('حضور رفائيل'!$G$7:$G$36,$O16),INDEX('حضور ميخائيل'!$G$7:$G$36,$O16)),""))</f>
        <v>0</v>
      </c>
      <c r="T16" s="35" t="str">
        <f>IF($O16="","",IFERROR(CHOOSE(MATCH($F16,الإعدادات!$B$4:$B$7,0),INDEX('حضور سوريال'!$H$7:$H$36,$O16),INDEX('حضور غبريال'!$H$7:$H$36,$O16),INDEX('حضور رفائيل'!$H$7:$H$36,$O16),INDEX('حضور ميخائيل'!$H$7:$H$36,$O16)),""))</f>
        <v>—</v>
      </c>
      <c r="U16" s="36" t="str">
        <f>IF($O16="","",IFERROR(CHOOSE(MATCH($F16,الإعدادات!$B$4:$B$7,0),INDEX('حضور سوريال'!$I$7:$I$36,$O16),INDEX('حضور غبريال'!$I$7:$I$36,$O16),INDEX('حضور رفائيل'!$I$7:$I$36,$O16),INDEX('حضور ميخائيل'!$I$7:$I$36,$O16)),""))</f>
        <v>⏳ لسه مفيش حضور</v>
      </c>
      <c r="V16">
        <f>IF($O16="","",IFERROR(CHOOSE(MATCH($F16,الإعدادات!$B$4:$B$7,0),INDEX('حضور سوريال'!$BM$7:$BM$36,$O16),INDEX('حضور غبريال'!$BM$7:$BM$36,$O16),INDEX('حضور رفائيل'!$BM$7:$BM$36,$O16),INDEX('حضور ميخائيل'!$BM$7:$BM$36,$O16)),""))</f>
        <v>0</v>
      </c>
      <c r="W16" t="str">
        <f>IF(OR(V16=3,V16=4),COUNTIFS(V$6:V16,3)+COUNTIFS(V$6:V16,4),"")</f>
        <v/>
      </c>
    </row>
    <row r="17" spans="1:23" ht="25.5" customHeight="1">
      <c r="A17" s="26">
        <f t="shared" si="0"/>
        <v>12</v>
      </c>
      <c r="B17" s="27" t="str">
        <f t="shared" si="1"/>
        <v>B-012</v>
      </c>
      <c r="C17" s="28" t="s">
        <v>133</v>
      </c>
      <c r="D17" s="29" t="s">
        <v>47</v>
      </c>
      <c r="E17" s="29" t="s">
        <v>49</v>
      </c>
      <c r="F17" s="29" t="s">
        <v>48</v>
      </c>
      <c r="G17" s="29"/>
      <c r="H17" s="30" t="s">
        <v>157</v>
      </c>
      <c r="I17" s="30"/>
      <c r="J17" s="31" t="s">
        <v>185</v>
      </c>
      <c r="K17" s="29" t="e" vm="8">
        <v>#VALUE!</v>
      </c>
      <c r="L17" s="31"/>
      <c r="M17" s="29" t="s">
        <v>46</v>
      </c>
      <c r="N17" s="32" t="str">
        <f t="shared" si="2"/>
        <v>غبريال|12</v>
      </c>
      <c r="O17" s="32">
        <f>IF(OR(C17="",F17=""),"",COUNTIFS(F$6:F17,F17,C$6:C17,"&lt;&gt;"))</f>
        <v>12</v>
      </c>
      <c r="P17" s="33">
        <f>IF($O17="","",IFERROR(CHOOSE(MATCH($F17,الإعدادات!$B$4:$B$7,0),INDEX('حضور سوريال'!$C$7:$C$36,$O17),INDEX('حضور غبريال'!$C$7:$C$36,$O17),INDEX('حضور رفائيل'!$C$7:$C$36,$O17),INDEX('حضور ميخائيل'!$C$7:$C$36,$O17)),""))</f>
        <v>0</v>
      </c>
      <c r="Q17" s="33">
        <f>IF($O17="","",IFERROR(CHOOSE(MATCH($F17,الإعدادات!$B$4:$B$7,0),INDEX('حضور سوريال'!$D$7:$D$36,$O17),INDEX('حضور غبريال'!$D$7:$D$36,$O17),INDEX('حضور رفائيل'!$D$7:$D$36,$O17),INDEX('حضور ميخائيل'!$D$7:$D$36,$O17)),""))</f>
        <v>0</v>
      </c>
      <c r="R17" s="34" t="str">
        <f>IF($O17="","",IFERROR(CHOOSE(MATCH($F17,الإعدادات!$B$4:$B$7,0),INDEX('حضور سوريال'!$F$7:$F$36,$O17),INDEX('حضور غبريال'!$F$7:$F$36,$O17),INDEX('حضور رفائيل'!$F$7:$F$36,$O17),INDEX('حضور ميخائيل'!$F$7:$F$36,$O17)),""))</f>
        <v/>
      </c>
      <c r="S17" s="33">
        <f>IF($O17="","",IFERROR(CHOOSE(MATCH($F17,الإعدادات!$B$4:$B$7,0),INDEX('حضور سوريال'!$G$7:$G$36,$O17),INDEX('حضور غبريال'!$G$7:$G$36,$O17),INDEX('حضور رفائيل'!$G$7:$G$36,$O17),INDEX('حضور ميخائيل'!$G$7:$G$36,$O17)),""))</f>
        <v>0</v>
      </c>
      <c r="T17" s="35" t="str">
        <f>IF($O17="","",IFERROR(CHOOSE(MATCH($F17,الإعدادات!$B$4:$B$7,0),INDEX('حضور سوريال'!$H$7:$H$36,$O17),INDEX('حضور غبريال'!$H$7:$H$36,$O17),INDEX('حضور رفائيل'!$H$7:$H$36,$O17),INDEX('حضور ميخائيل'!$H$7:$H$36,$O17)),""))</f>
        <v>—</v>
      </c>
      <c r="U17" s="36" t="str">
        <f>IF($O17="","",IFERROR(CHOOSE(MATCH($F17,الإعدادات!$B$4:$B$7,0),INDEX('حضور سوريال'!$I$7:$I$36,$O17),INDEX('حضور غبريال'!$I$7:$I$36,$O17),INDEX('حضور رفائيل'!$I$7:$I$36,$O17),INDEX('حضور ميخائيل'!$I$7:$I$36,$O17)),""))</f>
        <v>⏳ لسه مفيش حضور</v>
      </c>
      <c r="V17">
        <f>IF($O17="","",IFERROR(CHOOSE(MATCH($F17,الإعدادات!$B$4:$B$7,0),INDEX('حضور سوريال'!$BM$7:$BM$36,$O17),INDEX('حضور غبريال'!$BM$7:$BM$36,$O17),INDEX('حضور رفائيل'!$BM$7:$BM$36,$O17),INDEX('حضور ميخائيل'!$BM$7:$BM$36,$O17)),""))</f>
        <v>0</v>
      </c>
      <c r="W17" t="str">
        <f>IF(OR(V17=3,V17=4),COUNTIFS(V$6:V17,3)+COUNTIFS(V$6:V17,4),"")</f>
        <v/>
      </c>
    </row>
    <row r="18" spans="1:23" ht="25.5" customHeight="1">
      <c r="A18" s="26">
        <f t="shared" si="0"/>
        <v>13</v>
      </c>
      <c r="B18" s="27" t="str">
        <f t="shared" si="1"/>
        <v>B-013</v>
      </c>
      <c r="C18" s="28" t="s">
        <v>134</v>
      </c>
      <c r="D18" s="29" t="s">
        <v>43</v>
      </c>
      <c r="E18" s="29" t="s">
        <v>49</v>
      </c>
      <c r="F18" s="29" t="s">
        <v>48</v>
      </c>
      <c r="G18" s="29"/>
      <c r="H18" s="30" t="s">
        <v>158</v>
      </c>
      <c r="I18" s="30" t="s">
        <v>172</v>
      </c>
      <c r="J18" s="31" t="s">
        <v>186</v>
      </c>
      <c r="K18" s="29" t="e" vm="9">
        <v>#VALUE!</v>
      </c>
      <c r="L18" s="31"/>
      <c r="M18" s="29" t="s">
        <v>46</v>
      </c>
      <c r="N18" s="32" t="str">
        <f t="shared" si="2"/>
        <v>غبريال|13</v>
      </c>
      <c r="O18" s="32">
        <f>IF(OR(C18="",F18=""),"",COUNTIFS(F$6:F18,F18,C$6:C18,"&lt;&gt;"))</f>
        <v>13</v>
      </c>
      <c r="P18" s="33">
        <f>IF($O18="","",IFERROR(CHOOSE(MATCH($F18,الإعدادات!$B$4:$B$7,0),INDEX('حضور سوريال'!$C$7:$C$36,$O18),INDEX('حضور غبريال'!$C$7:$C$36,$O18),INDEX('حضور رفائيل'!$C$7:$C$36,$O18),INDEX('حضور ميخائيل'!$C$7:$C$36,$O18)),""))</f>
        <v>0</v>
      </c>
      <c r="Q18" s="33">
        <f>IF($O18="","",IFERROR(CHOOSE(MATCH($F18,الإعدادات!$B$4:$B$7,0),INDEX('حضور سوريال'!$D$7:$D$36,$O18),INDEX('حضور غبريال'!$D$7:$D$36,$O18),INDEX('حضور رفائيل'!$D$7:$D$36,$O18),INDEX('حضور ميخائيل'!$D$7:$D$36,$O18)),""))</f>
        <v>0</v>
      </c>
      <c r="R18" s="34" t="str">
        <f>IF($O18="","",IFERROR(CHOOSE(MATCH($F18,الإعدادات!$B$4:$B$7,0),INDEX('حضور سوريال'!$F$7:$F$36,$O18),INDEX('حضور غبريال'!$F$7:$F$36,$O18),INDEX('حضور رفائيل'!$F$7:$F$36,$O18),INDEX('حضور ميخائيل'!$F$7:$F$36,$O18)),""))</f>
        <v/>
      </c>
      <c r="S18" s="33">
        <f>IF($O18="","",IFERROR(CHOOSE(MATCH($F18,الإعدادات!$B$4:$B$7,0),INDEX('حضور سوريال'!$G$7:$G$36,$O18),INDEX('حضور غبريال'!$G$7:$G$36,$O18),INDEX('حضور رفائيل'!$G$7:$G$36,$O18),INDEX('حضور ميخائيل'!$G$7:$G$36,$O18)),""))</f>
        <v>0</v>
      </c>
      <c r="T18" s="35" t="str">
        <f>IF($O18="","",IFERROR(CHOOSE(MATCH($F18,الإعدادات!$B$4:$B$7,0),INDEX('حضور سوريال'!$H$7:$H$36,$O18),INDEX('حضور غبريال'!$H$7:$H$36,$O18),INDEX('حضور رفائيل'!$H$7:$H$36,$O18),INDEX('حضور ميخائيل'!$H$7:$H$36,$O18)),""))</f>
        <v>—</v>
      </c>
      <c r="U18" s="36" t="str">
        <f>IF($O18="","",IFERROR(CHOOSE(MATCH($F18,الإعدادات!$B$4:$B$7,0),INDEX('حضور سوريال'!$I$7:$I$36,$O18),INDEX('حضور غبريال'!$I$7:$I$36,$O18),INDEX('حضور رفائيل'!$I$7:$I$36,$O18),INDEX('حضور ميخائيل'!$I$7:$I$36,$O18)),""))</f>
        <v>⏳ لسه مفيش حضور</v>
      </c>
      <c r="V18">
        <f>IF($O18="","",IFERROR(CHOOSE(MATCH($F18,الإعدادات!$B$4:$B$7,0),INDEX('حضور سوريال'!$BM$7:$BM$36,$O18),INDEX('حضور غبريال'!$BM$7:$BM$36,$O18),INDEX('حضور رفائيل'!$BM$7:$BM$36,$O18),INDEX('حضور ميخائيل'!$BM$7:$BM$36,$O18)),""))</f>
        <v>0</v>
      </c>
      <c r="W18" t="str">
        <f>IF(OR(V18=3,V18=4),COUNTIFS(V$6:V18,3)+COUNTIFS(V$6:V18,4),"")</f>
        <v/>
      </c>
    </row>
    <row r="19" spans="1:23" ht="25.5" customHeight="1">
      <c r="A19" s="26">
        <f t="shared" si="0"/>
        <v>14</v>
      </c>
      <c r="B19" s="27" t="str">
        <f t="shared" si="1"/>
        <v>B-014</v>
      </c>
      <c r="C19" s="28" t="s">
        <v>135</v>
      </c>
      <c r="D19" s="29" t="s">
        <v>47</v>
      </c>
      <c r="E19" s="29" t="s">
        <v>49</v>
      </c>
      <c r="F19" s="29" t="s">
        <v>48</v>
      </c>
      <c r="G19" s="29"/>
      <c r="H19" s="30" t="s">
        <v>159</v>
      </c>
      <c r="I19" s="30"/>
      <c r="J19" s="31" t="s">
        <v>187</v>
      </c>
      <c r="K19" s="164" t="e" vm="10">
        <v>#VALUE!</v>
      </c>
      <c r="L19" s="31"/>
      <c r="M19" s="29" t="s">
        <v>46</v>
      </c>
      <c r="N19" s="32" t="str">
        <f t="shared" si="2"/>
        <v>غبريال|14</v>
      </c>
      <c r="O19" s="32">
        <f>IF(OR(C19="",F19=""),"",COUNTIFS(F$6:F19,F19,C$6:C19,"&lt;&gt;"))</f>
        <v>14</v>
      </c>
      <c r="P19" s="33">
        <f>IF($O19="","",IFERROR(CHOOSE(MATCH($F19,الإعدادات!$B$4:$B$7,0),INDEX('حضور سوريال'!$C$7:$C$36,$O19),INDEX('حضور غبريال'!$C$7:$C$36,$O19),INDEX('حضور رفائيل'!$C$7:$C$36,$O19),INDEX('حضور ميخائيل'!$C$7:$C$36,$O19)),""))</f>
        <v>0</v>
      </c>
      <c r="Q19" s="33">
        <f>IF($O19="","",IFERROR(CHOOSE(MATCH($F19,الإعدادات!$B$4:$B$7,0),INDEX('حضور سوريال'!$D$7:$D$36,$O19),INDEX('حضور غبريال'!$D$7:$D$36,$O19),INDEX('حضور رفائيل'!$D$7:$D$36,$O19),INDEX('حضور ميخائيل'!$D$7:$D$36,$O19)),""))</f>
        <v>0</v>
      </c>
      <c r="R19" s="34" t="str">
        <f>IF($O19="","",IFERROR(CHOOSE(MATCH($F19,الإعدادات!$B$4:$B$7,0),INDEX('حضور سوريال'!$F$7:$F$36,$O19),INDEX('حضور غبريال'!$F$7:$F$36,$O19),INDEX('حضور رفائيل'!$F$7:$F$36,$O19),INDEX('حضور ميخائيل'!$F$7:$F$36,$O19)),""))</f>
        <v/>
      </c>
      <c r="S19" s="33">
        <f>IF($O19="","",IFERROR(CHOOSE(MATCH($F19,الإعدادات!$B$4:$B$7,0),INDEX('حضور سوريال'!$G$7:$G$36,$O19),INDEX('حضور غبريال'!$G$7:$G$36,$O19),INDEX('حضور رفائيل'!$G$7:$G$36,$O19),INDEX('حضور ميخائيل'!$G$7:$G$36,$O19)),""))</f>
        <v>0</v>
      </c>
      <c r="T19" s="35" t="str">
        <f>IF($O19="","",IFERROR(CHOOSE(MATCH($F19,الإعدادات!$B$4:$B$7,0),INDEX('حضور سوريال'!$H$7:$H$36,$O19),INDEX('حضور غبريال'!$H$7:$H$36,$O19),INDEX('حضور رفائيل'!$H$7:$H$36,$O19),INDEX('حضور ميخائيل'!$H$7:$H$36,$O19)),""))</f>
        <v>—</v>
      </c>
      <c r="U19" s="36" t="str">
        <f>IF($O19="","",IFERROR(CHOOSE(MATCH($F19,الإعدادات!$B$4:$B$7,0),INDEX('حضور سوريال'!$I$7:$I$36,$O19),INDEX('حضور غبريال'!$I$7:$I$36,$O19),INDEX('حضور رفائيل'!$I$7:$I$36,$O19),INDEX('حضور ميخائيل'!$I$7:$I$36,$O19)),""))</f>
        <v>⏳ لسه مفيش حضور</v>
      </c>
      <c r="V19">
        <f>IF($O19="","",IFERROR(CHOOSE(MATCH($F19,الإعدادات!$B$4:$B$7,0),INDEX('حضور سوريال'!$BM$7:$BM$36,$O19),INDEX('حضور غبريال'!$BM$7:$BM$36,$O19),INDEX('حضور رفائيل'!$BM$7:$BM$36,$O19),INDEX('حضور ميخائيل'!$BM$7:$BM$36,$O19)),""))</f>
        <v>0</v>
      </c>
      <c r="W19" t="str">
        <f>IF(OR(V19=3,V19=4),COUNTIFS(V$6:V19,3)+COUNTIFS(V$6:V19,4),"")</f>
        <v/>
      </c>
    </row>
    <row r="20" spans="1:23" ht="25.5" customHeight="1">
      <c r="A20" s="26">
        <f t="shared" si="0"/>
        <v>15</v>
      </c>
      <c r="B20" s="27" t="str">
        <f t="shared" si="1"/>
        <v>B-015</v>
      </c>
      <c r="C20" s="28" t="s">
        <v>136</v>
      </c>
      <c r="D20" s="29" t="s">
        <v>43</v>
      </c>
      <c r="E20" s="29" t="s">
        <v>49</v>
      </c>
      <c r="F20" s="29" t="s">
        <v>48</v>
      </c>
      <c r="G20" s="29"/>
      <c r="H20" s="30" t="s">
        <v>160</v>
      </c>
      <c r="I20" s="30" t="s">
        <v>173</v>
      </c>
      <c r="J20" s="31" t="s">
        <v>188</v>
      </c>
      <c r="K20" s="29"/>
      <c r="L20" s="31"/>
      <c r="M20" s="29" t="s">
        <v>46</v>
      </c>
      <c r="N20" s="32" t="str">
        <f t="shared" si="2"/>
        <v>غبريال|15</v>
      </c>
      <c r="O20" s="32">
        <f>IF(OR(C20="",F20=""),"",COUNTIFS(F$6:F20,F20,C$6:C20,"&lt;&gt;"))</f>
        <v>15</v>
      </c>
      <c r="P20" s="33">
        <f>IF($O20="","",IFERROR(CHOOSE(MATCH($F20,الإعدادات!$B$4:$B$7,0),INDEX('حضور سوريال'!$C$7:$C$36,$O20),INDEX('حضور غبريال'!$C$7:$C$36,$O20),INDEX('حضور رفائيل'!$C$7:$C$36,$O20),INDEX('حضور ميخائيل'!$C$7:$C$36,$O20)),""))</f>
        <v>0</v>
      </c>
      <c r="Q20" s="33">
        <f>IF($O20="","",IFERROR(CHOOSE(MATCH($F20,الإعدادات!$B$4:$B$7,0),INDEX('حضور سوريال'!$D$7:$D$36,$O20),INDEX('حضور غبريال'!$D$7:$D$36,$O20),INDEX('حضور رفائيل'!$D$7:$D$36,$O20),INDEX('حضور ميخائيل'!$D$7:$D$36,$O20)),""))</f>
        <v>0</v>
      </c>
      <c r="R20" s="34" t="str">
        <f>IF($O20="","",IFERROR(CHOOSE(MATCH($F20,الإعدادات!$B$4:$B$7,0),INDEX('حضور سوريال'!$F$7:$F$36,$O20),INDEX('حضور غبريال'!$F$7:$F$36,$O20),INDEX('حضور رفائيل'!$F$7:$F$36,$O20),INDEX('حضور ميخائيل'!$F$7:$F$36,$O20)),""))</f>
        <v/>
      </c>
      <c r="S20" s="33">
        <f>IF($O20="","",IFERROR(CHOOSE(MATCH($F20,الإعدادات!$B$4:$B$7,0),INDEX('حضور سوريال'!$G$7:$G$36,$O20),INDEX('حضور غبريال'!$G$7:$G$36,$O20),INDEX('حضور رفائيل'!$G$7:$G$36,$O20),INDEX('حضور ميخائيل'!$G$7:$G$36,$O20)),""))</f>
        <v>0</v>
      </c>
      <c r="T20" s="35" t="str">
        <f>IF($O20="","",IFERROR(CHOOSE(MATCH($F20,الإعدادات!$B$4:$B$7,0),INDEX('حضور سوريال'!$H$7:$H$36,$O20),INDEX('حضور غبريال'!$H$7:$H$36,$O20),INDEX('حضور رفائيل'!$H$7:$H$36,$O20),INDEX('حضور ميخائيل'!$H$7:$H$36,$O20)),""))</f>
        <v>—</v>
      </c>
      <c r="U20" s="36" t="str">
        <f>IF($O20="","",IFERROR(CHOOSE(MATCH($F20,الإعدادات!$B$4:$B$7,0),INDEX('حضور سوريال'!$I$7:$I$36,$O20),INDEX('حضور غبريال'!$I$7:$I$36,$O20),INDEX('حضور رفائيل'!$I$7:$I$36,$O20),INDEX('حضور ميخائيل'!$I$7:$I$36,$O20)),""))</f>
        <v>⏳ لسه مفيش حضور</v>
      </c>
      <c r="V20">
        <f>IF($O20="","",IFERROR(CHOOSE(MATCH($F20,الإعدادات!$B$4:$B$7,0),INDEX('حضور سوريال'!$BM$7:$BM$36,$O20),INDEX('حضور غبريال'!$BM$7:$BM$36,$O20),INDEX('حضور رفائيل'!$BM$7:$BM$36,$O20),INDEX('حضور ميخائيل'!$BM$7:$BM$36,$O20)),""))</f>
        <v>0</v>
      </c>
      <c r="W20" t="str">
        <f>IF(OR(V20=3,V20=4),COUNTIFS(V$6:V20,3)+COUNTIFS(V$6:V20,4),"")</f>
        <v/>
      </c>
    </row>
    <row r="21" spans="1:23" ht="25.5" customHeight="1">
      <c r="A21" s="26">
        <f t="shared" si="0"/>
        <v>16</v>
      </c>
      <c r="B21" s="27" t="str">
        <f t="shared" si="1"/>
        <v>B-016</v>
      </c>
      <c r="C21" s="28" t="s">
        <v>137</v>
      </c>
      <c r="D21" s="29" t="s">
        <v>47</v>
      </c>
      <c r="E21" s="29" t="s">
        <v>49</v>
      </c>
      <c r="F21" s="29" t="s">
        <v>48</v>
      </c>
      <c r="G21" s="29"/>
      <c r="H21" s="30" t="s">
        <v>161</v>
      </c>
      <c r="I21" s="30"/>
      <c r="J21" s="31" t="s">
        <v>189</v>
      </c>
      <c r="K21" s="29"/>
      <c r="L21" s="31"/>
      <c r="M21" s="29" t="s">
        <v>46</v>
      </c>
      <c r="N21" s="32" t="str">
        <f t="shared" si="2"/>
        <v>غبريال|16</v>
      </c>
      <c r="O21" s="32">
        <f>IF(OR(C21="",F21=""),"",COUNTIFS(F$6:F21,F21,C$6:C21,"&lt;&gt;"))</f>
        <v>16</v>
      </c>
      <c r="P21" s="33">
        <f>IF($O21="","",IFERROR(CHOOSE(MATCH($F21,الإعدادات!$B$4:$B$7,0),INDEX('حضور سوريال'!$C$7:$C$36,$O21),INDEX('حضور غبريال'!$C$7:$C$36,$O21),INDEX('حضور رفائيل'!$C$7:$C$36,$O21),INDEX('حضور ميخائيل'!$C$7:$C$36,$O21)),""))</f>
        <v>0</v>
      </c>
      <c r="Q21" s="33">
        <f>IF($O21="","",IFERROR(CHOOSE(MATCH($F21,الإعدادات!$B$4:$B$7,0),INDEX('حضور سوريال'!$D$7:$D$36,$O21),INDEX('حضور غبريال'!$D$7:$D$36,$O21),INDEX('حضور رفائيل'!$D$7:$D$36,$O21),INDEX('حضور ميخائيل'!$D$7:$D$36,$O21)),""))</f>
        <v>0</v>
      </c>
      <c r="R21" s="34" t="str">
        <f>IF($O21="","",IFERROR(CHOOSE(MATCH($F21,الإعدادات!$B$4:$B$7,0),INDEX('حضور سوريال'!$F$7:$F$36,$O21),INDEX('حضور غبريال'!$F$7:$F$36,$O21),INDEX('حضور رفائيل'!$F$7:$F$36,$O21),INDEX('حضور ميخائيل'!$F$7:$F$36,$O21)),""))</f>
        <v/>
      </c>
      <c r="S21" s="33">
        <f>IF($O21="","",IFERROR(CHOOSE(MATCH($F21,الإعدادات!$B$4:$B$7,0),INDEX('حضور سوريال'!$G$7:$G$36,$O21),INDEX('حضور غبريال'!$G$7:$G$36,$O21),INDEX('حضور رفائيل'!$G$7:$G$36,$O21),INDEX('حضور ميخائيل'!$G$7:$G$36,$O21)),""))</f>
        <v>0</v>
      </c>
      <c r="T21" s="35" t="str">
        <f>IF($O21="","",IFERROR(CHOOSE(MATCH($F21,الإعدادات!$B$4:$B$7,0),INDEX('حضور سوريال'!$H$7:$H$36,$O21),INDEX('حضور غبريال'!$H$7:$H$36,$O21),INDEX('حضور رفائيل'!$H$7:$H$36,$O21),INDEX('حضور ميخائيل'!$H$7:$H$36,$O21)),""))</f>
        <v>—</v>
      </c>
      <c r="U21" s="36" t="str">
        <f>IF($O21="","",IFERROR(CHOOSE(MATCH($F21,الإعدادات!$B$4:$B$7,0),INDEX('حضور سوريال'!$I$7:$I$36,$O21),INDEX('حضور غبريال'!$I$7:$I$36,$O21),INDEX('حضور رفائيل'!$I$7:$I$36,$O21),INDEX('حضور ميخائيل'!$I$7:$I$36,$O21)),""))</f>
        <v>⏳ لسه مفيش حضور</v>
      </c>
      <c r="V21">
        <f>IF($O21="","",IFERROR(CHOOSE(MATCH($F21,الإعدادات!$B$4:$B$7,0),INDEX('حضور سوريال'!$BM$7:$BM$36,$O21),INDEX('حضور غبريال'!$BM$7:$BM$36,$O21),INDEX('حضور رفائيل'!$BM$7:$BM$36,$O21),INDEX('حضور ميخائيل'!$BM$7:$BM$36,$O21)),""))</f>
        <v>0</v>
      </c>
      <c r="W21" t="str">
        <f>IF(OR(V21=3,V21=4),COUNTIFS(V$6:V21,3)+COUNTIFS(V$6:V21,4),"")</f>
        <v/>
      </c>
    </row>
    <row r="22" spans="1:23" ht="25.5" customHeight="1">
      <c r="A22" s="26">
        <f t="shared" si="0"/>
        <v>17</v>
      </c>
      <c r="B22" s="27" t="str">
        <f t="shared" si="1"/>
        <v>B-017</v>
      </c>
      <c r="C22" s="28" t="s">
        <v>138</v>
      </c>
      <c r="D22" s="29" t="s">
        <v>47</v>
      </c>
      <c r="E22" s="29" t="s">
        <v>49</v>
      </c>
      <c r="F22" s="29" t="s">
        <v>48</v>
      </c>
      <c r="G22" s="29"/>
      <c r="H22" s="30" t="s">
        <v>162</v>
      </c>
      <c r="I22" s="30"/>
      <c r="J22" s="31" t="s">
        <v>190</v>
      </c>
      <c r="K22" s="29"/>
      <c r="L22" s="31"/>
      <c r="M22" s="29" t="s">
        <v>46</v>
      </c>
      <c r="N22" s="32" t="str">
        <f t="shared" si="2"/>
        <v>غبريال|17</v>
      </c>
      <c r="O22" s="32">
        <f>IF(OR(C22="",F22=""),"",COUNTIFS(F$6:F22,F22,C$6:C22,"&lt;&gt;"))</f>
        <v>17</v>
      </c>
      <c r="P22" s="33">
        <f>IF($O22="","",IFERROR(CHOOSE(MATCH($F22,الإعدادات!$B$4:$B$7,0),INDEX('حضور سوريال'!$C$7:$C$36,$O22),INDEX('حضور غبريال'!$C$7:$C$36,$O22),INDEX('حضور رفائيل'!$C$7:$C$36,$O22),INDEX('حضور ميخائيل'!$C$7:$C$36,$O22)),""))</f>
        <v>0</v>
      </c>
      <c r="Q22" s="33">
        <f>IF($O22="","",IFERROR(CHOOSE(MATCH($F22,الإعدادات!$B$4:$B$7,0),INDEX('حضور سوريال'!$D$7:$D$36,$O22),INDEX('حضور غبريال'!$D$7:$D$36,$O22),INDEX('حضور رفائيل'!$D$7:$D$36,$O22),INDEX('حضور ميخائيل'!$D$7:$D$36,$O22)),""))</f>
        <v>0</v>
      </c>
      <c r="R22" s="34" t="str">
        <f>IF($O22="","",IFERROR(CHOOSE(MATCH($F22,الإعدادات!$B$4:$B$7,0),INDEX('حضور سوريال'!$F$7:$F$36,$O22),INDEX('حضور غبريال'!$F$7:$F$36,$O22),INDEX('حضور رفائيل'!$F$7:$F$36,$O22),INDEX('حضور ميخائيل'!$F$7:$F$36,$O22)),""))</f>
        <v/>
      </c>
      <c r="S22" s="33">
        <f>IF($O22="","",IFERROR(CHOOSE(MATCH($F22,الإعدادات!$B$4:$B$7,0),INDEX('حضور سوريال'!$G$7:$G$36,$O22),INDEX('حضور غبريال'!$G$7:$G$36,$O22),INDEX('حضور رفائيل'!$G$7:$G$36,$O22),INDEX('حضور ميخائيل'!$G$7:$G$36,$O22)),""))</f>
        <v>0</v>
      </c>
      <c r="T22" s="35" t="str">
        <f>IF($O22="","",IFERROR(CHOOSE(MATCH($F22,الإعدادات!$B$4:$B$7,0),INDEX('حضور سوريال'!$H$7:$H$36,$O22),INDEX('حضور غبريال'!$H$7:$H$36,$O22),INDEX('حضور رفائيل'!$H$7:$H$36,$O22),INDEX('حضور ميخائيل'!$H$7:$H$36,$O22)),""))</f>
        <v>—</v>
      </c>
      <c r="U22" s="36" t="str">
        <f>IF($O22="","",IFERROR(CHOOSE(MATCH($F22,الإعدادات!$B$4:$B$7,0),INDEX('حضور سوريال'!$I$7:$I$36,$O22),INDEX('حضور غبريال'!$I$7:$I$36,$O22),INDEX('حضور رفائيل'!$I$7:$I$36,$O22),INDEX('حضور ميخائيل'!$I$7:$I$36,$O22)),""))</f>
        <v>⏳ لسه مفيش حضور</v>
      </c>
      <c r="V22">
        <f>IF($O22="","",IFERROR(CHOOSE(MATCH($F22,الإعدادات!$B$4:$B$7,0),INDEX('حضور سوريال'!$BM$7:$BM$36,$O22),INDEX('حضور غبريال'!$BM$7:$BM$36,$O22),INDEX('حضور رفائيل'!$BM$7:$BM$36,$O22),INDEX('حضور ميخائيل'!$BM$7:$BM$36,$O22)),""))</f>
        <v>0</v>
      </c>
      <c r="W22" t="str">
        <f>IF(OR(V22=3,V22=4),COUNTIFS(V$6:V22,3)+COUNTIFS(V$6:V22,4),"")</f>
        <v/>
      </c>
    </row>
    <row r="23" spans="1:23" ht="25.5" customHeight="1">
      <c r="A23" s="26">
        <f t="shared" si="0"/>
        <v>18</v>
      </c>
      <c r="B23" s="27" t="str">
        <f t="shared" si="1"/>
        <v>B-018</v>
      </c>
      <c r="C23" s="28" t="s">
        <v>139</v>
      </c>
      <c r="D23" s="29" t="s">
        <v>43</v>
      </c>
      <c r="E23" s="29" t="s">
        <v>49</v>
      </c>
      <c r="F23" s="29" t="s">
        <v>48</v>
      </c>
      <c r="G23" s="29"/>
      <c r="H23" s="30" t="s">
        <v>163</v>
      </c>
      <c r="I23" s="30"/>
      <c r="J23" s="31" t="s">
        <v>191</v>
      </c>
      <c r="K23" s="29"/>
      <c r="L23" s="31"/>
      <c r="M23" s="29" t="s">
        <v>46</v>
      </c>
      <c r="N23" s="32" t="str">
        <f t="shared" si="2"/>
        <v>غبريال|18</v>
      </c>
      <c r="O23" s="32">
        <f>IF(OR(C23="",F23=""),"",COUNTIFS(F$6:F23,F23,C$6:C23,"&lt;&gt;"))</f>
        <v>18</v>
      </c>
      <c r="P23" s="33">
        <f>IF($O23="","",IFERROR(CHOOSE(MATCH($F23,الإعدادات!$B$4:$B$7,0),INDEX('حضور سوريال'!$C$7:$C$36,$O23),INDEX('حضور غبريال'!$C$7:$C$36,$O23),INDEX('حضور رفائيل'!$C$7:$C$36,$O23),INDEX('حضور ميخائيل'!$C$7:$C$36,$O23)),""))</f>
        <v>0</v>
      </c>
      <c r="Q23" s="33">
        <f>IF($O23="","",IFERROR(CHOOSE(MATCH($F23,الإعدادات!$B$4:$B$7,0),INDEX('حضور سوريال'!$D$7:$D$36,$O23),INDEX('حضور غبريال'!$D$7:$D$36,$O23),INDEX('حضور رفائيل'!$D$7:$D$36,$O23),INDEX('حضور ميخائيل'!$D$7:$D$36,$O23)),""))</f>
        <v>0</v>
      </c>
      <c r="R23" s="34" t="str">
        <f>IF($O23="","",IFERROR(CHOOSE(MATCH($F23,الإعدادات!$B$4:$B$7,0),INDEX('حضور سوريال'!$F$7:$F$36,$O23),INDEX('حضور غبريال'!$F$7:$F$36,$O23),INDEX('حضور رفائيل'!$F$7:$F$36,$O23),INDEX('حضور ميخائيل'!$F$7:$F$36,$O23)),""))</f>
        <v/>
      </c>
      <c r="S23" s="33">
        <f>IF($O23="","",IFERROR(CHOOSE(MATCH($F23,الإعدادات!$B$4:$B$7,0),INDEX('حضور سوريال'!$G$7:$G$36,$O23),INDEX('حضور غبريال'!$G$7:$G$36,$O23),INDEX('حضور رفائيل'!$G$7:$G$36,$O23),INDEX('حضور ميخائيل'!$G$7:$G$36,$O23)),""))</f>
        <v>0</v>
      </c>
      <c r="T23" s="35" t="str">
        <f>IF($O23="","",IFERROR(CHOOSE(MATCH($F23,الإعدادات!$B$4:$B$7,0),INDEX('حضور سوريال'!$H$7:$H$36,$O23),INDEX('حضور غبريال'!$H$7:$H$36,$O23),INDEX('حضور رفائيل'!$H$7:$H$36,$O23),INDEX('حضور ميخائيل'!$H$7:$H$36,$O23)),""))</f>
        <v>—</v>
      </c>
      <c r="U23" s="36" t="str">
        <f>IF($O23="","",IFERROR(CHOOSE(MATCH($F23,الإعدادات!$B$4:$B$7,0),INDEX('حضور سوريال'!$I$7:$I$36,$O23),INDEX('حضور غبريال'!$I$7:$I$36,$O23),INDEX('حضور رفائيل'!$I$7:$I$36,$O23),INDEX('حضور ميخائيل'!$I$7:$I$36,$O23)),""))</f>
        <v>⏳ لسه مفيش حضور</v>
      </c>
      <c r="V23">
        <f>IF($O23="","",IFERROR(CHOOSE(MATCH($F23,الإعدادات!$B$4:$B$7,0),INDEX('حضور سوريال'!$BM$7:$BM$36,$O23),INDEX('حضور غبريال'!$BM$7:$BM$36,$O23),INDEX('حضور رفائيل'!$BM$7:$BM$36,$O23),INDEX('حضور ميخائيل'!$BM$7:$BM$36,$O23)),""))</f>
        <v>0</v>
      </c>
      <c r="W23" t="str">
        <f>IF(OR(V23=3,V23=4),COUNTIFS(V$6:V23,3)+COUNTIFS(V$6:V23,4),"")</f>
        <v/>
      </c>
    </row>
    <row r="24" spans="1:23" ht="25.5" customHeight="1">
      <c r="A24" s="26">
        <f t="shared" si="0"/>
        <v>19</v>
      </c>
      <c r="B24" s="27" t="str">
        <f t="shared" si="1"/>
        <v>B-019</v>
      </c>
      <c r="C24" s="28" t="s">
        <v>140</v>
      </c>
      <c r="D24" s="29" t="s">
        <v>47</v>
      </c>
      <c r="E24" s="29" t="s">
        <v>49</v>
      </c>
      <c r="F24" s="29" t="s">
        <v>48</v>
      </c>
      <c r="G24" s="29"/>
      <c r="H24" s="30" t="s">
        <v>164</v>
      </c>
      <c r="I24" s="30"/>
      <c r="J24" s="31" t="s">
        <v>192</v>
      </c>
      <c r="K24" s="29" t="e" vm="11">
        <v>#VALUE!</v>
      </c>
      <c r="L24" s="31"/>
      <c r="M24" s="29" t="s">
        <v>46</v>
      </c>
      <c r="N24" s="32" t="str">
        <f t="shared" si="2"/>
        <v>غبريال|19</v>
      </c>
      <c r="O24" s="32">
        <f>IF(OR(C24="",F24=""),"",COUNTIFS(F$6:F24,F24,C$6:C24,"&lt;&gt;"))</f>
        <v>19</v>
      </c>
      <c r="P24" s="33">
        <f>IF($O24="","",IFERROR(CHOOSE(MATCH($F24,الإعدادات!$B$4:$B$7,0),INDEX('حضور سوريال'!$C$7:$C$36,$O24),INDEX('حضور غبريال'!$C$7:$C$36,$O24),INDEX('حضور رفائيل'!$C$7:$C$36,$O24),INDEX('حضور ميخائيل'!$C$7:$C$36,$O24)),""))</f>
        <v>0</v>
      </c>
      <c r="Q24" s="33">
        <f>IF($O24="","",IFERROR(CHOOSE(MATCH($F24,الإعدادات!$B$4:$B$7,0),INDEX('حضور سوريال'!$D$7:$D$36,$O24),INDEX('حضور غبريال'!$D$7:$D$36,$O24),INDEX('حضور رفائيل'!$D$7:$D$36,$O24),INDEX('حضور ميخائيل'!$D$7:$D$36,$O24)),""))</f>
        <v>0</v>
      </c>
      <c r="R24" s="34" t="str">
        <f>IF($O24="","",IFERROR(CHOOSE(MATCH($F24,الإعدادات!$B$4:$B$7,0),INDEX('حضور سوريال'!$F$7:$F$36,$O24),INDEX('حضور غبريال'!$F$7:$F$36,$O24),INDEX('حضور رفائيل'!$F$7:$F$36,$O24),INDEX('حضور ميخائيل'!$F$7:$F$36,$O24)),""))</f>
        <v/>
      </c>
      <c r="S24" s="33">
        <f>IF($O24="","",IFERROR(CHOOSE(MATCH($F24,الإعدادات!$B$4:$B$7,0),INDEX('حضور سوريال'!$G$7:$G$36,$O24),INDEX('حضور غبريال'!$G$7:$G$36,$O24),INDEX('حضور رفائيل'!$G$7:$G$36,$O24),INDEX('حضور ميخائيل'!$G$7:$G$36,$O24)),""))</f>
        <v>0</v>
      </c>
      <c r="T24" s="35" t="str">
        <f>IF($O24="","",IFERROR(CHOOSE(MATCH($F24,الإعدادات!$B$4:$B$7,0),INDEX('حضور سوريال'!$H$7:$H$36,$O24),INDEX('حضور غبريال'!$H$7:$H$36,$O24),INDEX('حضور رفائيل'!$H$7:$H$36,$O24),INDEX('حضور ميخائيل'!$H$7:$H$36,$O24)),""))</f>
        <v>—</v>
      </c>
      <c r="U24" s="36" t="str">
        <f>IF($O24="","",IFERROR(CHOOSE(MATCH($F24,الإعدادات!$B$4:$B$7,0),INDEX('حضور سوريال'!$I$7:$I$36,$O24),INDEX('حضور غبريال'!$I$7:$I$36,$O24),INDEX('حضور رفائيل'!$I$7:$I$36,$O24),INDEX('حضور ميخائيل'!$I$7:$I$36,$O24)),""))</f>
        <v>⏳ لسه مفيش حضور</v>
      </c>
      <c r="V24">
        <f>IF($O24="","",IFERROR(CHOOSE(MATCH($F24,الإعدادات!$B$4:$B$7,0),INDEX('حضور سوريال'!$BM$7:$BM$36,$O24),INDEX('حضور غبريال'!$BM$7:$BM$36,$O24),INDEX('حضور رفائيل'!$BM$7:$BM$36,$O24),INDEX('حضور ميخائيل'!$BM$7:$BM$36,$O24)),""))</f>
        <v>0</v>
      </c>
      <c r="W24" t="str">
        <f>IF(OR(V24=3,V24=4),COUNTIFS(V$6:V24,3)+COUNTIFS(V$6:V24,4),"")</f>
        <v/>
      </c>
    </row>
    <row r="25" spans="1:23" ht="25.5" customHeight="1">
      <c r="A25" s="26">
        <f t="shared" si="0"/>
        <v>20</v>
      </c>
      <c r="B25" s="27" t="str">
        <f t="shared" si="1"/>
        <v>B-020</v>
      </c>
      <c r="C25" s="28" t="s">
        <v>141</v>
      </c>
      <c r="D25" s="29" t="s">
        <v>47</v>
      </c>
      <c r="E25" s="29" t="s">
        <v>49</v>
      </c>
      <c r="F25" s="29" t="s">
        <v>48</v>
      </c>
      <c r="G25" s="29"/>
      <c r="H25" s="30" t="s">
        <v>165</v>
      </c>
      <c r="I25" s="30"/>
      <c r="J25" s="31" t="s">
        <v>193</v>
      </c>
      <c r="K25" s="29" t="e" vm="12">
        <v>#VALUE!</v>
      </c>
      <c r="L25" s="31"/>
      <c r="M25" s="29" t="s">
        <v>46</v>
      </c>
      <c r="N25" s="32" t="str">
        <f t="shared" si="2"/>
        <v>غبريال|20</v>
      </c>
      <c r="O25" s="32">
        <f>IF(OR(C25="",F25=""),"",COUNTIFS(F$6:F25,F25,C$6:C25,"&lt;&gt;"))</f>
        <v>20</v>
      </c>
      <c r="P25" s="33">
        <f>IF($O25="","",IFERROR(CHOOSE(MATCH($F25,الإعدادات!$B$4:$B$7,0),INDEX('حضور سوريال'!$C$7:$C$36,$O25),INDEX('حضور غبريال'!$C$7:$C$36,$O25),INDEX('حضور رفائيل'!$C$7:$C$36,$O25),INDEX('حضور ميخائيل'!$C$7:$C$36,$O25)),""))</f>
        <v>0</v>
      </c>
      <c r="Q25" s="33">
        <f>IF($O25="","",IFERROR(CHOOSE(MATCH($F25,الإعدادات!$B$4:$B$7,0),INDEX('حضور سوريال'!$D$7:$D$36,$O25),INDEX('حضور غبريال'!$D$7:$D$36,$O25),INDEX('حضور رفائيل'!$D$7:$D$36,$O25),INDEX('حضور ميخائيل'!$D$7:$D$36,$O25)),""))</f>
        <v>0</v>
      </c>
      <c r="R25" s="34" t="str">
        <f>IF($O25="","",IFERROR(CHOOSE(MATCH($F25,الإعدادات!$B$4:$B$7,0),INDEX('حضور سوريال'!$F$7:$F$36,$O25),INDEX('حضور غبريال'!$F$7:$F$36,$O25),INDEX('حضور رفائيل'!$F$7:$F$36,$O25),INDEX('حضور ميخائيل'!$F$7:$F$36,$O25)),""))</f>
        <v/>
      </c>
      <c r="S25" s="33">
        <f>IF($O25="","",IFERROR(CHOOSE(MATCH($F25,الإعدادات!$B$4:$B$7,0),INDEX('حضور سوريال'!$G$7:$G$36,$O25),INDEX('حضور غبريال'!$G$7:$G$36,$O25),INDEX('حضور رفائيل'!$G$7:$G$36,$O25),INDEX('حضور ميخائيل'!$G$7:$G$36,$O25)),""))</f>
        <v>0</v>
      </c>
      <c r="T25" s="35" t="str">
        <f>IF($O25="","",IFERROR(CHOOSE(MATCH($F25,الإعدادات!$B$4:$B$7,0),INDEX('حضور سوريال'!$H$7:$H$36,$O25),INDEX('حضور غبريال'!$H$7:$H$36,$O25),INDEX('حضور رفائيل'!$H$7:$H$36,$O25),INDEX('حضور ميخائيل'!$H$7:$H$36,$O25)),""))</f>
        <v>—</v>
      </c>
      <c r="U25" s="36" t="str">
        <f>IF($O25="","",IFERROR(CHOOSE(MATCH($F25,الإعدادات!$B$4:$B$7,0),INDEX('حضور سوريال'!$I$7:$I$36,$O25),INDEX('حضور غبريال'!$I$7:$I$36,$O25),INDEX('حضور رفائيل'!$I$7:$I$36,$O25),INDEX('حضور ميخائيل'!$I$7:$I$36,$O25)),""))</f>
        <v>⏳ لسه مفيش حضور</v>
      </c>
      <c r="V25">
        <f>IF($O25="","",IFERROR(CHOOSE(MATCH($F25,الإعدادات!$B$4:$B$7,0),INDEX('حضور سوريال'!$BM$7:$BM$36,$O25),INDEX('حضور غبريال'!$BM$7:$BM$36,$O25),INDEX('حضور رفائيل'!$BM$7:$BM$36,$O25),INDEX('حضور ميخائيل'!$BM$7:$BM$36,$O25)),""))</f>
        <v>0</v>
      </c>
      <c r="W25" t="str">
        <f>IF(OR(V25=3,V25=4),COUNTIFS(V$6:V25,3)+COUNTIFS(V$6:V25,4),"")</f>
        <v/>
      </c>
    </row>
    <row r="26" spans="1:23" ht="25.5" customHeight="1">
      <c r="A26" s="26">
        <f t="shared" si="0"/>
        <v>21</v>
      </c>
      <c r="B26" s="27" t="str">
        <f t="shared" si="1"/>
        <v>B-021</v>
      </c>
      <c r="C26" s="28" t="s">
        <v>142</v>
      </c>
      <c r="D26" s="29" t="s">
        <v>47</v>
      </c>
      <c r="E26" s="29" t="s">
        <v>49</v>
      </c>
      <c r="F26" s="29" t="s">
        <v>48</v>
      </c>
      <c r="G26" s="29"/>
      <c r="H26" s="30" t="s">
        <v>166</v>
      </c>
      <c r="I26" s="30"/>
      <c r="J26" s="31" t="s">
        <v>194</v>
      </c>
      <c r="K26" s="29" t="e" vm="13">
        <v>#VALUE!</v>
      </c>
      <c r="L26" s="31"/>
      <c r="M26" s="29" t="s">
        <v>46</v>
      </c>
      <c r="N26" s="32" t="str">
        <f t="shared" si="2"/>
        <v>غبريال|21</v>
      </c>
      <c r="O26" s="32">
        <f>IF(OR(C26="",F26=""),"",COUNTIFS(F$6:F26,F26,C$6:C26,"&lt;&gt;"))</f>
        <v>21</v>
      </c>
      <c r="P26" s="33">
        <f>IF($O26="","",IFERROR(CHOOSE(MATCH($F26,الإعدادات!$B$4:$B$7,0),INDEX('حضور سوريال'!$C$7:$C$36,$O26),INDEX('حضور غبريال'!$C$7:$C$36,$O26),INDEX('حضور رفائيل'!$C$7:$C$36,$O26),INDEX('حضور ميخائيل'!$C$7:$C$36,$O26)),""))</f>
        <v>0</v>
      </c>
      <c r="Q26" s="33">
        <f>IF($O26="","",IFERROR(CHOOSE(MATCH($F26,الإعدادات!$B$4:$B$7,0),INDEX('حضور سوريال'!$D$7:$D$36,$O26),INDEX('حضور غبريال'!$D$7:$D$36,$O26),INDEX('حضور رفائيل'!$D$7:$D$36,$O26),INDEX('حضور ميخائيل'!$D$7:$D$36,$O26)),""))</f>
        <v>0</v>
      </c>
      <c r="R26" s="34" t="str">
        <f>IF($O26="","",IFERROR(CHOOSE(MATCH($F26,الإعدادات!$B$4:$B$7,0),INDEX('حضور سوريال'!$F$7:$F$36,$O26),INDEX('حضور غبريال'!$F$7:$F$36,$O26),INDEX('حضور رفائيل'!$F$7:$F$36,$O26),INDEX('حضور ميخائيل'!$F$7:$F$36,$O26)),""))</f>
        <v/>
      </c>
      <c r="S26" s="33">
        <f>IF($O26="","",IFERROR(CHOOSE(MATCH($F26,الإعدادات!$B$4:$B$7,0),INDEX('حضور سوريال'!$G$7:$G$36,$O26),INDEX('حضور غبريال'!$G$7:$G$36,$O26),INDEX('حضور رفائيل'!$G$7:$G$36,$O26),INDEX('حضور ميخائيل'!$G$7:$G$36,$O26)),""))</f>
        <v>0</v>
      </c>
      <c r="T26" s="35" t="str">
        <f>IF($O26="","",IFERROR(CHOOSE(MATCH($F26,الإعدادات!$B$4:$B$7,0),INDEX('حضور سوريال'!$H$7:$H$36,$O26),INDEX('حضور غبريال'!$H$7:$H$36,$O26),INDEX('حضور رفائيل'!$H$7:$H$36,$O26),INDEX('حضور ميخائيل'!$H$7:$H$36,$O26)),""))</f>
        <v>—</v>
      </c>
      <c r="U26" s="36" t="str">
        <f>IF($O26="","",IFERROR(CHOOSE(MATCH($F26,الإعدادات!$B$4:$B$7,0),INDEX('حضور سوريال'!$I$7:$I$36,$O26),INDEX('حضور غبريال'!$I$7:$I$36,$O26),INDEX('حضور رفائيل'!$I$7:$I$36,$O26),INDEX('حضور ميخائيل'!$I$7:$I$36,$O26)),""))</f>
        <v>⏳ لسه مفيش حضور</v>
      </c>
      <c r="V26">
        <f>IF($O26="","",IFERROR(CHOOSE(MATCH($F26,الإعدادات!$B$4:$B$7,0),INDEX('حضور سوريال'!$BM$7:$BM$36,$O26),INDEX('حضور غبريال'!$BM$7:$BM$36,$O26),INDEX('حضور رفائيل'!$BM$7:$BM$36,$O26),INDEX('حضور ميخائيل'!$BM$7:$BM$36,$O26)),""))</f>
        <v>0</v>
      </c>
      <c r="W26" t="str">
        <f>IF(OR(V26=3,V26=4),COUNTIFS(V$6:V26,3)+COUNTIFS(V$6:V26,4),"")</f>
        <v/>
      </c>
    </row>
    <row r="27" spans="1:23" ht="25.5" customHeight="1">
      <c r="A27" s="26">
        <f t="shared" si="0"/>
        <v>22</v>
      </c>
      <c r="B27" s="27" t="str">
        <f t="shared" si="1"/>
        <v>B-022</v>
      </c>
      <c r="C27" s="28" t="s">
        <v>143</v>
      </c>
      <c r="D27" s="29" t="s">
        <v>47</v>
      </c>
      <c r="E27" s="29" t="s">
        <v>49</v>
      </c>
      <c r="F27" s="29" t="s">
        <v>48</v>
      </c>
      <c r="G27" s="29"/>
      <c r="H27" s="30" t="s">
        <v>167</v>
      </c>
      <c r="I27" s="30"/>
      <c r="J27" s="31" t="s">
        <v>195</v>
      </c>
      <c r="K27" s="29" t="e" vm="14">
        <v>#VALUE!</v>
      </c>
      <c r="L27" s="31"/>
      <c r="M27" s="29" t="s">
        <v>46</v>
      </c>
      <c r="N27" s="32" t="str">
        <f t="shared" si="2"/>
        <v>غبريال|22</v>
      </c>
      <c r="O27" s="32">
        <f>IF(OR(C27="",F27=""),"",COUNTIFS(F$6:F27,F27,C$6:C27,"&lt;&gt;"))</f>
        <v>22</v>
      </c>
      <c r="P27" s="33">
        <f>IF($O27="","",IFERROR(CHOOSE(MATCH($F27,الإعدادات!$B$4:$B$7,0),INDEX('حضور سوريال'!$C$7:$C$36,$O27),INDEX('حضور غبريال'!$C$7:$C$36,$O27),INDEX('حضور رفائيل'!$C$7:$C$36,$O27),INDEX('حضور ميخائيل'!$C$7:$C$36,$O27)),""))</f>
        <v>0</v>
      </c>
      <c r="Q27" s="33">
        <f>IF($O27="","",IFERROR(CHOOSE(MATCH($F27,الإعدادات!$B$4:$B$7,0),INDEX('حضور سوريال'!$D$7:$D$36,$O27),INDEX('حضور غبريال'!$D$7:$D$36,$O27),INDEX('حضور رفائيل'!$D$7:$D$36,$O27),INDEX('حضور ميخائيل'!$D$7:$D$36,$O27)),""))</f>
        <v>0</v>
      </c>
      <c r="R27" s="34" t="str">
        <f>IF($O27="","",IFERROR(CHOOSE(MATCH($F27,الإعدادات!$B$4:$B$7,0),INDEX('حضور سوريال'!$F$7:$F$36,$O27),INDEX('حضور غبريال'!$F$7:$F$36,$O27),INDEX('حضور رفائيل'!$F$7:$F$36,$O27),INDEX('حضور ميخائيل'!$F$7:$F$36,$O27)),""))</f>
        <v/>
      </c>
      <c r="S27" s="33">
        <f>IF($O27="","",IFERROR(CHOOSE(MATCH($F27,الإعدادات!$B$4:$B$7,0),INDEX('حضور سوريال'!$G$7:$G$36,$O27),INDEX('حضور غبريال'!$G$7:$G$36,$O27),INDEX('حضور رفائيل'!$G$7:$G$36,$O27),INDEX('حضور ميخائيل'!$G$7:$G$36,$O27)),""))</f>
        <v>0</v>
      </c>
      <c r="T27" s="35" t="str">
        <f>IF($O27="","",IFERROR(CHOOSE(MATCH($F27,الإعدادات!$B$4:$B$7,0),INDEX('حضور سوريال'!$H$7:$H$36,$O27),INDEX('حضور غبريال'!$H$7:$H$36,$O27),INDEX('حضور رفائيل'!$H$7:$H$36,$O27),INDEX('حضور ميخائيل'!$H$7:$H$36,$O27)),""))</f>
        <v>—</v>
      </c>
      <c r="U27" s="36" t="str">
        <f>IF($O27="","",IFERROR(CHOOSE(MATCH($F27,الإعدادات!$B$4:$B$7,0),INDEX('حضور سوريال'!$I$7:$I$36,$O27),INDEX('حضور غبريال'!$I$7:$I$36,$O27),INDEX('حضور رفائيل'!$I$7:$I$36,$O27),INDEX('حضور ميخائيل'!$I$7:$I$36,$O27)),""))</f>
        <v>⏳ لسه مفيش حضور</v>
      </c>
      <c r="V27">
        <f>IF($O27="","",IFERROR(CHOOSE(MATCH($F27,الإعدادات!$B$4:$B$7,0),INDEX('حضور سوريال'!$BM$7:$BM$36,$O27),INDEX('حضور غبريال'!$BM$7:$BM$36,$O27),INDEX('حضور رفائيل'!$BM$7:$BM$36,$O27),INDEX('حضور ميخائيل'!$BM$7:$BM$36,$O27)),""))</f>
        <v>0</v>
      </c>
      <c r="W27" t="str">
        <f>IF(OR(V27=3,V27=4),COUNTIFS(V$6:V27,3)+COUNTIFS(V$6:V27,4),"")</f>
        <v/>
      </c>
    </row>
    <row r="28" spans="1:23" ht="25.5" customHeight="1">
      <c r="A28" s="26">
        <f t="shared" si="0"/>
        <v>23</v>
      </c>
      <c r="B28" s="27" t="str">
        <f t="shared" si="1"/>
        <v>B-023</v>
      </c>
      <c r="C28" s="28" t="s">
        <v>144</v>
      </c>
      <c r="D28" s="29" t="s">
        <v>47</v>
      </c>
      <c r="E28" s="29" t="s">
        <v>49</v>
      </c>
      <c r="F28" s="29" t="s">
        <v>48</v>
      </c>
      <c r="G28" s="29"/>
      <c r="H28" s="30" t="s">
        <v>168</v>
      </c>
      <c r="I28" s="30"/>
      <c r="J28" s="31" t="s">
        <v>196</v>
      </c>
      <c r="K28" s="29"/>
      <c r="L28" s="31"/>
      <c r="M28" s="29" t="s">
        <v>46</v>
      </c>
      <c r="N28" s="32" t="str">
        <f t="shared" si="2"/>
        <v>غبريال|23</v>
      </c>
      <c r="O28" s="32">
        <f>IF(OR(C28="",F28=""),"",COUNTIFS(F$6:F28,F28,C$6:C28,"&lt;&gt;"))</f>
        <v>23</v>
      </c>
      <c r="P28" s="33">
        <f>IF($O28="","",IFERROR(CHOOSE(MATCH($F28,الإعدادات!$B$4:$B$7,0),INDEX('حضور سوريال'!$C$7:$C$36,$O28),INDEX('حضور غبريال'!$C$7:$C$36,$O28),INDEX('حضور رفائيل'!$C$7:$C$36,$O28),INDEX('حضور ميخائيل'!$C$7:$C$36,$O28)),""))</f>
        <v>0</v>
      </c>
      <c r="Q28" s="33">
        <f>IF($O28="","",IFERROR(CHOOSE(MATCH($F28,الإعدادات!$B$4:$B$7,0),INDEX('حضور سوريال'!$D$7:$D$36,$O28),INDEX('حضور غبريال'!$D$7:$D$36,$O28),INDEX('حضور رفائيل'!$D$7:$D$36,$O28),INDEX('حضور ميخائيل'!$D$7:$D$36,$O28)),""))</f>
        <v>0</v>
      </c>
      <c r="R28" s="34" t="str">
        <f>IF($O28="","",IFERROR(CHOOSE(MATCH($F28,الإعدادات!$B$4:$B$7,0),INDEX('حضور سوريال'!$F$7:$F$36,$O28),INDEX('حضور غبريال'!$F$7:$F$36,$O28),INDEX('حضور رفائيل'!$F$7:$F$36,$O28),INDEX('حضور ميخائيل'!$F$7:$F$36,$O28)),""))</f>
        <v/>
      </c>
      <c r="S28" s="33">
        <f>IF($O28="","",IFERROR(CHOOSE(MATCH($F28,الإعدادات!$B$4:$B$7,0),INDEX('حضور سوريال'!$G$7:$G$36,$O28),INDEX('حضور غبريال'!$G$7:$G$36,$O28),INDEX('حضور رفائيل'!$G$7:$G$36,$O28),INDEX('حضور ميخائيل'!$G$7:$G$36,$O28)),""))</f>
        <v>0</v>
      </c>
      <c r="T28" s="35" t="str">
        <f>IF($O28="","",IFERROR(CHOOSE(MATCH($F28,الإعدادات!$B$4:$B$7,0),INDEX('حضور سوريال'!$H$7:$H$36,$O28),INDEX('حضور غبريال'!$H$7:$H$36,$O28),INDEX('حضور رفائيل'!$H$7:$H$36,$O28),INDEX('حضور ميخائيل'!$H$7:$H$36,$O28)),""))</f>
        <v>—</v>
      </c>
      <c r="U28" s="36" t="str">
        <f>IF($O28="","",IFERROR(CHOOSE(MATCH($F28,الإعدادات!$B$4:$B$7,0),INDEX('حضور سوريال'!$I$7:$I$36,$O28),INDEX('حضور غبريال'!$I$7:$I$36,$O28),INDEX('حضور رفائيل'!$I$7:$I$36,$O28),INDEX('حضور ميخائيل'!$I$7:$I$36,$O28)),""))</f>
        <v>⏳ لسه مفيش حضور</v>
      </c>
      <c r="V28">
        <f>IF($O28="","",IFERROR(CHOOSE(MATCH($F28,الإعدادات!$B$4:$B$7,0),INDEX('حضور سوريال'!$BM$7:$BM$36,$O28),INDEX('حضور غبريال'!$BM$7:$BM$36,$O28),INDEX('حضور رفائيل'!$BM$7:$BM$36,$O28),INDEX('حضور ميخائيل'!$BM$7:$BM$36,$O28)),""))</f>
        <v>0</v>
      </c>
      <c r="W28" t="str">
        <f>IF(OR(V28=3,V28=4),COUNTIFS(V$6:V28,3)+COUNTIFS(V$6:V28,4),"")</f>
        <v/>
      </c>
    </row>
    <row r="29" spans="1:23" ht="25.5" customHeight="1">
      <c r="A29" s="26">
        <f t="shared" si="0"/>
        <v>24</v>
      </c>
      <c r="B29" s="27" t="str">
        <f t="shared" si="1"/>
        <v>B-024</v>
      </c>
      <c r="C29" s="28" t="s">
        <v>145</v>
      </c>
      <c r="D29" s="29" t="s">
        <v>47</v>
      </c>
      <c r="E29" s="29" t="s">
        <v>49</v>
      </c>
      <c r="F29" s="29" t="s">
        <v>48</v>
      </c>
      <c r="G29" s="29"/>
      <c r="H29" s="30" t="s">
        <v>169</v>
      </c>
      <c r="I29" s="30"/>
      <c r="J29" s="31" t="s">
        <v>197</v>
      </c>
      <c r="K29" s="29"/>
      <c r="L29" s="31"/>
      <c r="M29" s="29" t="s">
        <v>46</v>
      </c>
      <c r="N29" s="32" t="str">
        <f t="shared" si="2"/>
        <v>غبريال|24</v>
      </c>
      <c r="O29" s="32">
        <f>IF(OR(C29="",F29=""),"",COUNTIFS(F$6:F29,F29,C$6:C29,"&lt;&gt;"))</f>
        <v>24</v>
      </c>
      <c r="P29" s="33">
        <f>IF($O29="","",IFERROR(CHOOSE(MATCH($F29,الإعدادات!$B$4:$B$7,0),INDEX('حضور سوريال'!$C$7:$C$36,$O29),INDEX('حضور غبريال'!$C$7:$C$36,$O29),INDEX('حضور رفائيل'!$C$7:$C$36,$O29),INDEX('حضور ميخائيل'!$C$7:$C$36,$O29)),""))</f>
        <v>0</v>
      </c>
      <c r="Q29" s="33">
        <f>IF($O29="","",IFERROR(CHOOSE(MATCH($F29,الإعدادات!$B$4:$B$7,0),INDEX('حضور سوريال'!$D$7:$D$36,$O29),INDEX('حضور غبريال'!$D$7:$D$36,$O29),INDEX('حضور رفائيل'!$D$7:$D$36,$O29),INDEX('حضور ميخائيل'!$D$7:$D$36,$O29)),""))</f>
        <v>0</v>
      </c>
      <c r="R29" s="34" t="str">
        <f>IF($O29="","",IFERROR(CHOOSE(MATCH($F29,الإعدادات!$B$4:$B$7,0),INDEX('حضور سوريال'!$F$7:$F$36,$O29),INDEX('حضور غبريال'!$F$7:$F$36,$O29),INDEX('حضور رفائيل'!$F$7:$F$36,$O29),INDEX('حضور ميخائيل'!$F$7:$F$36,$O29)),""))</f>
        <v/>
      </c>
      <c r="S29" s="33">
        <f>IF($O29="","",IFERROR(CHOOSE(MATCH($F29,الإعدادات!$B$4:$B$7,0),INDEX('حضور سوريال'!$G$7:$G$36,$O29),INDEX('حضور غبريال'!$G$7:$G$36,$O29),INDEX('حضور رفائيل'!$G$7:$G$36,$O29),INDEX('حضور ميخائيل'!$G$7:$G$36,$O29)),""))</f>
        <v>0</v>
      </c>
      <c r="T29" s="35" t="str">
        <f>IF($O29="","",IFERROR(CHOOSE(MATCH($F29,الإعدادات!$B$4:$B$7,0),INDEX('حضور سوريال'!$H$7:$H$36,$O29),INDEX('حضور غبريال'!$H$7:$H$36,$O29),INDEX('حضور رفائيل'!$H$7:$H$36,$O29),INDEX('حضور ميخائيل'!$H$7:$H$36,$O29)),""))</f>
        <v>—</v>
      </c>
      <c r="U29" s="36" t="str">
        <f>IF($O29="","",IFERROR(CHOOSE(MATCH($F29,الإعدادات!$B$4:$B$7,0),INDEX('حضور سوريال'!$I$7:$I$36,$O29),INDEX('حضور غبريال'!$I$7:$I$36,$O29),INDEX('حضور رفائيل'!$I$7:$I$36,$O29),INDEX('حضور ميخائيل'!$I$7:$I$36,$O29)),""))</f>
        <v>⏳ لسه مفيش حضور</v>
      </c>
      <c r="V29">
        <f>IF($O29="","",IFERROR(CHOOSE(MATCH($F29,الإعدادات!$B$4:$B$7,0),INDEX('حضور سوريال'!$BM$7:$BM$36,$O29),INDEX('حضور غبريال'!$BM$7:$BM$36,$O29),INDEX('حضور رفائيل'!$BM$7:$BM$36,$O29),INDEX('حضور ميخائيل'!$BM$7:$BM$36,$O29)),""))</f>
        <v>0</v>
      </c>
      <c r="W29" t="str">
        <f>IF(OR(V29=3,V29=4),COUNTIFS(V$6:V29,3)+COUNTIFS(V$6:V29,4),"")</f>
        <v/>
      </c>
    </row>
    <row r="30" spans="1:23" ht="25.5" customHeight="1">
      <c r="A30" s="26">
        <f t="shared" si="0"/>
        <v>25</v>
      </c>
      <c r="B30" s="27" t="str">
        <f t="shared" si="1"/>
        <v>B-025</v>
      </c>
      <c r="C30" s="28" t="s">
        <v>198</v>
      </c>
      <c r="D30" s="29" t="s">
        <v>47</v>
      </c>
      <c r="E30" s="29" t="s">
        <v>49</v>
      </c>
      <c r="F30" s="29" t="s">
        <v>45</v>
      </c>
      <c r="G30" s="29"/>
      <c r="H30" s="30" t="s">
        <v>236</v>
      </c>
      <c r="I30" s="30" t="s">
        <v>236</v>
      </c>
      <c r="J30" s="31" t="s">
        <v>259</v>
      </c>
      <c r="K30" s="29" t="e" vm="15">
        <v>#VALUE!</v>
      </c>
      <c r="L30" s="31"/>
      <c r="M30" s="29" t="s">
        <v>46</v>
      </c>
      <c r="N30" s="32" t="str">
        <f t="shared" si="2"/>
        <v>سوريال|1</v>
      </c>
      <c r="O30" s="32">
        <f>IF(OR(C30="",F30=""),"",COUNTIFS(F$6:F30,F30,C$6:C30,"&lt;&gt;"))</f>
        <v>1</v>
      </c>
      <c r="P30" s="33">
        <f>IF($O30="","",IFERROR(CHOOSE(MATCH($F30,الإعدادات!$B$4:$B$7,0),INDEX('حضور سوريال'!$C$7:$C$36,$O30),INDEX('حضور غبريال'!$C$7:$C$36,$O30),INDEX('حضور رفائيل'!$C$7:$C$36,$O30),INDEX('حضور ميخائيل'!$C$7:$C$36,$O30)),""))</f>
        <v>0</v>
      </c>
      <c r="Q30" s="33">
        <f>IF($O30="","",IFERROR(CHOOSE(MATCH($F30,الإعدادات!$B$4:$B$7,0),INDEX('حضور سوريال'!$D$7:$D$36,$O30),INDEX('حضور غبريال'!$D$7:$D$36,$O30),INDEX('حضور رفائيل'!$D$7:$D$36,$O30),INDEX('حضور ميخائيل'!$D$7:$D$36,$O30)),""))</f>
        <v>0</v>
      </c>
      <c r="R30" s="34" t="str">
        <f>IF($O30="","",IFERROR(CHOOSE(MATCH($F30,الإعدادات!$B$4:$B$7,0),INDEX('حضور سوريال'!$F$7:$F$36,$O30),INDEX('حضور غبريال'!$F$7:$F$36,$O30),INDEX('حضور رفائيل'!$F$7:$F$36,$O30),INDEX('حضور ميخائيل'!$F$7:$F$36,$O30)),""))</f>
        <v/>
      </c>
      <c r="S30" s="33">
        <f>IF($O30="","",IFERROR(CHOOSE(MATCH($F30,الإعدادات!$B$4:$B$7,0),INDEX('حضور سوريال'!$G$7:$G$36,$O30),INDEX('حضور غبريال'!$G$7:$G$36,$O30),INDEX('حضور رفائيل'!$G$7:$G$36,$O30),INDEX('حضور ميخائيل'!$G$7:$G$36,$O30)),""))</f>
        <v>0</v>
      </c>
      <c r="T30" s="35" t="str">
        <f>IF($O30="","",IFERROR(CHOOSE(MATCH($F30,الإعدادات!$B$4:$B$7,0),INDEX('حضور سوريال'!$H$7:$H$36,$O30),INDEX('حضور غبريال'!$H$7:$H$36,$O30),INDEX('حضور رفائيل'!$H$7:$H$36,$O30),INDEX('حضور ميخائيل'!$H$7:$H$36,$O30)),""))</f>
        <v>—</v>
      </c>
      <c r="U30" s="36" t="str">
        <f>IF($O30="","",IFERROR(CHOOSE(MATCH($F30,الإعدادات!$B$4:$B$7,0),INDEX('حضور سوريال'!$I$7:$I$36,$O30),INDEX('حضور غبريال'!$I$7:$I$36,$O30),INDEX('حضور رفائيل'!$I$7:$I$36,$O30),INDEX('حضور ميخائيل'!$I$7:$I$36,$O30)),""))</f>
        <v>⏳ لسه مفيش حضور</v>
      </c>
      <c r="V30">
        <f>IF($O30="","",IFERROR(CHOOSE(MATCH($F30,الإعدادات!$B$4:$B$7,0),INDEX('حضور سوريال'!$BM$7:$BM$36,$O30),INDEX('حضور غبريال'!$BM$7:$BM$36,$O30),INDEX('حضور رفائيل'!$BM$7:$BM$36,$O30),INDEX('حضور ميخائيل'!$BM$7:$BM$36,$O30)),""))</f>
        <v>0</v>
      </c>
      <c r="W30" t="str">
        <f>IF(OR(V30=3,V30=4),COUNTIFS(V$6:V30,3)+COUNTIFS(V$6:V30,4),"")</f>
        <v/>
      </c>
    </row>
    <row r="31" spans="1:23" ht="25.5" customHeight="1">
      <c r="A31" s="26">
        <f t="shared" si="0"/>
        <v>26</v>
      </c>
      <c r="B31" s="27" t="str">
        <f t="shared" si="1"/>
        <v>B-026</v>
      </c>
      <c r="C31" s="28" t="s">
        <v>199</v>
      </c>
      <c r="D31" s="29" t="s">
        <v>43</v>
      </c>
      <c r="E31" s="29" t="s">
        <v>49</v>
      </c>
      <c r="F31" s="29" t="s">
        <v>45</v>
      </c>
      <c r="G31" s="29"/>
      <c r="H31" s="30" t="s">
        <v>221</v>
      </c>
      <c r="I31" s="30" t="s">
        <v>221</v>
      </c>
      <c r="J31" s="31" t="s">
        <v>260</v>
      </c>
      <c r="K31" s="29"/>
      <c r="L31" s="31"/>
      <c r="M31" s="29" t="s">
        <v>46</v>
      </c>
      <c r="N31" s="32" t="str">
        <f t="shared" si="2"/>
        <v>سوريال|2</v>
      </c>
      <c r="O31" s="32">
        <f>IF(OR(C31="",F31=""),"",COUNTIFS(F$6:F31,F31,C$6:C31,"&lt;&gt;"))</f>
        <v>2</v>
      </c>
      <c r="P31" s="33">
        <f>IF($O31="","",IFERROR(CHOOSE(MATCH($F31,الإعدادات!$B$4:$B$7,0),INDEX('حضور سوريال'!$C$7:$C$36,$O31),INDEX('حضور غبريال'!$C$7:$C$36,$O31),INDEX('حضور رفائيل'!$C$7:$C$36,$O31),INDEX('حضور ميخائيل'!$C$7:$C$36,$O31)),""))</f>
        <v>0</v>
      </c>
      <c r="Q31" s="33">
        <f>IF($O31="","",IFERROR(CHOOSE(MATCH($F31,الإعدادات!$B$4:$B$7,0),INDEX('حضور سوريال'!$D$7:$D$36,$O31),INDEX('حضور غبريال'!$D$7:$D$36,$O31),INDEX('حضور رفائيل'!$D$7:$D$36,$O31),INDEX('حضور ميخائيل'!$D$7:$D$36,$O31)),""))</f>
        <v>0</v>
      </c>
      <c r="R31" s="34" t="str">
        <f>IF($O31="","",IFERROR(CHOOSE(MATCH($F31,الإعدادات!$B$4:$B$7,0),INDEX('حضور سوريال'!$F$7:$F$36,$O31),INDEX('حضور غبريال'!$F$7:$F$36,$O31),INDEX('حضور رفائيل'!$F$7:$F$36,$O31),INDEX('حضور ميخائيل'!$F$7:$F$36,$O31)),""))</f>
        <v/>
      </c>
      <c r="S31" s="33">
        <f>IF($O31="","",IFERROR(CHOOSE(MATCH($F31,الإعدادات!$B$4:$B$7,0),INDEX('حضور سوريال'!$G$7:$G$36,$O31),INDEX('حضور غبريال'!$G$7:$G$36,$O31),INDEX('حضور رفائيل'!$G$7:$G$36,$O31),INDEX('حضور ميخائيل'!$G$7:$G$36,$O31)),""))</f>
        <v>0</v>
      </c>
      <c r="T31" s="35" t="str">
        <f>IF($O31="","",IFERROR(CHOOSE(MATCH($F31,الإعدادات!$B$4:$B$7,0),INDEX('حضور سوريال'!$H$7:$H$36,$O31),INDEX('حضور غبريال'!$H$7:$H$36,$O31),INDEX('حضور رفائيل'!$H$7:$H$36,$O31),INDEX('حضور ميخائيل'!$H$7:$H$36,$O31)),""))</f>
        <v>—</v>
      </c>
      <c r="U31" s="36" t="str">
        <f>IF($O31="","",IFERROR(CHOOSE(MATCH($F31,الإعدادات!$B$4:$B$7,0),INDEX('حضور سوريال'!$I$7:$I$36,$O31),INDEX('حضور غبريال'!$I$7:$I$36,$O31),INDEX('حضور رفائيل'!$I$7:$I$36,$O31),INDEX('حضور ميخائيل'!$I$7:$I$36,$O31)),""))</f>
        <v>⏳ لسه مفيش حضور</v>
      </c>
      <c r="V31">
        <f>IF($O31="","",IFERROR(CHOOSE(MATCH($F31,الإعدادات!$B$4:$B$7,0),INDEX('حضور سوريال'!$BM$7:$BM$36,$O31),INDEX('حضور غبريال'!$BM$7:$BM$36,$O31),INDEX('حضور رفائيل'!$BM$7:$BM$36,$O31),INDEX('حضور ميخائيل'!$BM$7:$BM$36,$O31)),""))</f>
        <v>0</v>
      </c>
      <c r="W31" t="str">
        <f>IF(OR(V31=3,V31=4),COUNTIFS(V$6:V31,3)+COUNTIFS(V$6:V31,4),"")</f>
        <v/>
      </c>
    </row>
    <row r="32" spans="1:23" ht="25.5" customHeight="1">
      <c r="A32" s="26">
        <f t="shared" si="0"/>
        <v>27</v>
      </c>
      <c r="B32" s="27" t="str">
        <f t="shared" si="1"/>
        <v>B-027</v>
      </c>
      <c r="C32" s="28" t="s">
        <v>200</v>
      </c>
      <c r="D32" s="29" t="s">
        <v>47</v>
      </c>
      <c r="E32" s="29" t="s">
        <v>49</v>
      </c>
      <c r="F32" s="29" t="s">
        <v>45</v>
      </c>
      <c r="G32" s="29"/>
      <c r="H32" s="30" t="s">
        <v>222</v>
      </c>
      <c r="I32" s="30" t="s">
        <v>222</v>
      </c>
      <c r="J32" s="31" t="s">
        <v>261</v>
      </c>
      <c r="K32" s="29" t="e" vm="16">
        <v>#VALUE!</v>
      </c>
      <c r="L32" s="31"/>
      <c r="M32" s="29" t="s">
        <v>46</v>
      </c>
      <c r="N32" s="32" t="str">
        <f t="shared" si="2"/>
        <v>سوريال|3</v>
      </c>
      <c r="O32" s="32">
        <f>IF(OR(C32="",F32=""),"",COUNTIFS(F$6:F32,F32,C$6:C32,"&lt;&gt;"))</f>
        <v>3</v>
      </c>
      <c r="P32" s="33">
        <f>IF($O32="","",IFERROR(CHOOSE(MATCH($F32,الإعدادات!$B$4:$B$7,0),INDEX('حضور سوريال'!$C$7:$C$36,$O32),INDEX('حضور غبريال'!$C$7:$C$36,$O32),INDEX('حضور رفائيل'!$C$7:$C$36,$O32),INDEX('حضور ميخائيل'!$C$7:$C$36,$O32)),""))</f>
        <v>0</v>
      </c>
      <c r="Q32" s="33">
        <f>IF($O32="","",IFERROR(CHOOSE(MATCH($F32,الإعدادات!$B$4:$B$7,0),INDEX('حضور سوريال'!$D$7:$D$36,$O32),INDEX('حضور غبريال'!$D$7:$D$36,$O32),INDEX('حضور رفائيل'!$D$7:$D$36,$O32),INDEX('حضور ميخائيل'!$D$7:$D$36,$O32)),""))</f>
        <v>0</v>
      </c>
      <c r="R32" s="34" t="str">
        <f>IF($O32="","",IFERROR(CHOOSE(MATCH($F32,الإعدادات!$B$4:$B$7,0),INDEX('حضور سوريال'!$F$7:$F$36,$O32),INDEX('حضور غبريال'!$F$7:$F$36,$O32),INDEX('حضور رفائيل'!$F$7:$F$36,$O32),INDEX('حضور ميخائيل'!$F$7:$F$36,$O32)),""))</f>
        <v/>
      </c>
      <c r="S32" s="33">
        <f>IF($O32="","",IFERROR(CHOOSE(MATCH($F32,الإعدادات!$B$4:$B$7,0),INDEX('حضور سوريال'!$G$7:$G$36,$O32),INDEX('حضور غبريال'!$G$7:$G$36,$O32),INDEX('حضور رفائيل'!$G$7:$G$36,$O32),INDEX('حضور ميخائيل'!$G$7:$G$36,$O32)),""))</f>
        <v>0</v>
      </c>
      <c r="T32" s="35" t="str">
        <f>IF($O32="","",IFERROR(CHOOSE(MATCH($F32,الإعدادات!$B$4:$B$7,0),INDEX('حضور سوريال'!$H$7:$H$36,$O32),INDEX('حضور غبريال'!$H$7:$H$36,$O32),INDEX('حضور رفائيل'!$H$7:$H$36,$O32),INDEX('حضور ميخائيل'!$H$7:$H$36,$O32)),""))</f>
        <v>—</v>
      </c>
      <c r="U32" s="36" t="str">
        <f>IF($O32="","",IFERROR(CHOOSE(MATCH($F32,الإعدادات!$B$4:$B$7,0),INDEX('حضور سوريال'!$I$7:$I$36,$O32),INDEX('حضور غبريال'!$I$7:$I$36,$O32),INDEX('حضور رفائيل'!$I$7:$I$36,$O32),INDEX('حضور ميخائيل'!$I$7:$I$36,$O32)),""))</f>
        <v>⏳ لسه مفيش حضور</v>
      </c>
      <c r="V32">
        <f>IF($O32="","",IFERROR(CHOOSE(MATCH($F32,الإعدادات!$B$4:$B$7,0),INDEX('حضور سوريال'!$BM$7:$BM$36,$O32),INDEX('حضور غبريال'!$BM$7:$BM$36,$O32),INDEX('حضور رفائيل'!$BM$7:$BM$36,$O32),INDEX('حضور ميخائيل'!$BM$7:$BM$36,$O32)),""))</f>
        <v>0</v>
      </c>
      <c r="W32" t="str">
        <f>IF(OR(V32=3,V32=4),COUNTIFS(V$6:V32,3)+COUNTIFS(V$6:V32,4),"")</f>
        <v/>
      </c>
    </row>
    <row r="33" spans="1:23" ht="25.5" customHeight="1">
      <c r="A33" s="26">
        <f t="shared" si="0"/>
        <v>28</v>
      </c>
      <c r="B33" s="27" t="str">
        <f t="shared" si="1"/>
        <v>B-028</v>
      </c>
      <c r="C33" s="28" t="s">
        <v>201</v>
      </c>
      <c r="D33" s="29" t="s">
        <v>47</v>
      </c>
      <c r="E33" s="29" t="s">
        <v>49</v>
      </c>
      <c r="F33" s="29" t="s">
        <v>45</v>
      </c>
      <c r="G33" s="29"/>
      <c r="H33" s="30" t="s">
        <v>223</v>
      </c>
      <c r="I33" s="30" t="s">
        <v>245</v>
      </c>
      <c r="J33" s="31" t="s">
        <v>262</v>
      </c>
      <c r="K33" s="29" t="e" vm="17">
        <v>#VALUE!</v>
      </c>
      <c r="L33" s="31"/>
      <c r="M33" s="29" t="s">
        <v>46</v>
      </c>
      <c r="N33" s="32" t="str">
        <f t="shared" si="2"/>
        <v>سوريال|4</v>
      </c>
      <c r="O33" s="32">
        <f>IF(OR(C33="",F33=""),"",COUNTIFS(F$6:F33,F33,C$6:C33,"&lt;&gt;"))</f>
        <v>4</v>
      </c>
      <c r="P33" s="33">
        <f>IF($O33="","",IFERROR(CHOOSE(MATCH($F33,الإعدادات!$B$4:$B$7,0),INDEX('حضور سوريال'!$C$7:$C$36,$O33),INDEX('حضور غبريال'!$C$7:$C$36,$O33),INDEX('حضور رفائيل'!$C$7:$C$36,$O33),INDEX('حضور ميخائيل'!$C$7:$C$36,$O33)),""))</f>
        <v>0</v>
      </c>
      <c r="Q33" s="33">
        <f>IF($O33="","",IFERROR(CHOOSE(MATCH($F33,الإعدادات!$B$4:$B$7,0),INDEX('حضور سوريال'!$D$7:$D$36,$O33),INDEX('حضور غبريال'!$D$7:$D$36,$O33),INDEX('حضور رفائيل'!$D$7:$D$36,$O33),INDEX('حضور ميخائيل'!$D$7:$D$36,$O33)),""))</f>
        <v>0</v>
      </c>
      <c r="R33" s="34" t="str">
        <f>IF($O33="","",IFERROR(CHOOSE(MATCH($F33,الإعدادات!$B$4:$B$7,0),INDEX('حضور سوريال'!$F$7:$F$36,$O33),INDEX('حضور غبريال'!$F$7:$F$36,$O33),INDEX('حضور رفائيل'!$F$7:$F$36,$O33),INDEX('حضور ميخائيل'!$F$7:$F$36,$O33)),""))</f>
        <v/>
      </c>
      <c r="S33" s="33">
        <f>IF($O33="","",IFERROR(CHOOSE(MATCH($F33,الإعدادات!$B$4:$B$7,0),INDEX('حضور سوريال'!$G$7:$G$36,$O33),INDEX('حضور غبريال'!$G$7:$G$36,$O33),INDEX('حضور رفائيل'!$G$7:$G$36,$O33),INDEX('حضور ميخائيل'!$G$7:$G$36,$O33)),""))</f>
        <v>0</v>
      </c>
      <c r="T33" s="35" t="str">
        <f>IF($O33="","",IFERROR(CHOOSE(MATCH($F33,الإعدادات!$B$4:$B$7,0),INDEX('حضور سوريال'!$H$7:$H$36,$O33),INDEX('حضور غبريال'!$H$7:$H$36,$O33),INDEX('حضور رفائيل'!$H$7:$H$36,$O33),INDEX('حضور ميخائيل'!$H$7:$H$36,$O33)),""))</f>
        <v>—</v>
      </c>
      <c r="U33" s="36" t="str">
        <f>IF($O33="","",IFERROR(CHOOSE(MATCH($F33,الإعدادات!$B$4:$B$7,0),INDEX('حضور سوريال'!$I$7:$I$36,$O33),INDEX('حضور غبريال'!$I$7:$I$36,$O33),INDEX('حضور رفائيل'!$I$7:$I$36,$O33),INDEX('حضور ميخائيل'!$I$7:$I$36,$O33)),""))</f>
        <v>⏳ لسه مفيش حضور</v>
      </c>
      <c r="V33">
        <f>IF($O33="","",IFERROR(CHOOSE(MATCH($F33,الإعدادات!$B$4:$B$7,0),INDEX('حضور سوريال'!$BM$7:$BM$36,$O33),INDEX('حضور غبريال'!$BM$7:$BM$36,$O33),INDEX('حضور رفائيل'!$BM$7:$BM$36,$O33),INDEX('حضور ميخائيل'!$BM$7:$BM$36,$O33)),""))</f>
        <v>0</v>
      </c>
      <c r="W33" t="str">
        <f>IF(OR(V33=3,V33=4),COUNTIFS(V$6:V33,3)+COUNTIFS(V$6:V33,4),"")</f>
        <v/>
      </c>
    </row>
    <row r="34" spans="1:23" ht="25.5" customHeight="1">
      <c r="A34" s="26">
        <f t="shared" si="0"/>
        <v>29</v>
      </c>
      <c r="B34" s="27" t="str">
        <f t="shared" si="1"/>
        <v>B-029</v>
      </c>
      <c r="C34" s="28" t="s">
        <v>202</v>
      </c>
      <c r="D34" s="29" t="s">
        <v>43</v>
      </c>
      <c r="E34" s="29" t="s">
        <v>49</v>
      </c>
      <c r="F34" s="29" t="s">
        <v>45</v>
      </c>
      <c r="G34" s="29"/>
      <c r="H34" s="30" t="s">
        <v>224</v>
      </c>
      <c r="I34" s="30"/>
      <c r="J34" s="31" t="s">
        <v>263</v>
      </c>
      <c r="K34" s="29"/>
      <c r="L34" s="31"/>
      <c r="M34" s="29" t="s">
        <v>46</v>
      </c>
      <c r="N34" s="32" t="str">
        <f t="shared" si="2"/>
        <v>سوريال|5</v>
      </c>
      <c r="O34" s="32">
        <f>IF(OR(C34="",F34=""),"",COUNTIFS(F$6:F34,F34,C$6:C34,"&lt;&gt;"))</f>
        <v>5</v>
      </c>
      <c r="P34" s="33">
        <f>IF($O34="","",IFERROR(CHOOSE(MATCH($F34,الإعدادات!$B$4:$B$7,0),INDEX('حضور سوريال'!$C$7:$C$36,$O34),INDEX('حضور غبريال'!$C$7:$C$36,$O34),INDEX('حضور رفائيل'!$C$7:$C$36,$O34),INDEX('حضور ميخائيل'!$C$7:$C$36,$O34)),""))</f>
        <v>0</v>
      </c>
      <c r="Q34" s="33">
        <f>IF($O34="","",IFERROR(CHOOSE(MATCH($F34,الإعدادات!$B$4:$B$7,0),INDEX('حضور سوريال'!$D$7:$D$36,$O34),INDEX('حضور غبريال'!$D$7:$D$36,$O34),INDEX('حضور رفائيل'!$D$7:$D$36,$O34),INDEX('حضور ميخائيل'!$D$7:$D$36,$O34)),""))</f>
        <v>0</v>
      </c>
      <c r="R34" s="34" t="str">
        <f>IF($O34="","",IFERROR(CHOOSE(MATCH($F34,الإعدادات!$B$4:$B$7,0),INDEX('حضور سوريال'!$F$7:$F$36,$O34),INDEX('حضور غبريال'!$F$7:$F$36,$O34),INDEX('حضور رفائيل'!$F$7:$F$36,$O34),INDEX('حضور ميخائيل'!$F$7:$F$36,$O34)),""))</f>
        <v/>
      </c>
      <c r="S34" s="33">
        <f>IF($O34="","",IFERROR(CHOOSE(MATCH($F34,الإعدادات!$B$4:$B$7,0),INDEX('حضور سوريال'!$G$7:$G$36,$O34),INDEX('حضور غبريال'!$G$7:$G$36,$O34),INDEX('حضور رفائيل'!$G$7:$G$36,$O34),INDEX('حضور ميخائيل'!$G$7:$G$36,$O34)),""))</f>
        <v>0</v>
      </c>
      <c r="T34" s="35" t="str">
        <f>IF($O34="","",IFERROR(CHOOSE(MATCH($F34,الإعدادات!$B$4:$B$7,0),INDEX('حضور سوريال'!$H$7:$H$36,$O34),INDEX('حضور غبريال'!$H$7:$H$36,$O34),INDEX('حضور رفائيل'!$H$7:$H$36,$O34),INDEX('حضور ميخائيل'!$H$7:$H$36,$O34)),""))</f>
        <v>—</v>
      </c>
      <c r="U34" s="36" t="str">
        <f>IF($O34="","",IFERROR(CHOOSE(MATCH($F34,الإعدادات!$B$4:$B$7,0),INDEX('حضور سوريال'!$I$7:$I$36,$O34),INDEX('حضور غبريال'!$I$7:$I$36,$O34),INDEX('حضور رفائيل'!$I$7:$I$36,$O34),INDEX('حضور ميخائيل'!$I$7:$I$36,$O34)),""))</f>
        <v>⏳ لسه مفيش حضور</v>
      </c>
      <c r="V34">
        <f>IF($O34="","",IFERROR(CHOOSE(MATCH($F34,الإعدادات!$B$4:$B$7,0),INDEX('حضور سوريال'!$BM$7:$BM$36,$O34),INDEX('حضور غبريال'!$BM$7:$BM$36,$O34),INDEX('حضور رفائيل'!$BM$7:$BM$36,$O34),INDEX('حضور ميخائيل'!$BM$7:$BM$36,$O34)),""))</f>
        <v>0</v>
      </c>
      <c r="W34" t="str">
        <f>IF(OR(V34=3,V34=4),COUNTIFS(V$6:V34,3)+COUNTIFS(V$6:V34,4),"")</f>
        <v/>
      </c>
    </row>
    <row r="35" spans="1:23" ht="25.5" customHeight="1">
      <c r="A35" s="26">
        <f t="shared" si="0"/>
        <v>30</v>
      </c>
      <c r="B35" s="27" t="str">
        <f t="shared" si="1"/>
        <v>B-030</v>
      </c>
      <c r="C35" s="28" t="s">
        <v>203</v>
      </c>
      <c r="D35" s="29" t="s">
        <v>43</v>
      </c>
      <c r="E35" s="29" t="s">
        <v>49</v>
      </c>
      <c r="F35" s="29" t="s">
        <v>45</v>
      </c>
      <c r="G35" s="29"/>
      <c r="H35" s="30" t="s">
        <v>237</v>
      </c>
      <c r="I35" s="30" t="s">
        <v>246</v>
      </c>
      <c r="J35" s="31" t="s">
        <v>264</v>
      </c>
      <c r="K35" s="29" t="e" vm="18">
        <v>#VALUE!</v>
      </c>
      <c r="L35" s="31"/>
      <c r="M35" s="29" t="s">
        <v>46</v>
      </c>
      <c r="N35" s="32" t="str">
        <f t="shared" si="2"/>
        <v>سوريال|6</v>
      </c>
      <c r="O35" s="32">
        <f>IF(OR(C35="",F35=""),"",COUNTIFS(F$6:F35,F35,C$6:C35,"&lt;&gt;"))</f>
        <v>6</v>
      </c>
      <c r="P35" s="33">
        <f>IF($O35="","",IFERROR(CHOOSE(MATCH($F35,الإعدادات!$B$4:$B$7,0),INDEX('حضور سوريال'!$C$7:$C$36,$O35),INDEX('حضور غبريال'!$C$7:$C$36,$O35),INDEX('حضور رفائيل'!$C$7:$C$36,$O35),INDEX('حضور ميخائيل'!$C$7:$C$36,$O35)),""))</f>
        <v>0</v>
      </c>
      <c r="Q35" s="33">
        <f>IF($O35="","",IFERROR(CHOOSE(MATCH($F35,الإعدادات!$B$4:$B$7,0),INDEX('حضور سوريال'!$D$7:$D$36,$O35),INDEX('حضور غبريال'!$D$7:$D$36,$O35),INDEX('حضور رفائيل'!$D$7:$D$36,$O35),INDEX('حضور ميخائيل'!$D$7:$D$36,$O35)),""))</f>
        <v>0</v>
      </c>
      <c r="R35" s="34" t="str">
        <f>IF($O35="","",IFERROR(CHOOSE(MATCH($F35,الإعدادات!$B$4:$B$7,0),INDEX('حضور سوريال'!$F$7:$F$36,$O35),INDEX('حضور غبريال'!$F$7:$F$36,$O35),INDEX('حضور رفائيل'!$F$7:$F$36,$O35),INDEX('حضور ميخائيل'!$F$7:$F$36,$O35)),""))</f>
        <v/>
      </c>
      <c r="S35" s="33">
        <f>IF($O35="","",IFERROR(CHOOSE(MATCH($F35,الإعدادات!$B$4:$B$7,0),INDEX('حضور سوريال'!$G$7:$G$36,$O35),INDEX('حضور غبريال'!$G$7:$G$36,$O35),INDEX('حضور رفائيل'!$G$7:$G$36,$O35),INDEX('حضور ميخائيل'!$G$7:$G$36,$O35)),""))</f>
        <v>0</v>
      </c>
      <c r="T35" s="35" t="str">
        <f>IF($O35="","",IFERROR(CHOOSE(MATCH($F35,الإعدادات!$B$4:$B$7,0),INDEX('حضور سوريال'!$H$7:$H$36,$O35),INDEX('حضور غبريال'!$H$7:$H$36,$O35),INDEX('حضور رفائيل'!$H$7:$H$36,$O35),INDEX('حضور ميخائيل'!$H$7:$H$36,$O35)),""))</f>
        <v>—</v>
      </c>
      <c r="U35" s="36" t="str">
        <f>IF($O35="","",IFERROR(CHOOSE(MATCH($F35,الإعدادات!$B$4:$B$7,0),INDEX('حضور سوريال'!$I$7:$I$36,$O35),INDEX('حضور غبريال'!$I$7:$I$36,$O35),INDEX('حضور رفائيل'!$I$7:$I$36,$O35),INDEX('حضور ميخائيل'!$I$7:$I$36,$O35)),""))</f>
        <v>⏳ لسه مفيش حضور</v>
      </c>
      <c r="V35">
        <f>IF($O35="","",IFERROR(CHOOSE(MATCH($F35,الإعدادات!$B$4:$B$7,0),INDEX('حضور سوريال'!$BM$7:$BM$36,$O35),INDEX('حضور غبريال'!$BM$7:$BM$36,$O35),INDEX('حضور رفائيل'!$BM$7:$BM$36,$O35),INDEX('حضور ميخائيل'!$BM$7:$BM$36,$O35)),""))</f>
        <v>0</v>
      </c>
      <c r="W35" t="str">
        <f>IF(OR(V35=3,V35=4),COUNTIFS(V$6:V35,3)+COUNTIFS(V$6:V35,4),"")</f>
        <v/>
      </c>
    </row>
    <row r="36" spans="1:23" ht="25.5" customHeight="1">
      <c r="A36" s="26">
        <f t="shared" si="0"/>
        <v>31</v>
      </c>
      <c r="B36" s="27" t="str">
        <f t="shared" si="1"/>
        <v>B-031</v>
      </c>
      <c r="C36" s="161" t="s">
        <v>281</v>
      </c>
      <c r="D36" s="29" t="s">
        <v>47</v>
      </c>
      <c r="E36" s="29" t="s">
        <v>49</v>
      </c>
      <c r="F36" s="29" t="s">
        <v>45</v>
      </c>
      <c r="G36" s="29"/>
      <c r="H36" s="30" t="s">
        <v>225</v>
      </c>
      <c r="I36" s="30" t="s">
        <v>247</v>
      </c>
      <c r="J36" s="31" t="s">
        <v>265</v>
      </c>
      <c r="K36" s="29"/>
      <c r="L36" s="31"/>
      <c r="M36" s="29" t="s">
        <v>46</v>
      </c>
      <c r="N36" s="32" t="str">
        <f t="shared" si="2"/>
        <v>سوريال|7</v>
      </c>
      <c r="O36" s="32">
        <f>IF(OR(C36="",F36=""),"",COUNTIFS(F$6:F36,F36,C$6:C36,"&lt;&gt;"))</f>
        <v>7</v>
      </c>
      <c r="P36" s="33">
        <f>IF($O36="","",IFERROR(CHOOSE(MATCH($F36,الإعدادات!$B$4:$B$7,0),INDEX('حضور سوريال'!$C$7:$C$36,$O36),INDEX('حضور غبريال'!$C$7:$C$36,$O36),INDEX('حضور رفائيل'!$C$7:$C$36,$O36),INDEX('حضور ميخائيل'!$C$7:$C$36,$O36)),""))</f>
        <v>0</v>
      </c>
      <c r="Q36" s="33">
        <f>IF($O36="","",IFERROR(CHOOSE(MATCH($F36,الإعدادات!$B$4:$B$7,0),INDEX('حضور سوريال'!$D$7:$D$36,$O36),INDEX('حضور غبريال'!$D$7:$D$36,$O36),INDEX('حضور رفائيل'!$D$7:$D$36,$O36),INDEX('حضور ميخائيل'!$D$7:$D$36,$O36)),""))</f>
        <v>0</v>
      </c>
      <c r="R36" s="34" t="str">
        <f>IF($O36="","",IFERROR(CHOOSE(MATCH($F36,الإعدادات!$B$4:$B$7,0),INDEX('حضور سوريال'!$F$7:$F$36,$O36),INDEX('حضور غبريال'!$F$7:$F$36,$O36),INDEX('حضور رفائيل'!$F$7:$F$36,$O36),INDEX('حضور ميخائيل'!$F$7:$F$36,$O36)),""))</f>
        <v/>
      </c>
      <c r="S36" s="33">
        <f>IF($O36="","",IFERROR(CHOOSE(MATCH($F36,الإعدادات!$B$4:$B$7,0),INDEX('حضور سوريال'!$G$7:$G$36,$O36),INDEX('حضور غبريال'!$G$7:$G$36,$O36),INDEX('حضور رفائيل'!$G$7:$G$36,$O36),INDEX('حضور ميخائيل'!$G$7:$G$36,$O36)),""))</f>
        <v>0</v>
      </c>
      <c r="T36" s="35" t="str">
        <f>IF($O36="","",IFERROR(CHOOSE(MATCH($F36,الإعدادات!$B$4:$B$7,0),INDEX('حضور سوريال'!$H$7:$H$36,$O36),INDEX('حضور غبريال'!$H$7:$H$36,$O36),INDEX('حضور رفائيل'!$H$7:$H$36,$O36),INDEX('حضور ميخائيل'!$H$7:$H$36,$O36)),""))</f>
        <v>—</v>
      </c>
      <c r="U36" s="36" t="str">
        <f>IF($O36="","",IFERROR(CHOOSE(MATCH($F36,الإعدادات!$B$4:$B$7,0),INDEX('حضور سوريال'!$I$7:$I$36,$O36),INDEX('حضور غبريال'!$I$7:$I$36,$O36),INDEX('حضور رفائيل'!$I$7:$I$36,$O36),INDEX('حضور ميخائيل'!$I$7:$I$36,$O36)),""))</f>
        <v>⏳ لسه مفيش حضور</v>
      </c>
      <c r="V36">
        <f>IF($O36="","",IFERROR(CHOOSE(MATCH($F36,الإعدادات!$B$4:$B$7,0),INDEX('حضور سوريال'!$BM$7:$BM$36,$O36),INDEX('حضور غبريال'!$BM$7:$BM$36,$O36),INDEX('حضور رفائيل'!$BM$7:$BM$36,$O36),INDEX('حضور ميخائيل'!$BM$7:$BM$36,$O36)),""))</f>
        <v>0</v>
      </c>
      <c r="W36" t="str">
        <f>IF(OR(V36=3,V36=4),COUNTIFS(V$6:V36,3)+COUNTIFS(V$6:V36,4),"")</f>
        <v/>
      </c>
    </row>
    <row r="37" spans="1:23" ht="25.5" customHeight="1">
      <c r="A37" s="26">
        <f t="shared" si="0"/>
        <v>32</v>
      </c>
      <c r="B37" s="27" t="str">
        <f t="shared" si="1"/>
        <v>B-032</v>
      </c>
      <c r="C37" s="28" t="s">
        <v>204</v>
      </c>
      <c r="D37" s="29" t="s">
        <v>43</v>
      </c>
      <c r="E37" s="29" t="s">
        <v>49</v>
      </c>
      <c r="F37" s="29" t="s">
        <v>45</v>
      </c>
      <c r="G37" s="29"/>
      <c r="H37" s="30" t="s">
        <v>238</v>
      </c>
      <c r="I37" s="30" t="s">
        <v>248</v>
      </c>
      <c r="J37" s="31" t="s">
        <v>266</v>
      </c>
      <c r="K37" s="29" t="e" vm="19">
        <v>#VALUE!</v>
      </c>
      <c r="L37" s="31"/>
      <c r="M37" s="29" t="s">
        <v>46</v>
      </c>
      <c r="N37" s="32" t="str">
        <f t="shared" si="2"/>
        <v>سوريال|8</v>
      </c>
      <c r="O37" s="32">
        <f>IF(OR(C37="",F37=""),"",COUNTIFS(F$6:F37,F37,C$6:C37,"&lt;&gt;"))</f>
        <v>8</v>
      </c>
      <c r="P37" s="33">
        <f>IF($O37="","",IFERROR(CHOOSE(MATCH($F37,الإعدادات!$B$4:$B$7,0),INDEX('حضور سوريال'!$C$7:$C$36,$O37),INDEX('حضور غبريال'!$C$7:$C$36,$O37),INDEX('حضور رفائيل'!$C$7:$C$36,$O37),INDEX('حضور ميخائيل'!$C$7:$C$36,$O37)),""))</f>
        <v>0</v>
      </c>
      <c r="Q37" s="33">
        <f>IF($O37="","",IFERROR(CHOOSE(MATCH($F37,الإعدادات!$B$4:$B$7,0),INDEX('حضور سوريال'!$D$7:$D$36,$O37),INDEX('حضور غبريال'!$D$7:$D$36,$O37),INDEX('حضور رفائيل'!$D$7:$D$36,$O37),INDEX('حضور ميخائيل'!$D$7:$D$36,$O37)),""))</f>
        <v>0</v>
      </c>
      <c r="R37" s="34" t="str">
        <f>IF($O37="","",IFERROR(CHOOSE(MATCH($F37,الإعدادات!$B$4:$B$7,0),INDEX('حضور سوريال'!$F$7:$F$36,$O37),INDEX('حضور غبريال'!$F$7:$F$36,$O37),INDEX('حضور رفائيل'!$F$7:$F$36,$O37),INDEX('حضور ميخائيل'!$F$7:$F$36,$O37)),""))</f>
        <v/>
      </c>
      <c r="S37" s="33">
        <f>IF($O37="","",IFERROR(CHOOSE(MATCH($F37,الإعدادات!$B$4:$B$7,0),INDEX('حضور سوريال'!$G$7:$G$36,$O37),INDEX('حضور غبريال'!$G$7:$G$36,$O37),INDEX('حضور رفائيل'!$G$7:$G$36,$O37),INDEX('حضور ميخائيل'!$G$7:$G$36,$O37)),""))</f>
        <v>0</v>
      </c>
      <c r="T37" s="35" t="str">
        <f>IF($O37="","",IFERROR(CHOOSE(MATCH($F37,الإعدادات!$B$4:$B$7,0),INDEX('حضور سوريال'!$H$7:$H$36,$O37),INDEX('حضور غبريال'!$H$7:$H$36,$O37),INDEX('حضور رفائيل'!$H$7:$H$36,$O37),INDEX('حضور ميخائيل'!$H$7:$H$36,$O37)),""))</f>
        <v>—</v>
      </c>
      <c r="U37" s="36" t="str">
        <f>IF($O37="","",IFERROR(CHOOSE(MATCH($F37,الإعدادات!$B$4:$B$7,0),INDEX('حضور سوريال'!$I$7:$I$36,$O37),INDEX('حضور غبريال'!$I$7:$I$36,$O37),INDEX('حضور رفائيل'!$I$7:$I$36,$O37),INDEX('حضور ميخائيل'!$I$7:$I$36,$O37)),""))</f>
        <v>⏳ لسه مفيش حضور</v>
      </c>
      <c r="V37">
        <f>IF($O37="","",IFERROR(CHOOSE(MATCH($F37,الإعدادات!$B$4:$B$7,0),INDEX('حضور سوريال'!$BM$7:$BM$36,$O37),INDEX('حضور غبريال'!$BM$7:$BM$36,$O37),INDEX('حضور رفائيل'!$BM$7:$BM$36,$O37),INDEX('حضور ميخائيل'!$BM$7:$BM$36,$O37)),""))</f>
        <v>0</v>
      </c>
      <c r="W37" t="str">
        <f>IF(OR(V37=3,V37=4),COUNTIFS(V$6:V37,3)+COUNTIFS(V$6:V37,4),"")</f>
        <v/>
      </c>
    </row>
    <row r="38" spans="1:23" ht="25.5" customHeight="1">
      <c r="A38" s="26">
        <f t="shared" si="0"/>
        <v>33</v>
      </c>
      <c r="B38" s="27" t="str">
        <f t="shared" si="1"/>
        <v>B-033</v>
      </c>
      <c r="C38" s="28" t="s">
        <v>205</v>
      </c>
      <c r="D38" s="29" t="s">
        <v>47</v>
      </c>
      <c r="E38" s="29" t="s">
        <v>49</v>
      </c>
      <c r="F38" s="29" t="s">
        <v>45</v>
      </c>
      <c r="G38" s="29"/>
      <c r="H38" s="30" t="s">
        <v>226</v>
      </c>
      <c r="I38" s="30"/>
      <c r="J38" s="31" t="s">
        <v>263</v>
      </c>
      <c r="K38" s="29" t="e" vm="20">
        <v>#VALUE!</v>
      </c>
      <c r="L38" s="31"/>
      <c r="M38" s="29" t="s">
        <v>46</v>
      </c>
      <c r="N38" s="32" t="str">
        <f t="shared" si="2"/>
        <v>سوريال|9</v>
      </c>
      <c r="O38" s="32">
        <f>IF(OR(C38="",F38=""),"",COUNTIFS(F$6:F38,F38,C$6:C38,"&lt;&gt;"))</f>
        <v>9</v>
      </c>
      <c r="P38" s="33">
        <f>IF($O38="","",IFERROR(CHOOSE(MATCH($F38,الإعدادات!$B$4:$B$7,0),INDEX('حضور سوريال'!$C$7:$C$36,$O38),INDEX('حضور غبريال'!$C$7:$C$36,$O38),INDEX('حضور رفائيل'!$C$7:$C$36,$O38),INDEX('حضور ميخائيل'!$C$7:$C$36,$O38)),""))</f>
        <v>0</v>
      </c>
      <c r="Q38" s="33">
        <f>IF($O38="","",IFERROR(CHOOSE(MATCH($F38,الإعدادات!$B$4:$B$7,0),INDEX('حضور سوريال'!$D$7:$D$36,$O38),INDEX('حضور غبريال'!$D$7:$D$36,$O38),INDEX('حضور رفائيل'!$D$7:$D$36,$O38),INDEX('حضور ميخائيل'!$D$7:$D$36,$O38)),""))</f>
        <v>0</v>
      </c>
      <c r="R38" s="34" t="str">
        <f>IF($O38="","",IFERROR(CHOOSE(MATCH($F38,الإعدادات!$B$4:$B$7,0),INDEX('حضور سوريال'!$F$7:$F$36,$O38),INDEX('حضور غبريال'!$F$7:$F$36,$O38),INDEX('حضور رفائيل'!$F$7:$F$36,$O38),INDEX('حضور ميخائيل'!$F$7:$F$36,$O38)),""))</f>
        <v/>
      </c>
      <c r="S38" s="33">
        <f>IF($O38="","",IFERROR(CHOOSE(MATCH($F38,الإعدادات!$B$4:$B$7,0),INDEX('حضور سوريال'!$G$7:$G$36,$O38),INDEX('حضور غبريال'!$G$7:$G$36,$O38),INDEX('حضور رفائيل'!$G$7:$G$36,$O38),INDEX('حضور ميخائيل'!$G$7:$G$36,$O38)),""))</f>
        <v>0</v>
      </c>
      <c r="T38" s="35" t="str">
        <f>IF($O38="","",IFERROR(CHOOSE(MATCH($F38,الإعدادات!$B$4:$B$7,0),INDEX('حضور سوريال'!$H$7:$H$36,$O38),INDEX('حضور غبريال'!$H$7:$H$36,$O38),INDEX('حضور رفائيل'!$H$7:$H$36,$O38),INDEX('حضور ميخائيل'!$H$7:$H$36,$O38)),""))</f>
        <v>—</v>
      </c>
      <c r="U38" s="36" t="str">
        <f>IF($O38="","",IFERROR(CHOOSE(MATCH($F38,الإعدادات!$B$4:$B$7,0),INDEX('حضور سوريال'!$I$7:$I$36,$O38),INDEX('حضور غبريال'!$I$7:$I$36,$O38),INDEX('حضور رفائيل'!$I$7:$I$36,$O38),INDEX('حضور ميخائيل'!$I$7:$I$36,$O38)),""))</f>
        <v>⏳ لسه مفيش حضور</v>
      </c>
      <c r="V38">
        <f>IF($O38="","",IFERROR(CHOOSE(MATCH($F38,الإعدادات!$B$4:$B$7,0),INDEX('حضور سوريال'!$BM$7:$BM$36,$O38),INDEX('حضور غبريال'!$BM$7:$BM$36,$O38),INDEX('حضور رفائيل'!$BM$7:$BM$36,$O38),INDEX('حضور ميخائيل'!$BM$7:$BM$36,$O38)),""))</f>
        <v>0</v>
      </c>
      <c r="W38" t="str">
        <f>IF(OR(V38=3,V38=4),COUNTIFS(V$6:V38,3)+COUNTIFS(V$6:V38,4),"")</f>
        <v/>
      </c>
    </row>
    <row r="39" spans="1:23" ht="25.5" customHeight="1">
      <c r="A39" s="26">
        <f t="shared" si="0"/>
        <v>34</v>
      </c>
      <c r="B39" s="27" t="str">
        <f t="shared" si="1"/>
        <v>B-034</v>
      </c>
      <c r="C39" s="28" t="s">
        <v>206</v>
      </c>
      <c r="D39" s="29" t="s">
        <v>43</v>
      </c>
      <c r="E39" s="29" t="s">
        <v>49</v>
      </c>
      <c r="F39" s="29" t="s">
        <v>45</v>
      </c>
      <c r="G39" s="29"/>
      <c r="H39" s="30" t="s">
        <v>227</v>
      </c>
      <c r="I39" s="30"/>
      <c r="J39" s="31" t="s">
        <v>267</v>
      </c>
      <c r="K39" s="29" t="e" vm="21">
        <v>#VALUE!</v>
      </c>
      <c r="L39" s="31"/>
      <c r="M39" s="29" t="s">
        <v>46</v>
      </c>
      <c r="N39" s="32" t="str">
        <f t="shared" si="2"/>
        <v>سوريال|10</v>
      </c>
      <c r="O39" s="32">
        <f>IF(OR(C39="",F39=""),"",COUNTIFS(F$6:F39,F39,C$6:C39,"&lt;&gt;"))</f>
        <v>10</v>
      </c>
      <c r="P39" s="33">
        <f>IF($O39="","",IFERROR(CHOOSE(MATCH($F39,الإعدادات!$B$4:$B$7,0),INDEX('حضور سوريال'!$C$7:$C$36,$O39),INDEX('حضور غبريال'!$C$7:$C$36,$O39),INDEX('حضور رفائيل'!$C$7:$C$36,$O39),INDEX('حضور ميخائيل'!$C$7:$C$36,$O39)),""))</f>
        <v>0</v>
      </c>
      <c r="Q39" s="33">
        <f>IF($O39="","",IFERROR(CHOOSE(MATCH($F39,الإعدادات!$B$4:$B$7,0),INDEX('حضور سوريال'!$D$7:$D$36,$O39),INDEX('حضور غبريال'!$D$7:$D$36,$O39),INDEX('حضور رفائيل'!$D$7:$D$36,$O39),INDEX('حضور ميخائيل'!$D$7:$D$36,$O39)),""))</f>
        <v>0</v>
      </c>
      <c r="R39" s="34" t="str">
        <f>IF($O39="","",IFERROR(CHOOSE(MATCH($F39,الإعدادات!$B$4:$B$7,0),INDEX('حضور سوريال'!$F$7:$F$36,$O39),INDEX('حضور غبريال'!$F$7:$F$36,$O39),INDEX('حضور رفائيل'!$F$7:$F$36,$O39),INDEX('حضور ميخائيل'!$F$7:$F$36,$O39)),""))</f>
        <v/>
      </c>
      <c r="S39" s="33">
        <f>IF($O39="","",IFERROR(CHOOSE(MATCH($F39,الإعدادات!$B$4:$B$7,0),INDEX('حضور سوريال'!$G$7:$G$36,$O39),INDEX('حضور غبريال'!$G$7:$G$36,$O39),INDEX('حضور رفائيل'!$G$7:$G$36,$O39),INDEX('حضور ميخائيل'!$G$7:$G$36,$O39)),""))</f>
        <v>0</v>
      </c>
      <c r="T39" s="35" t="str">
        <f>IF($O39="","",IFERROR(CHOOSE(MATCH($F39,الإعدادات!$B$4:$B$7,0),INDEX('حضور سوريال'!$H$7:$H$36,$O39),INDEX('حضور غبريال'!$H$7:$H$36,$O39),INDEX('حضور رفائيل'!$H$7:$H$36,$O39),INDEX('حضور ميخائيل'!$H$7:$H$36,$O39)),""))</f>
        <v>—</v>
      </c>
      <c r="U39" s="36" t="str">
        <f>IF($O39="","",IFERROR(CHOOSE(MATCH($F39,الإعدادات!$B$4:$B$7,0),INDEX('حضور سوريال'!$I$7:$I$36,$O39),INDEX('حضور غبريال'!$I$7:$I$36,$O39),INDEX('حضور رفائيل'!$I$7:$I$36,$O39),INDEX('حضور ميخائيل'!$I$7:$I$36,$O39)),""))</f>
        <v>⏳ لسه مفيش حضور</v>
      </c>
      <c r="V39">
        <f>IF($O39="","",IFERROR(CHOOSE(MATCH($F39,الإعدادات!$B$4:$B$7,0),INDEX('حضور سوريال'!$BM$7:$BM$36,$O39),INDEX('حضور غبريال'!$BM$7:$BM$36,$O39),INDEX('حضور رفائيل'!$BM$7:$BM$36,$O39),INDEX('حضور ميخائيل'!$BM$7:$BM$36,$O39)),""))</f>
        <v>0</v>
      </c>
      <c r="W39" t="str">
        <f>IF(OR(V39=3,V39=4),COUNTIFS(V$6:V39,3)+COUNTIFS(V$6:V39,4),"")</f>
        <v/>
      </c>
    </row>
    <row r="40" spans="1:23" ht="25.5" customHeight="1">
      <c r="A40" s="26">
        <f t="shared" si="0"/>
        <v>35</v>
      </c>
      <c r="B40" s="27" t="str">
        <f t="shared" si="1"/>
        <v>B-035</v>
      </c>
      <c r="C40" s="28" t="s">
        <v>207</v>
      </c>
      <c r="D40" s="29" t="s">
        <v>47</v>
      </c>
      <c r="E40" s="29" t="s">
        <v>49</v>
      </c>
      <c r="F40" s="29" t="s">
        <v>45</v>
      </c>
      <c r="G40" s="29"/>
      <c r="H40" s="30" t="s">
        <v>239</v>
      </c>
      <c r="I40" s="30" t="s">
        <v>249</v>
      </c>
      <c r="J40" s="31" t="s">
        <v>268</v>
      </c>
      <c r="K40" s="29"/>
      <c r="L40" s="31"/>
      <c r="M40" s="29" t="s">
        <v>46</v>
      </c>
      <c r="N40" s="32" t="str">
        <f t="shared" si="2"/>
        <v>سوريال|11</v>
      </c>
      <c r="O40" s="32">
        <f>IF(OR(C40="",F40=""),"",COUNTIFS(F$6:F40,F40,C$6:C40,"&lt;&gt;"))</f>
        <v>11</v>
      </c>
      <c r="P40" s="33">
        <f>IF($O40="","",IFERROR(CHOOSE(MATCH($F40,الإعدادات!$B$4:$B$7,0),INDEX('حضور سوريال'!$C$7:$C$36,$O40),INDEX('حضور غبريال'!$C$7:$C$36,$O40),INDEX('حضور رفائيل'!$C$7:$C$36,$O40),INDEX('حضور ميخائيل'!$C$7:$C$36,$O40)),""))</f>
        <v>0</v>
      </c>
      <c r="Q40" s="33">
        <f>IF($O40="","",IFERROR(CHOOSE(MATCH($F40,الإعدادات!$B$4:$B$7,0),INDEX('حضور سوريال'!$D$7:$D$36,$O40),INDEX('حضور غبريال'!$D$7:$D$36,$O40),INDEX('حضور رفائيل'!$D$7:$D$36,$O40),INDEX('حضور ميخائيل'!$D$7:$D$36,$O40)),""))</f>
        <v>0</v>
      </c>
      <c r="R40" s="34" t="str">
        <f>IF($O40="","",IFERROR(CHOOSE(MATCH($F40,الإعدادات!$B$4:$B$7,0),INDEX('حضور سوريال'!$F$7:$F$36,$O40),INDEX('حضور غبريال'!$F$7:$F$36,$O40),INDEX('حضور رفائيل'!$F$7:$F$36,$O40),INDEX('حضور ميخائيل'!$F$7:$F$36,$O40)),""))</f>
        <v/>
      </c>
      <c r="S40" s="33">
        <f>IF($O40="","",IFERROR(CHOOSE(MATCH($F40,الإعدادات!$B$4:$B$7,0),INDEX('حضور سوريال'!$G$7:$G$36,$O40),INDEX('حضور غبريال'!$G$7:$G$36,$O40),INDEX('حضور رفائيل'!$G$7:$G$36,$O40),INDEX('حضور ميخائيل'!$G$7:$G$36,$O40)),""))</f>
        <v>0</v>
      </c>
      <c r="T40" s="35" t="str">
        <f>IF($O40="","",IFERROR(CHOOSE(MATCH($F40,الإعدادات!$B$4:$B$7,0),INDEX('حضور سوريال'!$H$7:$H$36,$O40),INDEX('حضور غبريال'!$H$7:$H$36,$O40),INDEX('حضور رفائيل'!$H$7:$H$36,$O40),INDEX('حضور ميخائيل'!$H$7:$H$36,$O40)),""))</f>
        <v>—</v>
      </c>
      <c r="U40" s="36" t="str">
        <f>IF($O40="","",IFERROR(CHOOSE(MATCH($F40,الإعدادات!$B$4:$B$7,0),INDEX('حضور سوريال'!$I$7:$I$36,$O40),INDEX('حضور غبريال'!$I$7:$I$36,$O40),INDEX('حضور رفائيل'!$I$7:$I$36,$O40),INDEX('حضور ميخائيل'!$I$7:$I$36,$O40)),""))</f>
        <v>⏳ لسه مفيش حضور</v>
      </c>
      <c r="V40">
        <f>IF($O40="","",IFERROR(CHOOSE(MATCH($F40,الإعدادات!$B$4:$B$7,0),INDEX('حضور سوريال'!$BM$7:$BM$36,$O40),INDEX('حضور غبريال'!$BM$7:$BM$36,$O40),INDEX('حضور رفائيل'!$BM$7:$BM$36,$O40),INDEX('حضور ميخائيل'!$BM$7:$BM$36,$O40)),""))</f>
        <v>0</v>
      </c>
      <c r="W40" t="str">
        <f>IF(OR(V40=3,V40=4),COUNTIFS(V$6:V40,3)+COUNTIFS(V$6:V40,4),"")</f>
        <v/>
      </c>
    </row>
    <row r="41" spans="1:23" ht="25.5" customHeight="1">
      <c r="A41" s="26">
        <f t="shared" si="0"/>
        <v>36</v>
      </c>
      <c r="B41" s="27" t="str">
        <f t="shared" si="1"/>
        <v>B-036</v>
      </c>
      <c r="C41" s="28" t="s">
        <v>208</v>
      </c>
      <c r="D41" s="29" t="s">
        <v>43</v>
      </c>
      <c r="E41" s="29" t="s">
        <v>49</v>
      </c>
      <c r="F41" s="29" t="s">
        <v>45</v>
      </c>
      <c r="G41" s="29"/>
      <c r="H41" s="30" t="s">
        <v>228</v>
      </c>
      <c r="I41" s="30" t="s">
        <v>250</v>
      </c>
      <c r="J41" s="31" t="s">
        <v>269</v>
      </c>
      <c r="K41" s="29"/>
      <c r="L41" s="31"/>
      <c r="M41" s="29" t="s">
        <v>46</v>
      </c>
      <c r="N41" s="32" t="str">
        <f t="shared" si="2"/>
        <v>سوريال|12</v>
      </c>
      <c r="O41" s="32">
        <f>IF(OR(C41="",F41=""),"",COUNTIFS(F$6:F41,F41,C$6:C41,"&lt;&gt;"))</f>
        <v>12</v>
      </c>
      <c r="P41" s="33">
        <f>IF($O41="","",IFERROR(CHOOSE(MATCH($F41,الإعدادات!$B$4:$B$7,0),INDEX('حضور سوريال'!$C$7:$C$36,$O41),INDEX('حضور غبريال'!$C$7:$C$36,$O41),INDEX('حضور رفائيل'!$C$7:$C$36,$O41),INDEX('حضور ميخائيل'!$C$7:$C$36,$O41)),""))</f>
        <v>0</v>
      </c>
      <c r="Q41" s="33">
        <f>IF($O41="","",IFERROR(CHOOSE(MATCH($F41,الإعدادات!$B$4:$B$7,0),INDEX('حضور سوريال'!$D$7:$D$36,$O41),INDEX('حضور غبريال'!$D$7:$D$36,$O41),INDEX('حضور رفائيل'!$D$7:$D$36,$O41),INDEX('حضور ميخائيل'!$D$7:$D$36,$O41)),""))</f>
        <v>0</v>
      </c>
      <c r="R41" s="34" t="str">
        <f>IF($O41="","",IFERROR(CHOOSE(MATCH($F41,الإعدادات!$B$4:$B$7,0),INDEX('حضور سوريال'!$F$7:$F$36,$O41),INDEX('حضور غبريال'!$F$7:$F$36,$O41),INDEX('حضور رفائيل'!$F$7:$F$36,$O41),INDEX('حضور ميخائيل'!$F$7:$F$36,$O41)),""))</f>
        <v/>
      </c>
      <c r="S41" s="33">
        <f>IF($O41="","",IFERROR(CHOOSE(MATCH($F41,الإعدادات!$B$4:$B$7,0),INDEX('حضور سوريال'!$G$7:$G$36,$O41),INDEX('حضور غبريال'!$G$7:$G$36,$O41),INDEX('حضور رفائيل'!$G$7:$G$36,$O41),INDEX('حضور ميخائيل'!$G$7:$G$36,$O41)),""))</f>
        <v>0</v>
      </c>
      <c r="T41" s="35" t="str">
        <f>IF($O41="","",IFERROR(CHOOSE(MATCH($F41,الإعدادات!$B$4:$B$7,0),INDEX('حضور سوريال'!$H$7:$H$36,$O41),INDEX('حضور غبريال'!$H$7:$H$36,$O41),INDEX('حضور رفائيل'!$H$7:$H$36,$O41),INDEX('حضور ميخائيل'!$H$7:$H$36,$O41)),""))</f>
        <v>—</v>
      </c>
      <c r="U41" s="36" t="str">
        <f>IF($O41="","",IFERROR(CHOOSE(MATCH($F41,الإعدادات!$B$4:$B$7,0),INDEX('حضور سوريال'!$I$7:$I$36,$O41),INDEX('حضور غبريال'!$I$7:$I$36,$O41),INDEX('حضور رفائيل'!$I$7:$I$36,$O41),INDEX('حضور ميخائيل'!$I$7:$I$36,$O41)),""))</f>
        <v>⏳ لسه مفيش حضور</v>
      </c>
      <c r="V41">
        <f>IF($O41="","",IFERROR(CHOOSE(MATCH($F41,الإعدادات!$B$4:$B$7,0),INDEX('حضور سوريال'!$BM$7:$BM$36,$O41),INDEX('حضور غبريال'!$BM$7:$BM$36,$O41),INDEX('حضور رفائيل'!$BM$7:$BM$36,$O41),INDEX('حضور ميخائيل'!$BM$7:$BM$36,$O41)),""))</f>
        <v>0</v>
      </c>
      <c r="W41" t="str">
        <f>IF(OR(V41=3,V41=4),COUNTIFS(V$6:V41,3)+COUNTIFS(V$6:V41,4),"")</f>
        <v/>
      </c>
    </row>
    <row r="42" spans="1:23" ht="25.5" customHeight="1">
      <c r="A42" s="26">
        <f t="shared" si="0"/>
        <v>37</v>
      </c>
      <c r="B42" s="27" t="str">
        <f t="shared" si="1"/>
        <v>B-037</v>
      </c>
      <c r="C42" s="28" t="s">
        <v>209</v>
      </c>
      <c r="D42" s="29" t="s">
        <v>47</v>
      </c>
      <c r="E42" s="29" t="s">
        <v>49</v>
      </c>
      <c r="F42" s="29" t="s">
        <v>45</v>
      </c>
      <c r="G42" s="29"/>
      <c r="H42" s="30" t="s">
        <v>229</v>
      </c>
      <c r="I42" s="30" t="s">
        <v>229</v>
      </c>
      <c r="J42" s="163" t="s">
        <v>282</v>
      </c>
      <c r="K42" s="29" t="e" vm="22">
        <v>#VALUE!</v>
      </c>
      <c r="L42" s="31"/>
      <c r="M42" s="29" t="s">
        <v>46</v>
      </c>
      <c r="N42" s="32" t="str">
        <f t="shared" si="2"/>
        <v>سوريال|13</v>
      </c>
      <c r="O42" s="32">
        <f>IF(OR(C42="",F42=""),"",COUNTIFS(F$6:F42,F42,C$6:C42,"&lt;&gt;"))</f>
        <v>13</v>
      </c>
      <c r="P42" s="33">
        <f>IF($O42="","",IFERROR(CHOOSE(MATCH($F42,الإعدادات!$B$4:$B$7,0),INDEX('حضور سوريال'!$C$7:$C$36,$O42),INDEX('حضور غبريال'!$C$7:$C$36,$O42),INDEX('حضور رفائيل'!$C$7:$C$36,$O42),INDEX('حضور ميخائيل'!$C$7:$C$36,$O42)),""))</f>
        <v>0</v>
      </c>
      <c r="Q42" s="33">
        <f>IF($O42="","",IFERROR(CHOOSE(MATCH($F42,الإعدادات!$B$4:$B$7,0),INDEX('حضور سوريال'!$D$7:$D$36,$O42),INDEX('حضور غبريال'!$D$7:$D$36,$O42),INDEX('حضور رفائيل'!$D$7:$D$36,$O42),INDEX('حضور ميخائيل'!$D$7:$D$36,$O42)),""))</f>
        <v>0</v>
      </c>
      <c r="R42" s="34" t="str">
        <f>IF($O42="","",IFERROR(CHOOSE(MATCH($F42,الإعدادات!$B$4:$B$7,0),INDEX('حضور سوريال'!$F$7:$F$36,$O42),INDEX('حضور غبريال'!$F$7:$F$36,$O42),INDEX('حضور رفائيل'!$F$7:$F$36,$O42),INDEX('حضور ميخائيل'!$F$7:$F$36,$O42)),""))</f>
        <v/>
      </c>
      <c r="S42" s="33">
        <f>IF($O42="","",IFERROR(CHOOSE(MATCH($F42,الإعدادات!$B$4:$B$7,0),INDEX('حضور سوريال'!$G$7:$G$36,$O42),INDEX('حضور غبريال'!$G$7:$G$36,$O42),INDEX('حضور رفائيل'!$G$7:$G$36,$O42),INDEX('حضور ميخائيل'!$G$7:$G$36,$O42)),""))</f>
        <v>0</v>
      </c>
      <c r="T42" s="35" t="str">
        <f>IF($O42="","",IFERROR(CHOOSE(MATCH($F42,الإعدادات!$B$4:$B$7,0),INDEX('حضور سوريال'!$H$7:$H$36,$O42),INDEX('حضور غبريال'!$H$7:$H$36,$O42),INDEX('حضور رفائيل'!$H$7:$H$36,$O42),INDEX('حضور ميخائيل'!$H$7:$H$36,$O42)),""))</f>
        <v>—</v>
      </c>
      <c r="U42" s="36" t="str">
        <f>IF($O42="","",IFERROR(CHOOSE(MATCH($F42,الإعدادات!$B$4:$B$7,0),INDEX('حضور سوريال'!$I$7:$I$36,$O42),INDEX('حضور غبريال'!$I$7:$I$36,$O42),INDEX('حضور رفائيل'!$I$7:$I$36,$O42),INDEX('حضور ميخائيل'!$I$7:$I$36,$O42)),""))</f>
        <v>⏳ لسه مفيش حضور</v>
      </c>
      <c r="V42">
        <f>IF($O42="","",IFERROR(CHOOSE(MATCH($F42,الإعدادات!$B$4:$B$7,0),INDEX('حضور سوريال'!$BM$7:$BM$36,$O42),INDEX('حضور غبريال'!$BM$7:$BM$36,$O42),INDEX('حضور رفائيل'!$BM$7:$BM$36,$O42),INDEX('حضور ميخائيل'!$BM$7:$BM$36,$O42)),""))</f>
        <v>0</v>
      </c>
      <c r="W42" t="str">
        <f>IF(OR(V42=3,V42=4),COUNTIFS(V$6:V42,3)+COUNTIFS(V$6:V42,4),"")</f>
        <v/>
      </c>
    </row>
    <row r="43" spans="1:23" ht="25.5" customHeight="1">
      <c r="A43" s="26">
        <f t="shared" si="0"/>
        <v>38</v>
      </c>
      <c r="B43" s="27" t="str">
        <f t="shared" si="1"/>
        <v>B-038</v>
      </c>
      <c r="C43" s="28" t="s">
        <v>210</v>
      </c>
      <c r="D43" s="29" t="s">
        <v>47</v>
      </c>
      <c r="E43" s="29" t="s">
        <v>49</v>
      </c>
      <c r="F43" s="29" t="s">
        <v>45</v>
      </c>
      <c r="G43" s="29"/>
      <c r="H43" s="30" t="s">
        <v>230</v>
      </c>
      <c r="I43" s="30" t="s">
        <v>251</v>
      </c>
      <c r="J43" s="31" t="s">
        <v>270</v>
      </c>
      <c r="K43" s="29"/>
      <c r="L43" s="31"/>
      <c r="M43" s="29" t="s">
        <v>46</v>
      </c>
      <c r="N43" s="32" t="str">
        <f t="shared" si="2"/>
        <v>سوريال|14</v>
      </c>
      <c r="O43" s="32">
        <f>IF(OR(C43="",F43=""),"",COUNTIFS(F$6:F43,F43,C$6:C43,"&lt;&gt;"))</f>
        <v>14</v>
      </c>
      <c r="P43" s="33">
        <f>IF($O43="","",IFERROR(CHOOSE(MATCH($F43,الإعدادات!$B$4:$B$7,0),INDEX('حضور سوريال'!$C$7:$C$36,$O43),INDEX('حضور غبريال'!$C$7:$C$36,$O43),INDEX('حضور رفائيل'!$C$7:$C$36,$O43),INDEX('حضور ميخائيل'!$C$7:$C$36,$O43)),""))</f>
        <v>0</v>
      </c>
      <c r="Q43" s="33">
        <f>IF($O43="","",IFERROR(CHOOSE(MATCH($F43,الإعدادات!$B$4:$B$7,0),INDEX('حضور سوريال'!$D$7:$D$36,$O43),INDEX('حضور غبريال'!$D$7:$D$36,$O43),INDEX('حضور رفائيل'!$D$7:$D$36,$O43),INDEX('حضور ميخائيل'!$D$7:$D$36,$O43)),""))</f>
        <v>0</v>
      </c>
      <c r="R43" s="34" t="str">
        <f>IF($O43="","",IFERROR(CHOOSE(MATCH($F43,الإعدادات!$B$4:$B$7,0),INDEX('حضور سوريال'!$F$7:$F$36,$O43),INDEX('حضور غبريال'!$F$7:$F$36,$O43),INDEX('حضور رفائيل'!$F$7:$F$36,$O43),INDEX('حضور ميخائيل'!$F$7:$F$36,$O43)),""))</f>
        <v/>
      </c>
      <c r="S43" s="33">
        <f>IF($O43="","",IFERROR(CHOOSE(MATCH($F43,الإعدادات!$B$4:$B$7,0),INDEX('حضور سوريال'!$G$7:$G$36,$O43),INDEX('حضور غبريال'!$G$7:$G$36,$O43),INDEX('حضور رفائيل'!$G$7:$G$36,$O43),INDEX('حضور ميخائيل'!$G$7:$G$36,$O43)),""))</f>
        <v>0</v>
      </c>
      <c r="T43" s="35" t="str">
        <f>IF($O43="","",IFERROR(CHOOSE(MATCH($F43,الإعدادات!$B$4:$B$7,0),INDEX('حضور سوريال'!$H$7:$H$36,$O43),INDEX('حضور غبريال'!$H$7:$H$36,$O43),INDEX('حضور رفائيل'!$H$7:$H$36,$O43),INDEX('حضور ميخائيل'!$H$7:$H$36,$O43)),""))</f>
        <v>—</v>
      </c>
      <c r="U43" s="36" t="str">
        <f>IF($O43="","",IFERROR(CHOOSE(MATCH($F43,الإعدادات!$B$4:$B$7,0),INDEX('حضور سوريال'!$I$7:$I$36,$O43),INDEX('حضور غبريال'!$I$7:$I$36,$O43),INDEX('حضور رفائيل'!$I$7:$I$36,$O43),INDEX('حضور ميخائيل'!$I$7:$I$36,$O43)),""))</f>
        <v>⏳ لسه مفيش حضور</v>
      </c>
      <c r="V43">
        <f>IF($O43="","",IFERROR(CHOOSE(MATCH($F43,الإعدادات!$B$4:$B$7,0),INDEX('حضور سوريال'!$BM$7:$BM$36,$O43),INDEX('حضور غبريال'!$BM$7:$BM$36,$O43),INDEX('حضور رفائيل'!$BM$7:$BM$36,$O43),INDEX('حضور ميخائيل'!$BM$7:$BM$36,$O43)),""))</f>
        <v>0</v>
      </c>
      <c r="W43" t="str">
        <f>IF(OR(V43=3,V43=4),COUNTIFS(V$6:V43,3)+COUNTIFS(V$6:V43,4),"")</f>
        <v/>
      </c>
    </row>
    <row r="44" spans="1:23" ht="25.5" customHeight="1">
      <c r="A44" s="26">
        <f t="shared" si="0"/>
        <v>39</v>
      </c>
      <c r="B44" s="27" t="str">
        <f t="shared" si="1"/>
        <v>B-039</v>
      </c>
      <c r="C44" s="28" t="s">
        <v>211</v>
      </c>
      <c r="D44" s="29" t="s">
        <v>43</v>
      </c>
      <c r="E44" s="29" t="s">
        <v>49</v>
      </c>
      <c r="F44" s="29" t="s">
        <v>45</v>
      </c>
      <c r="G44" s="29"/>
      <c r="H44" s="30" t="s">
        <v>240</v>
      </c>
      <c r="I44" s="30" t="s">
        <v>252</v>
      </c>
      <c r="J44" s="31" t="s">
        <v>271</v>
      </c>
      <c r="K44" s="29"/>
      <c r="L44" s="31"/>
      <c r="M44" s="29" t="s">
        <v>46</v>
      </c>
      <c r="N44" s="32" t="str">
        <f t="shared" si="2"/>
        <v>سوريال|15</v>
      </c>
      <c r="O44" s="32">
        <f>IF(OR(C44="",F44=""),"",COUNTIFS(F$6:F44,F44,C$6:C44,"&lt;&gt;"))</f>
        <v>15</v>
      </c>
      <c r="P44" s="33">
        <f>IF($O44="","",IFERROR(CHOOSE(MATCH($F44,الإعدادات!$B$4:$B$7,0),INDEX('حضور سوريال'!$C$7:$C$36,$O44),INDEX('حضور غبريال'!$C$7:$C$36,$O44),INDEX('حضور رفائيل'!$C$7:$C$36,$O44),INDEX('حضور ميخائيل'!$C$7:$C$36,$O44)),""))</f>
        <v>0</v>
      </c>
      <c r="Q44" s="33">
        <f>IF($O44="","",IFERROR(CHOOSE(MATCH($F44,الإعدادات!$B$4:$B$7,0),INDEX('حضور سوريال'!$D$7:$D$36,$O44),INDEX('حضور غبريال'!$D$7:$D$36,$O44),INDEX('حضور رفائيل'!$D$7:$D$36,$O44),INDEX('حضور ميخائيل'!$D$7:$D$36,$O44)),""))</f>
        <v>0</v>
      </c>
      <c r="R44" s="34" t="str">
        <f>IF($O44="","",IFERROR(CHOOSE(MATCH($F44,الإعدادات!$B$4:$B$7,0),INDEX('حضور سوريال'!$F$7:$F$36,$O44),INDEX('حضور غبريال'!$F$7:$F$36,$O44),INDEX('حضور رفائيل'!$F$7:$F$36,$O44),INDEX('حضور ميخائيل'!$F$7:$F$36,$O44)),""))</f>
        <v/>
      </c>
      <c r="S44" s="33">
        <f>IF($O44="","",IFERROR(CHOOSE(MATCH($F44,الإعدادات!$B$4:$B$7,0),INDEX('حضور سوريال'!$G$7:$G$36,$O44),INDEX('حضور غبريال'!$G$7:$G$36,$O44),INDEX('حضور رفائيل'!$G$7:$G$36,$O44),INDEX('حضور ميخائيل'!$G$7:$G$36,$O44)),""))</f>
        <v>0</v>
      </c>
      <c r="T44" s="35" t="str">
        <f>IF($O44="","",IFERROR(CHOOSE(MATCH($F44,الإعدادات!$B$4:$B$7,0),INDEX('حضور سوريال'!$H$7:$H$36,$O44),INDEX('حضور غبريال'!$H$7:$H$36,$O44),INDEX('حضور رفائيل'!$H$7:$H$36,$O44),INDEX('حضور ميخائيل'!$H$7:$H$36,$O44)),""))</f>
        <v>—</v>
      </c>
      <c r="U44" s="36" t="str">
        <f>IF($O44="","",IFERROR(CHOOSE(MATCH($F44,الإعدادات!$B$4:$B$7,0),INDEX('حضور سوريال'!$I$7:$I$36,$O44),INDEX('حضور غبريال'!$I$7:$I$36,$O44),INDEX('حضور رفائيل'!$I$7:$I$36,$O44),INDEX('حضور ميخائيل'!$I$7:$I$36,$O44)),""))</f>
        <v>⏳ لسه مفيش حضور</v>
      </c>
      <c r="V44">
        <f>IF($O44="","",IFERROR(CHOOSE(MATCH($F44,الإعدادات!$B$4:$B$7,0),INDEX('حضور سوريال'!$BM$7:$BM$36,$O44),INDEX('حضور غبريال'!$BM$7:$BM$36,$O44),INDEX('حضور رفائيل'!$BM$7:$BM$36,$O44),INDEX('حضور ميخائيل'!$BM$7:$BM$36,$O44)),""))</f>
        <v>0</v>
      </c>
      <c r="W44" t="str">
        <f>IF(OR(V44=3,V44=4),COUNTIFS(V$6:V44,3)+COUNTIFS(V$6:V44,4),"")</f>
        <v/>
      </c>
    </row>
    <row r="45" spans="1:23" ht="25.5" customHeight="1">
      <c r="A45" s="26">
        <f t="shared" si="0"/>
        <v>40</v>
      </c>
      <c r="B45" s="27" t="str">
        <f t="shared" si="1"/>
        <v>B-040</v>
      </c>
      <c r="C45" s="28" t="s">
        <v>212</v>
      </c>
      <c r="D45" s="29" t="s">
        <v>43</v>
      </c>
      <c r="E45" s="29" t="s">
        <v>49</v>
      </c>
      <c r="F45" s="29" t="s">
        <v>45</v>
      </c>
      <c r="G45" s="29"/>
      <c r="H45" s="30" t="s">
        <v>241</v>
      </c>
      <c r="I45" s="30" t="s">
        <v>253</v>
      </c>
      <c r="J45" s="31" t="s">
        <v>272</v>
      </c>
      <c r="K45" s="29" t="e" vm="23">
        <v>#VALUE!</v>
      </c>
      <c r="L45" s="31"/>
      <c r="M45" s="29" t="s">
        <v>46</v>
      </c>
      <c r="N45" s="32" t="str">
        <f t="shared" si="2"/>
        <v>سوريال|16</v>
      </c>
      <c r="O45" s="32">
        <f>IF(OR(C45="",F45=""),"",COUNTIFS(F$6:F45,F45,C$6:C45,"&lt;&gt;"))</f>
        <v>16</v>
      </c>
      <c r="P45" s="33">
        <f>IF($O45="","",IFERROR(CHOOSE(MATCH($F45,الإعدادات!$B$4:$B$7,0),INDEX('حضور سوريال'!$C$7:$C$36,$O45),INDEX('حضور غبريال'!$C$7:$C$36,$O45),INDEX('حضور رفائيل'!$C$7:$C$36,$O45),INDEX('حضور ميخائيل'!$C$7:$C$36,$O45)),""))</f>
        <v>0</v>
      </c>
      <c r="Q45" s="33">
        <f>IF($O45="","",IFERROR(CHOOSE(MATCH($F45,الإعدادات!$B$4:$B$7,0),INDEX('حضور سوريال'!$D$7:$D$36,$O45),INDEX('حضور غبريال'!$D$7:$D$36,$O45),INDEX('حضور رفائيل'!$D$7:$D$36,$O45),INDEX('حضور ميخائيل'!$D$7:$D$36,$O45)),""))</f>
        <v>0</v>
      </c>
      <c r="R45" s="34" t="str">
        <f>IF($O45="","",IFERROR(CHOOSE(MATCH($F45,الإعدادات!$B$4:$B$7,0),INDEX('حضور سوريال'!$F$7:$F$36,$O45),INDEX('حضور غبريال'!$F$7:$F$36,$O45),INDEX('حضور رفائيل'!$F$7:$F$36,$O45),INDEX('حضور ميخائيل'!$F$7:$F$36,$O45)),""))</f>
        <v/>
      </c>
      <c r="S45" s="33">
        <f>IF($O45="","",IFERROR(CHOOSE(MATCH($F45,الإعدادات!$B$4:$B$7,0),INDEX('حضور سوريال'!$G$7:$G$36,$O45),INDEX('حضور غبريال'!$G$7:$G$36,$O45),INDEX('حضور رفائيل'!$G$7:$G$36,$O45),INDEX('حضور ميخائيل'!$G$7:$G$36,$O45)),""))</f>
        <v>0</v>
      </c>
      <c r="T45" s="35" t="str">
        <f>IF($O45="","",IFERROR(CHOOSE(MATCH($F45,الإعدادات!$B$4:$B$7,0),INDEX('حضور سوريال'!$H$7:$H$36,$O45),INDEX('حضور غبريال'!$H$7:$H$36,$O45),INDEX('حضور رفائيل'!$H$7:$H$36,$O45),INDEX('حضور ميخائيل'!$H$7:$H$36,$O45)),""))</f>
        <v>—</v>
      </c>
      <c r="U45" s="36" t="str">
        <f>IF($O45="","",IFERROR(CHOOSE(MATCH($F45,الإعدادات!$B$4:$B$7,0),INDEX('حضور سوريال'!$I$7:$I$36,$O45),INDEX('حضور غبريال'!$I$7:$I$36,$O45),INDEX('حضور رفائيل'!$I$7:$I$36,$O45),INDEX('حضور ميخائيل'!$I$7:$I$36,$O45)),""))</f>
        <v>⏳ لسه مفيش حضور</v>
      </c>
      <c r="V45">
        <f>IF($O45="","",IFERROR(CHOOSE(MATCH($F45,الإعدادات!$B$4:$B$7,0),INDEX('حضور سوريال'!$BM$7:$BM$36,$O45),INDEX('حضور غبريال'!$BM$7:$BM$36,$O45),INDEX('حضور رفائيل'!$BM$7:$BM$36,$O45),INDEX('حضور ميخائيل'!$BM$7:$BM$36,$O45)),""))</f>
        <v>0</v>
      </c>
      <c r="W45" t="str">
        <f>IF(OR(V45=3,V45=4),COUNTIFS(V$6:V45,3)+COUNTIFS(V$6:V45,4),"")</f>
        <v/>
      </c>
    </row>
    <row r="46" spans="1:23" ht="25.5" customHeight="1">
      <c r="A46" s="26">
        <f t="shared" si="0"/>
        <v>41</v>
      </c>
      <c r="B46" s="27" t="str">
        <f t="shared" si="1"/>
        <v>B-041</v>
      </c>
      <c r="C46" s="28" t="s">
        <v>213</v>
      </c>
      <c r="D46" s="29" t="s">
        <v>47</v>
      </c>
      <c r="E46" s="29" t="s">
        <v>49</v>
      </c>
      <c r="F46" s="29" t="s">
        <v>45</v>
      </c>
      <c r="G46" s="29"/>
      <c r="H46" s="30" t="s">
        <v>231</v>
      </c>
      <c r="I46" s="30" t="s">
        <v>254</v>
      </c>
      <c r="J46" s="31" t="s">
        <v>273</v>
      </c>
      <c r="K46" s="29" t="e" vm="24">
        <v>#VALUE!</v>
      </c>
      <c r="L46" s="31"/>
      <c r="M46" s="29" t="s">
        <v>46</v>
      </c>
      <c r="N46" s="32" t="str">
        <f t="shared" si="2"/>
        <v>سوريال|17</v>
      </c>
      <c r="O46" s="32">
        <f>IF(OR(C46="",F46=""),"",COUNTIFS(F$6:F46,F46,C$6:C46,"&lt;&gt;"))</f>
        <v>17</v>
      </c>
      <c r="P46" s="33">
        <f>IF($O46="","",IFERROR(CHOOSE(MATCH($F46,الإعدادات!$B$4:$B$7,0),INDEX('حضور سوريال'!$C$7:$C$36,$O46),INDEX('حضور غبريال'!$C$7:$C$36,$O46),INDEX('حضور رفائيل'!$C$7:$C$36,$O46),INDEX('حضور ميخائيل'!$C$7:$C$36,$O46)),""))</f>
        <v>0</v>
      </c>
      <c r="Q46" s="33">
        <f>IF($O46="","",IFERROR(CHOOSE(MATCH($F46,الإعدادات!$B$4:$B$7,0),INDEX('حضور سوريال'!$D$7:$D$36,$O46),INDEX('حضور غبريال'!$D$7:$D$36,$O46),INDEX('حضور رفائيل'!$D$7:$D$36,$O46),INDEX('حضور ميخائيل'!$D$7:$D$36,$O46)),""))</f>
        <v>0</v>
      </c>
      <c r="R46" s="34" t="str">
        <f>IF($O46="","",IFERROR(CHOOSE(MATCH($F46,الإعدادات!$B$4:$B$7,0),INDEX('حضور سوريال'!$F$7:$F$36,$O46),INDEX('حضور غبريال'!$F$7:$F$36,$O46),INDEX('حضور رفائيل'!$F$7:$F$36,$O46),INDEX('حضور ميخائيل'!$F$7:$F$36,$O46)),""))</f>
        <v/>
      </c>
      <c r="S46" s="33">
        <f>IF($O46="","",IFERROR(CHOOSE(MATCH($F46,الإعدادات!$B$4:$B$7,0),INDEX('حضور سوريال'!$G$7:$G$36,$O46),INDEX('حضور غبريال'!$G$7:$G$36,$O46),INDEX('حضور رفائيل'!$G$7:$G$36,$O46),INDEX('حضور ميخائيل'!$G$7:$G$36,$O46)),""))</f>
        <v>0</v>
      </c>
      <c r="T46" s="35" t="str">
        <f>IF($O46="","",IFERROR(CHOOSE(MATCH($F46,الإعدادات!$B$4:$B$7,0),INDEX('حضور سوريال'!$H$7:$H$36,$O46),INDEX('حضور غبريال'!$H$7:$H$36,$O46),INDEX('حضور رفائيل'!$H$7:$H$36,$O46),INDEX('حضور ميخائيل'!$H$7:$H$36,$O46)),""))</f>
        <v>—</v>
      </c>
      <c r="U46" s="36" t="str">
        <f>IF($O46="","",IFERROR(CHOOSE(MATCH($F46,الإعدادات!$B$4:$B$7,0),INDEX('حضور سوريال'!$I$7:$I$36,$O46),INDEX('حضور غبريال'!$I$7:$I$36,$O46),INDEX('حضور رفائيل'!$I$7:$I$36,$O46),INDEX('حضور ميخائيل'!$I$7:$I$36,$O46)),""))</f>
        <v>⏳ لسه مفيش حضور</v>
      </c>
      <c r="V46">
        <f>IF($O46="","",IFERROR(CHOOSE(MATCH($F46,الإعدادات!$B$4:$B$7,0),INDEX('حضور سوريال'!$BM$7:$BM$36,$O46),INDEX('حضور غبريال'!$BM$7:$BM$36,$O46),INDEX('حضور رفائيل'!$BM$7:$BM$36,$O46),INDEX('حضور ميخائيل'!$BM$7:$BM$36,$O46)),""))</f>
        <v>0</v>
      </c>
      <c r="W46" t="str">
        <f>IF(OR(V46=3,V46=4),COUNTIFS(V$6:V46,3)+COUNTIFS(V$6:V46,4),"")</f>
        <v/>
      </c>
    </row>
    <row r="47" spans="1:23" ht="25.5" customHeight="1">
      <c r="A47" s="26">
        <f t="shared" si="0"/>
        <v>42</v>
      </c>
      <c r="B47" s="27" t="str">
        <f t="shared" si="1"/>
        <v>B-042</v>
      </c>
      <c r="C47" s="28" t="s">
        <v>214</v>
      </c>
      <c r="D47" s="29" t="s">
        <v>47</v>
      </c>
      <c r="E47" s="29" t="s">
        <v>49</v>
      </c>
      <c r="F47" s="29" t="s">
        <v>45</v>
      </c>
      <c r="G47" s="29"/>
      <c r="H47" s="30" t="s">
        <v>242</v>
      </c>
      <c r="I47" s="30" t="s">
        <v>255</v>
      </c>
      <c r="J47" s="31" t="s">
        <v>274</v>
      </c>
      <c r="K47" s="29" t="e" vm="25">
        <v>#VALUE!</v>
      </c>
      <c r="L47" s="31"/>
      <c r="M47" s="29" t="s">
        <v>46</v>
      </c>
      <c r="N47" s="32" t="str">
        <f t="shared" si="2"/>
        <v>سوريال|18</v>
      </c>
      <c r="O47" s="32">
        <f>IF(OR(C47="",F47=""),"",COUNTIFS(F$6:F47,F47,C$6:C47,"&lt;&gt;"))</f>
        <v>18</v>
      </c>
      <c r="P47" s="33">
        <f>IF($O47="","",IFERROR(CHOOSE(MATCH($F47,الإعدادات!$B$4:$B$7,0),INDEX('حضور سوريال'!$C$7:$C$36,$O47),INDEX('حضور غبريال'!$C$7:$C$36,$O47),INDEX('حضور رفائيل'!$C$7:$C$36,$O47),INDEX('حضور ميخائيل'!$C$7:$C$36,$O47)),""))</f>
        <v>0</v>
      </c>
      <c r="Q47" s="33">
        <f>IF($O47="","",IFERROR(CHOOSE(MATCH($F47,الإعدادات!$B$4:$B$7,0),INDEX('حضور سوريال'!$D$7:$D$36,$O47),INDEX('حضور غبريال'!$D$7:$D$36,$O47),INDEX('حضور رفائيل'!$D$7:$D$36,$O47),INDEX('حضور ميخائيل'!$D$7:$D$36,$O47)),""))</f>
        <v>0</v>
      </c>
      <c r="R47" s="34" t="str">
        <f>IF($O47="","",IFERROR(CHOOSE(MATCH($F47,الإعدادات!$B$4:$B$7,0),INDEX('حضور سوريال'!$F$7:$F$36,$O47),INDEX('حضور غبريال'!$F$7:$F$36,$O47),INDEX('حضور رفائيل'!$F$7:$F$36,$O47),INDEX('حضور ميخائيل'!$F$7:$F$36,$O47)),""))</f>
        <v/>
      </c>
      <c r="S47" s="33">
        <f>IF($O47="","",IFERROR(CHOOSE(MATCH($F47,الإعدادات!$B$4:$B$7,0),INDEX('حضور سوريال'!$G$7:$G$36,$O47),INDEX('حضور غبريال'!$G$7:$G$36,$O47),INDEX('حضور رفائيل'!$G$7:$G$36,$O47),INDEX('حضور ميخائيل'!$G$7:$G$36,$O47)),""))</f>
        <v>0</v>
      </c>
      <c r="T47" s="35" t="str">
        <f>IF($O47="","",IFERROR(CHOOSE(MATCH($F47,الإعدادات!$B$4:$B$7,0),INDEX('حضور سوريال'!$H$7:$H$36,$O47),INDEX('حضور غبريال'!$H$7:$H$36,$O47),INDEX('حضور رفائيل'!$H$7:$H$36,$O47),INDEX('حضور ميخائيل'!$H$7:$H$36,$O47)),""))</f>
        <v>—</v>
      </c>
      <c r="U47" s="36" t="str">
        <f>IF($O47="","",IFERROR(CHOOSE(MATCH($F47,الإعدادات!$B$4:$B$7,0),INDEX('حضور سوريال'!$I$7:$I$36,$O47),INDEX('حضور غبريال'!$I$7:$I$36,$O47),INDEX('حضور رفائيل'!$I$7:$I$36,$O47),INDEX('حضور ميخائيل'!$I$7:$I$36,$O47)),""))</f>
        <v>⏳ لسه مفيش حضور</v>
      </c>
      <c r="V47">
        <f>IF($O47="","",IFERROR(CHOOSE(MATCH($F47,الإعدادات!$B$4:$B$7,0),INDEX('حضور سوريال'!$BM$7:$BM$36,$O47),INDEX('حضور غبريال'!$BM$7:$BM$36,$O47),INDEX('حضور رفائيل'!$BM$7:$BM$36,$O47),INDEX('حضور ميخائيل'!$BM$7:$BM$36,$O47)),""))</f>
        <v>0</v>
      </c>
      <c r="W47" t="str">
        <f>IF(OR(V47=3,V47=4),COUNTIFS(V$6:V47,3)+COUNTIFS(V$6:V47,4),"")</f>
        <v/>
      </c>
    </row>
    <row r="48" spans="1:23" ht="25.5" customHeight="1">
      <c r="A48" s="26">
        <f t="shared" si="0"/>
        <v>43</v>
      </c>
      <c r="B48" s="27" t="str">
        <f t="shared" si="1"/>
        <v>B-043</v>
      </c>
      <c r="C48" s="28" t="s">
        <v>215</v>
      </c>
      <c r="D48" s="29" t="s">
        <v>43</v>
      </c>
      <c r="E48" s="29" t="s">
        <v>49</v>
      </c>
      <c r="F48" s="29" t="s">
        <v>45</v>
      </c>
      <c r="G48" s="29"/>
      <c r="H48" s="30" t="s">
        <v>232</v>
      </c>
      <c r="I48" s="30" t="s">
        <v>256</v>
      </c>
      <c r="J48" s="31" t="s">
        <v>275</v>
      </c>
      <c r="K48" s="29" t="e" vm="26">
        <v>#VALUE!</v>
      </c>
      <c r="L48" s="31"/>
      <c r="M48" s="29" t="s">
        <v>46</v>
      </c>
      <c r="N48" s="32" t="str">
        <f t="shared" si="2"/>
        <v>سوريال|19</v>
      </c>
      <c r="O48" s="32">
        <f>IF(OR(C48="",F48=""),"",COUNTIFS(F$6:F48,F48,C$6:C48,"&lt;&gt;"))</f>
        <v>19</v>
      </c>
      <c r="P48" s="33">
        <f>IF($O48="","",IFERROR(CHOOSE(MATCH($F48,الإعدادات!$B$4:$B$7,0),INDEX('حضور سوريال'!$C$7:$C$36,$O48),INDEX('حضور غبريال'!$C$7:$C$36,$O48),INDEX('حضور رفائيل'!$C$7:$C$36,$O48),INDEX('حضور ميخائيل'!$C$7:$C$36,$O48)),""))</f>
        <v>0</v>
      </c>
      <c r="Q48" s="33">
        <f>IF($O48="","",IFERROR(CHOOSE(MATCH($F48,الإعدادات!$B$4:$B$7,0),INDEX('حضور سوريال'!$D$7:$D$36,$O48),INDEX('حضور غبريال'!$D$7:$D$36,$O48),INDEX('حضور رفائيل'!$D$7:$D$36,$O48),INDEX('حضور ميخائيل'!$D$7:$D$36,$O48)),""))</f>
        <v>0</v>
      </c>
      <c r="R48" s="34" t="str">
        <f>IF($O48="","",IFERROR(CHOOSE(MATCH($F48,الإعدادات!$B$4:$B$7,0),INDEX('حضور سوريال'!$F$7:$F$36,$O48),INDEX('حضور غبريال'!$F$7:$F$36,$O48),INDEX('حضور رفائيل'!$F$7:$F$36,$O48),INDEX('حضور ميخائيل'!$F$7:$F$36,$O48)),""))</f>
        <v/>
      </c>
      <c r="S48" s="33">
        <f>IF($O48="","",IFERROR(CHOOSE(MATCH($F48,الإعدادات!$B$4:$B$7,0),INDEX('حضور سوريال'!$G$7:$G$36,$O48),INDEX('حضور غبريال'!$G$7:$G$36,$O48),INDEX('حضور رفائيل'!$G$7:$G$36,$O48),INDEX('حضور ميخائيل'!$G$7:$G$36,$O48)),""))</f>
        <v>0</v>
      </c>
      <c r="T48" s="35" t="str">
        <f>IF($O48="","",IFERROR(CHOOSE(MATCH($F48,الإعدادات!$B$4:$B$7,0),INDEX('حضور سوريال'!$H$7:$H$36,$O48),INDEX('حضور غبريال'!$H$7:$H$36,$O48),INDEX('حضور رفائيل'!$H$7:$H$36,$O48),INDEX('حضور ميخائيل'!$H$7:$H$36,$O48)),""))</f>
        <v>—</v>
      </c>
      <c r="U48" s="36" t="str">
        <f>IF($O48="","",IFERROR(CHOOSE(MATCH($F48,الإعدادات!$B$4:$B$7,0),INDEX('حضور سوريال'!$I$7:$I$36,$O48),INDEX('حضور غبريال'!$I$7:$I$36,$O48),INDEX('حضور رفائيل'!$I$7:$I$36,$O48),INDEX('حضور ميخائيل'!$I$7:$I$36,$O48)),""))</f>
        <v>⏳ لسه مفيش حضور</v>
      </c>
      <c r="V48">
        <f>IF($O48="","",IFERROR(CHOOSE(MATCH($F48,الإعدادات!$B$4:$B$7,0),INDEX('حضور سوريال'!$BM$7:$BM$36,$O48),INDEX('حضور غبريال'!$BM$7:$BM$36,$O48),INDEX('حضور رفائيل'!$BM$7:$BM$36,$O48),INDEX('حضور ميخائيل'!$BM$7:$BM$36,$O48)),""))</f>
        <v>0</v>
      </c>
      <c r="W48" t="str">
        <f>IF(OR(V48=3,V48=4),COUNTIFS(V$6:V48,3)+COUNTIFS(V$6:V48,4),"")</f>
        <v/>
      </c>
    </row>
    <row r="49" spans="1:23" ht="25.5" customHeight="1">
      <c r="A49" s="26">
        <f t="shared" si="0"/>
        <v>44</v>
      </c>
      <c r="B49" s="27" t="str">
        <f t="shared" si="1"/>
        <v>B-044</v>
      </c>
      <c r="C49" s="28" t="s">
        <v>216</v>
      </c>
      <c r="D49" s="29" t="s">
        <v>47</v>
      </c>
      <c r="E49" s="29" t="s">
        <v>49</v>
      </c>
      <c r="F49" s="29" t="s">
        <v>45</v>
      </c>
      <c r="G49" s="29"/>
      <c r="H49" s="30" t="s">
        <v>243</v>
      </c>
      <c r="I49" s="30" t="s">
        <v>243</v>
      </c>
      <c r="J49" s="31" t="s">
        <v>276</v>
      </c>
      <c r="K49" s="29"/>
      <c r="L49" s="31"/>
      <c r="M49" s="29" t="s">
        <v>46</v>
      </c>
      <c r="N49" s="32" t="str">
        <f t="shared" si="2"/>
        <v>سوريال|20</v>
      </c>
      <c r="O49" s="32">
        <f>IF(OR(C49="",F49=""),"",COUNTIFS(F$6:F49,F49,C$6:C49,"&lt;&gt;"))</f>
        <v>20</v>
      </c>
      <c r="P49" s="33">
        <f>IF($O49="","",IFERROR(CHOOSE(MATCH($F49,الإعدادات!$B$4:$B$7,0),INDEX('حضور سوريال'!$C$7:$C$36,$O49),INDEX('حضور غبريال'!$C$7:$C$36,$O49),INDEX('حضور رفائيل'!$C$7:$C$36,$O49),INDEX('حضور ميخائيل'!$C$7:$C$36,$O49)),""))</f>
        <v>0</v>
      </c>
      <c r="Q49" s="33">
        <f>IF($O49="","",IFERROR(CHOOSE(MATCH($F49,الإعدادات!$B$4:$B$7,0),INDEX('حضور سوريال'!$D$7:$D$36,$O49),INDEX('حضور غبريال'!$D$7:$D$36,$O49),INDEX('حضور رفائيل'!$D$7:$D$36,$O49),INDEX('حضور ميخائيل'!$D$7:$D$36,$O49)),""))</f>
        <v>0</v>
      </c>
      <c r="R49" s="34" t="str">
        <f>IF($O49="","",IFERROR(CHOOSE(MATCH($F49,الإعدادات!$B$4:$B$7,0),INDEX('حضور سوريال'!$F$7:$F$36,$O49),INDEX('حضور غبريال'!$F$7:$F$36,$O49),INDEX('حضور رفائيل'!$F$7:$F$36,$O49),INDEX('حضور ميخائيل'!$F$7:$F$36,$O49)),""))</f>
        <v/>
      </c>
      <c r="S49" s="33">
        <f>IF($O49="","",IFERROR(CHOOSE(MATCH($F49,الإعدادات!$B$4:$B$7,0),INDEX('حضور سوريال'!$G$7:$G$36,$O49),INDEX('حضور غبريال'!$G$7:$G$36,$O49),INDEX('حضور رفائيل'!$G$7:$G$36,$O49),INDEX('حضور ميخائيل'!$G$7:$G$36,$O49)),""))</f>
        <v>0</v>
      </c>
      <c r="T49" s="35" t="str">
        <f>IF($O49="","",IFERROR(CHOOSE(MATCH($F49,الإعدادات!$B$4:$B$7,0),INDEX('حضور سوريال'!$H$7:$H$36,$O49),INDEX('حضور غبريال'!$H$7:$H$36,$O49),INDEX('حضور رفائيل'!$H$7:$H$36,$O49),INDEX('حضور ميخائيل'!$H$7:$H$36,$O49)),""))</f>
        <v>—</v>
      </c>
      <c r="U49" s="36" t="str">
        <f>IF($O49="","",IFERROR(CHOOSE(MATCH($F49,الإعدادات!$B$4:$B$7,0),INDEX('حضور سوريال'!$I$7:$I$36,$O49),INDEX('حضور غبريال'!$I$7:$I$36,$O49),INDEX('حضور رفائيل'!$I$7:$I$36,$O49),INDEX('حضور ميخائيل'!$I$7:$I$36,$O49)),""))</f>
        <v>⏳ لسه مفيش حضور</v>
      </c>
      <c r="V49">
        <f>IF($O49="","",IFERROR(CHOOSE(MATCH($F49,الإعدادات!$B$4:$B$7,0),INDEX('حضور سوريال'!$BM$7:$BM$36,$O49),INDEX('حضور غبريال'!$BM$7:$BM$36,$O49),INDEX('حضور رفائيل'!$BM$7:$BM$36,$O49),INDEX('حضور ميخائيل'!$BM$7:$BM$36,$O49)),""))</f>
        <v>0</v>
      </c>
      <c r="W49" t="str">
        <f>IF(OR(V49=3,V49=4),COUNTIFS(V$6:V49,3)+COUNTIFS(V$6:V49,4),"")</f>
        <v/>
      </c>
    </row>
    <row r="50" spans="1:23" ht="25.5" customHeight="1">
      <c r="A50" s="26">
        <f t="shared" si="0"/>
        <v>45</v>
      </c>
      <c r="B50" s="27" t="str">
        <f t="shared" si="1"/>
        <v>B-045</v>
      </c>
      <c r="C50" s="28" t="s">
        <v>217</v>
      </c>
      <c r="D50" s="29" t="s">
        <v>43</v>
      </c>
      <c r="E50" s="29" t="s">
        <v>49</v>
      </c>
      <c r="F50" s="29" t="s">
        <v>45</v>
      </c>
      <c r="G50" s="29"/>
      <c r="H50" s="30" t="s">
        <v>233</v>
      </c>
      <c r="I50" s="30" t="s">
        <v>233</v>
      </c>
      <c r="J50" s="31" t="s">
        <v>277</v>
      </c>
      <c r="K50" s="29"/>
      <c r="L50" s="31"/>
      <c r="M50" s="29" t="s">
        <v>46</v>
      </c>
      <c r="N50" s="32" t="str">
        <f t="shared" si="2"/>
        <v>سوريال|21</v>
      </c>
      <c r="O50" s="32">
        <f>IF(OR(C50="",F50=""),"",COUNTIFS(F$6:F50,F50,C$6:C50,"&lt;&gt;"))</f>
        <v>21</v>
      </c>
      <c r="P50" s="33">
        <f>IF($O50="","",IFERROR(CHOOSE(MATCH($F50,الإعدادات!$B$4:$B$7,0),INDEX('حضور سوريال'!$C$7:$C$36,$O50),INDEX('حضور غبريال'!$C$7:$C$36,$O50),INDEX('حضور رفائيل'!$C$7:$C$36,$O50),INDEX('حضور ميخائيل'!$C$7:$C$36,$O50)),""))</f>
        <v>0</v>
      </c>
      <c r="Q50" s="33">
        <f>IF($O50="","",IFERROR(CHOOSE(MATCH($F50,الإعدادات!$B$4:$B$7,0),INDEX('حضور سوريال'!$D$7:$D$36,$O50),INDEX('حضور غبريال'!$D$7:$D$36,$O50),INDEX('حضور رفائيل'!$D$7:$D$36,$O50),INDEX('حضور ميخائيل'!$D$7:$D$36,$O50)),""))</f>
        <v>0</v>
      </c>
      <c r="R50" s="34" t="str">
        <f>IF($O50="","",IFERROR(CHOOSE(MATCH($F50,الإعدادات!$B$4:$B$7,0),INDEX('حضور سوريال'!$F$7:$F$36,$O50),INDEX('حضور غبريال'!$F$7:$F$36,$O50),INDEX('حضور رفائيل'!$F$7:$F$36,$O50),INDEX('حضور ميخائيل'!$F$7:$F$36,$O50)),""))</f>
        <v/>
      </c>
      <c r="S50" s="33">
        <f>IF($O50="","",IFERROR(CHOOSE(MATCH($F50,الإعدادات!$B$4:$B$7,0),INDEX('حضور سوريال'!$G$7:$G$36,$O50),INDEX('حضور غبريال'!$G$7:$G$36,$O50),INDEX('حضور رفائيل'!$G$7:$G$36,$O50),INDEX('حضور ميخائيل'!$G$7:$G$36,$O50)),""))</f>
        <v>0</v>
      </c>
      <c r="T50" s="35" t="str">
        <f>IF($O50="","",IFERROR(CHOOSE(MATCH($F50,الإعدادات!$B$4:$B$7,0),INDEX('حضور سوريال'!$H$7:$H$36,$O50),INDEX('حضور غبريال'!$H$7:$H$36,$O50),INDEX('حضور رفائيل'!$H$7:$H$36,$O50),INDEX('حضور ميخائيل'!$H$7:$H$36,$O50)),""))</f>
        <v>—</v>
      </c>
      <c r="U50" s="36" t="str">
        <f>IF($O50="","",IFERROR(CHOOSE(MATCH($F50,الإعدادات!$B$4:$B$7,0),INDEX('حضور سوريال'!$I$7:$I$36,$O50),INDEX('حضور غبريال'!$I$7:$I$36,$O50),INDEX('حضور رفائيل'!$I$7:$I$36,$O50),INDEX('حضور ميخائيل'!$I$7:$I$36,$O50)),""))</f>
        <v>⏳ لسه مفيش حضور</v>
      </c>
      <c r="V50">
        <f>IF($O50="","",IFERROR(CHOOSE(MATCH($F50,الإعدادات!$B$4:$B$7,0),INDEX('حضور سوريال'!$BM$7:$BM$36,$O50),INDEX('حضور غبريال'!$BM$7:$BM$36,$O50),INDEX('حضور رفائيل'!$BM$7:$BM$36,$O50),INDEX('حضور ميخائيل'!$BM$7:$BM$36,$O50)),""))</f>
        <v>0</v>
      </c>
      <c r="W50" t="str">
        <f>IF(OR(V50=3,V50=4),COUNTIFS(V$6:V50,3)+COUNTIFS(V$6:V50,4),"")</f>
        <v/>
      </c>
    </row>
    <row r="51" spans="1:23" ht="25.5" customHeight="1">
      <c r="A51" s="26">
        <f t="shared" si="0"/>
        <v>46</v>
      </c>
      <c r="B51" s="27" t="str">
        <f t="shared" si="1"/>
        <v>B-046</v>
      </c>
      <c r="C51" s="28" t="s">
        <v>218</v>
      </c>
      <c r="D51" s="29" t="s">
        <v>43</v>
      </c>
      <c r="E51" s="29" t="s">
        <v>49</v>
      </c>
      <c r="F51" s="29" t="s">
        <v>45</v>
      </c>
      <c r="G51" s="29"/>
      <c r="H51" s="30" t="s">
        <v>244</v>
      </c>
      <c r="I51" s="30" t="s">
        <v>257</v>
      </c>
      <c r="J51" s="31" t="s">
        <v>278</v>
      </c>
      <c r="K51" s="29" t="e" vm="27">
        <v>#VALUE!</v>
      </c>
      <c r="L51" s="31"/>
      <c r="M51" s="29" t="s">
        <v>46</v>
      </c>
      <c r="N51" s="32" t="str">
        <f t="shared" si="2"/>
        <v>سوريال|22</v>
      </c>
      <c r="O51" s="32">
        <f>IF(OR(C51="",F51=""),"",COUNTIFS(F$6:F51,F51,C$6:C51,"&lt;&gt;"))</f>
        <v>22</v>
      </c>
      <c r="P51" s="33">
        <f>IF($O51="","",IFERROR(CHOOSE(MATCH($F51,الإعدادات!$B$4:$B$7,0),INDEX('حضور سوريال'!$C$7:$C$36,$O51),INDEX('حضور غبريال'!$C$7:$C$36,$O51),INDEX('حضور رفائيل'!$C$7:$C$36,$O51),INDEX('حضور ميخائيل'!$C$7:$C$36,$O51)),""))</f>
        <v>0</v>
      </c>
      <c r="Q51" s="33">
        <f>IF($O51="","",IFERROR(CHOOSE(MATCH($F51,الإعدادات!$B$4:$B$7,0),INDEX('حضور سوريال'!$D$7:$D$36,$O51),INDEX('حضور غبريال'!$D$7:$D$36,$O51),INDEX('حضور رفائيل'!$D$7:$D$36,$O51),INDEX('حضور ميخائيل'!$D$7:$D$36,$O51)),""))</f>
        <v>0</v>
      </c>
      <c r="R51" s="34" t="str">
        <f>IF($O51="","",IFERROR(CHOOSE(MATCH($F51,الإعدادات!$B$4:$B$7,0),INDEX('حضور سوريال'!$F$7:$F$36,$O51),INDEX('حضور غبريال'!$F$7:$F$36,$O51),INDEX('حضور رفائيل'!$F$7:$F$36,$O51),INDEX('حضور ميخائيل'!$F$7:$F$36,$O51)),""))</f>
        <v/>
      </c>
      <c r="S51" s="33">
        <f>IF($O51="","",IFERROR(CHOOSE(MATCH($F51,الإعدادات!$B$4:$B$7,0),INDEX('حضور سوريال'!$G$7:$G$36,$O51),INDEX('حضور غبريال'!$G$7:$G$36,$O51),INDEX('حضور رفائيل'!$G$7:$G$36,$O51),INDEX('حضور ميخائيل'!$G$7:$G$36,$O51)),""))</f>
        <v>0</v>
      </c>
      <c r="T51" s="35" t="str">
        <f>IF($O51="","",IFERROR(CHOOSE(MATCH($F51,الإعدادات!$B$4:$B$7,0),INDEX('حضور سوريال'!$H$7:$H$36,$O51),INDEX('حضور غبريال'!$H$7:$H$36,$O51),INDEX('حضور رفائيل'!$H$7:$H$36,$O51),INDEX('حضور ميخائيل'!$H$7:$H$36,$O51)),""))</f>
        <v>—</v>
      </c>
      <c r="U51" s="36" t="str">
        <f>IF($O51="","",IFERROR(CHOOSE(MATCH($F51,الإعدادات!$B$4:$B$7,0),INDEX('حضور سوريال'!$I$7:$I$36,$O51),INDEX('حضور غبريال'!$I$7:$I$36,$O51),INDEX('حضور رفائيل'!$I$7:$I$36,$O51),INDEX('حضور ميخائيل'!$I$7:$I$36,$O51)),""))</f>
        <v>⏳ لسه مفيش حضور</v>
      </c>
      <c r="V51">
        <f>IF($O51="","",IFERROR(CHOOSE(MATCH($F51,الإعدادات!$B$4:$B$7,0),INDEX('حضور سوريال'!$BM$7:$BM$36,$O51),INDEX('حضور غبريال'!$BM$7:$BM$36,$O51),INDEX('حضور رفائيل'!$BM$7:$BM$36,$O51),INDEX('حضور ميخائيل'!$BM$7:$BM$36,$O51)),""))</f>
        <v>0</v>
      </c>
      <c r="W51" t="str">
        <f>IF(OR(V51=3,V51=4),COUNTIFS(V$6:V51,3)+COUNTIFS(V$6:V51,4),"")</f>
        <v/>
      </c>
    </row>
    <row r="52" spans="1:23" ht="25.5" customHeight="1">
      <c r="A52" s="26">
        <f t="shared" si="0"/>
        <v>47</v>
      </c>
      <c r="B52" s="27" t="str">
        <f t="shared" si="1"/>
        <v>B-047</v>
      </c>
      <c r="C52" s="28" t="s">
        <v>219</v>
      </c>
      <c r="D52" s="29" t="s">
        <v>43</v>
      </c>
      <c r="E52" s="29" t="s">
        <v>49</v>
      </c>
      <c r="F52" s="29" t="s">
        <v>45</v>
      </c>
      <c r="G52" s="29"/>
      <c r="H52" s="30" t="s">
        <v>234</v>
      </c>
      <c r="I52" s="30" t="s">
        <v>258</v>
      </c>
      <c r="J52" s="31" t="s">
        <v>279</v>
      </c>
      <c r="K52" s="29"/>
      <c r="L52" s="31"/>
      <c r="M52" s="29" t="s">
        <v>46</v>
      </c>
      <c r="N52" s="32" t="str">
        <f t="shared" si="2"/>
        <v>سوريال|23</v>
      </c>
      <c r="O52" s="32">
        <f>IF(OR(C52="",F52=""),"",COUNTIFS(F$6:F52,F52,C$6:C52,"&lt;&gt;"))</f>
        <v>23</v>
      </c>
      <c r="P52" s="33">
        <f>IF($O52="","",IFERROR(CHOOSE(MATCH($F52,الإعدادات!$B$4:$B$7,0),INDEX('حضور سوريال'!$C$7:$C$36,$O52),INDEX('حضور غبريال'!$C$7:$C$36,$O52),INDEX('حضور رفائيل'!$C$7:$C$36,$O52),INDEX('حضور ميخائيل'!$C$7:$C$36,$O52)),""))</f>
        <v>0</v>
      </c>
      <c r="Q52" s="33">
        <f>IF($O52="","",IFERROR(CHOOSE(MATCH($F52,الإعدادات!$B$4:$B$7,0),INDEX('حضور سوريال'!$D$7:$D$36,$O52),INDEX('حضور غبريال'!$D$7:$D$36,$O52),INDEX('حضور رفائيل'!$D$7:$D$36,$O52),INDEX('حضور ميخائيل'!$D$7:$D$36,$O52)),""))</f>
        <v>0</v>
      </c>
      <c r="R52" s="34" t="str">
        <f>IF($O52="","",IFERROR(CHOOSE(MATCH($F52,الإعدادات!$B$4:$B$7,0),INDEX('حضور سوريال'!$F$7:$F$36,$O52),INDEX('حضور غبريال'!$F$7:$F$36,$O52),INDEX('حضور رفائيل'!$F$7:$F$36,$O52),INDEX('حضور ميخائيل'!$F$7:$F$36,$O52)),""))</f>
        <v/>
      </c>
      <c r="S52" s="33">
        <f>IF($O52="","",IFERROR(CHOOSE(MATCH($F52,الإعدادات!$B$4:$B$7,0),INDEX('حضور سوريال'!$G$7:$G$36,$O52),INDEX('حضور غبريال'!$G$7:$G$36,$O52),INDEX('حضور رفائيل'!$G$7:$G$36,$O52),INDEX('حضور ميخائيل'!$G$7:$G$36,$O52)),""))</f>
        <v>0</v>
      </c>
      <c r="T52" s="35" t="str">
        <f>IF($O52="","",IFERROR(CHOOSE(MATCH($F52,الإعدادات!$B$4:$B$7,0),INDEX('حضور سوريال'!$H$7:$H$36,$O52),INDEX('حضور غبريال'!$H$7:$H$36,$O52),INDEX('حضور رفائيل'!$H$7:$H$36,$O52),INDEX('حضور ميخائيل'!$H$7:$H$36,$O52)),""))</f>
        <v>—</v>
      </c>
      <c r="U52" s="36" t="str">
        <f>IF($O52="","",IFERROR(CHOOSE(MATCH($F52,الإعدادات!$B$4:$B$7,0),INDEX('حضور سوريال'!$I$7:$I$36,$O52),INDEX('حضور غبريال'!$I$7:$I$36,$O52),INDEX('حضور رفائيل'!$I$7:$I$36,$O52),INDEX('حضور ميخائيل'!$I$7:$I$36,$O52)),""))</f>
        <v>⏳ لسه مفيش حضور</v>
      </c>
      <c r="V52">
        <f>IF($O52="","",IFERROR(CHOOSE(MATCH($F52,الإعدادات!$B$4:$B$7,0),INDEX('حضور سوريال'!$BM$7:$BM$36,$O52),INDEX('حضور غبريال'!$BM$7:$BM$36,$O52),INDEX('حضور رفائيل'!$BM$7:$BM$36,$O52),INDEX('حضور ميخائيل'!$BM$7:$BM$36,$O52)),""))</f>
        <v>0</v>
      </c>
      <c r="W52" t="str">
        <f>IF(OR(V52=3,V52=4),COUNTIFS(V$6:V52,3)+COUNTIFS(V$6:V52,4),"")</f>
        <v/>
      </c>
    </row>
    <row r="53" spans="1:23" ht="25.5" customHeight="1">
      <c r="A53" s="26">
        <f t="shared" si="0"/>
        <v>48</v>
      </c>
      <c r="B53" s="27" t="str">
        <f t="shared" si="1"/>
        <v>B-048</v>
      </c>
      <c r="C53" s="28" t="s">
        <v>220</v>
      </c>
      <c r="D53" s="29" t="s">
        <v>43</v>
      </c>
      <c r="E53" s="29" t="s">
        <v>49</v>
      </c>
      <c r="F53" s="29" t="s">
        <v>45</v>
      </c>
      <c r="G53" s="29"/>
      <c r="H53" s="30" t="s">
        <v>235</v>
      </c>
      <c r="I53" s="30" t="s">
        <v>235</v>
      </c>
      <c r="J53" s="31" t="s">
        <v>280</v>
      </c>
      <c r="K53" s="29"/>
      <c r="L53" s="31"/>
      <c r="M53" s="29" t="s">
        <v>46</v>
      </c>
      <c r="N53" s="32" t="str">
        <f t="shared" si="2"/>
        <v>سوريال|24</v>
      </c>
      <c r="O53" s="32">
        <f>IF(OR(C53="",F53=""),"",COUNTIFS(F$6:F53,F53,C$6:C53,"&lt;&gt;"))</f>
        <v>24</v>
      </c>
      <c r="P53" s="33">
        <f>IF($O53="","",IFERROR(CHOOSE(MATCH($F53,الإعدادات!$B$4:$B$7,0),INDEX('حضور سوريال'!$C$7:$C$36,$O53),INDEX('حضور غبريال'!$C$7:$C$36,$O53),INDEX('حضور رفائيل'!$C$7:$C$36,$O53),INDEX('حضور ميخائيل'!$C$7:$C$36,$O53)),""))</f>
        <v>0</v>
      </c>
      <c r="Q53" s="33">
        <f>IF($O53="","",IFERROR(CHOOSE(MATCH($F53,الإعدادات!$B$4:$B$7,0),INDEX('حضور سوريال'!$D$7:$D$36,$O53),INDEX('حضور غبريال'!$D$7:$D$36,$O53),INDEX('حضور رفائيل'!$D$7:$D$36,$O53),INDEX('حضور ميخائيل'!$D$7:$D$36,$O53)),""))</f>
        <v>0</v>
      </c>
      <c r="R53" s="34" t="str">
        <f>IF($O53="","",IFERROR(CHOOSE(MATCH($F53,الإعدادات!$B$4:$B$7,0),INDEX('حضور سوريال'!$F$7:$F$36,$O53),INDEX('حضور غبريال'!$F$7:$F$36,$O53),INDEX('حضور رفائيل'!$F$7:$F$36,$O53),INDEX('حضور ميخائيل'!$F$7:$F$36,$O53)),""))</f>
        <v/>
      </c>
      <c r="S53" s="33">
        <f>IF($O53="","",IFERROR(CHOOSE(MATCH($F53,الإعدادات!$B$4:$B$7,0),INDEX('حضور سوريال'!$G$7:$G$36,$O53),INDEX('حضور غبريال'!$G$7:$G$36,$O53),INDEX('حضور رفائيل'!$G$7:$G$36,$O53),INDEX('حضور ميخائيل'!$G$7:$G$36,$O53)),""))</f>
        <v>0</v>
      </c>
      <c r="T53" s="35" t="str">
        <f>IF($O53="","",IFERROR(CHOOSE(MATCH($F53,الإعدادات!$B$4:$B$7,0),INDEX('حضور سوريال'!$H$7:$H$36,$O53),INDEX('حضور غبريال'!$H$7:$H$36,$O53),INDEX('حضور رفائيل'!$H$7:$H$36,$O53),INDEX('حضور ميخائيل'!$H$7:$H$36,$O53)),""))</f>
        <v>—</v>
      </c>
      <c r="U53" s="36" t="str">
        <f>IF($O53="","",IFERROR(CHOOSE(MATCH($F53,الإعدادات!$B$4:$B$7,0),INDEX('حضور سوريال'!$I$7:$I$36,$O53),INDEX('حضور غبريال'!$I$7:$I$36,$O53),INDEX('حضور رفائيل'!$I$7:$I$36,$O53),INDEX('حضور ميخائيل'!$I$7:$I$36,$O53)),""))</f>
        <v>⏳ لسه مفيش حضور</v>
      </c>
      <c r="V53">
        <f>IF($O53="","",IFERROR(CHOOSE(MATCH($F53,الإعدادات!$B$4:$B$7,0),INDEX('حضور سوريال'!$BM$7:$BM$36,$O53),INDEX('حضور غبريال'!$BM$7:$BM$36,$O53),INDEX('حضور رفائيل'!$BM$7:$BM$36,$O53),INDEX('حضور ميخائيل'!$BM$7:$BM$36,$O53)),""))</f>
        <v>0</v>
      </c>
      <c r="W53" t="str">
        <f>IF(OR(V53=3,V53=4),COUNTIFS(V$6:V53,3)+COUNTIFS(V$6:V53,4),"")</f>
        <v/>
      </c>
    </row>
    <row r="54" spans="1:23" ht="25.5" customHeight="1">
      <c r="A54" s="26" t="str">
        <f t="shared" si="0"/>
        <v/>
      </c>
      <c r="B54" s="27" t="str">
        <f t="shared" si="1"/>
        <v/>
      </c>
      <c r="C54" s="28"/>
      <c r="D54" s="29"/>
      <c r="E54" s="29"/>
      <c r="F54" s="29"/>
      <c r="G54" s="29"/>
      <c r="H54" s="30"/>
      <c r="I54" s="30"/>
      <c r="J54" s="31"/>
      <c r="K54" s="29"/>
      <c r="L54" s="31"/>
      <c r="M54" s="29"/>
      <c r="N54" s="32" t="str">
        <f t="shared" si="2"/>
        <v/>
      </c>
      <c r="O54" s="32" t="str">
        <f>IF(OR(C54="",F54=""),"",COUNTIFS(F$6:F54,F54,C$6:C54,"&lt;&gt;"))</f>
        <v/>
      </c>
      <c r="P54" s="33" t="str">
        <f>IF($O54="","",IFERROR(CHOOSE(MATCH($F54,الإعدادات!$B$4:$B$7,0),INDEX('حضور سوريال'!$C$7:$C$36,$O54),INDEX('حضور غبريال'!$C$7:$C$36,$O54),INDEX('حضور رفائيل'!$C$7:$C$36,$O54),INDEX('حضور ميخائيل'!$C$7:$C$36,$O54)),""))</f>
        <v/>
      </c>
      <c r="Q54" s="33" t="str">
        <f>IF($O54="","",IFERROR(CHOOSE(MATCH($F54,الإعدادات!$B$4:$B$7,0),INDEX('حضور سوريال'!$D$7:$D$36,$O54),INDEX('حضور غبريال'!$D$7:$D$36,$O54),INDEX('حضور رفائيل'!$D$7:$D$36,$O54),INDEX('حضور ميخائيل'!$D$7:$D$36,$O54)),""))</f>
        <v/>
      </c>
      <c r="R54" s="34" t="str">
        <f>IF($O54="","",IFERROR(CHOOSE(MATCH($F54,الإعدادات!$B$4:$B$7,0),INDEX('حضور سوريال'!$F$7:$F$36,$O54),INDEX('حضور غبريال'!$F$7:$F$36,$O54),INDEX('حضور رفائيل'!$F$7:$F$36,$O54),INDEX('حضور ميخائيل'!$F$7:$F$36,$O54)),""))</f>
        <v/>
      </c>
      <c r="S54" s="33" t="str">
        <f>IF($O54="","",IFERROR(CHOOSE(MATCH($F54,الإعدادات!$B$4:$B$7,0),INDEX('حضور سوريال'!$G$7:$G$36,$O54),INDEX('حضور غبريال'!$G$7:$G$36,$O54),INDEX('حضور رفائيل'!$G$7:$G$36,$O54),INDEX('حضور ميخائيل'!$G$7:$G$36,$O54)),""))</f>
        <v/>
      </c>
      <c r="T54" s="35" t="str">
        <f>IF($O54="","",IFERROR(CHOOSE(MATCH($F54,الإعدادات!$B$4:$B$7,0),INDEX('حضور سوريال'!$H$7:$H$36,$O54),INDEX('حضور غبريال'!$H$7:$H$36,$O54),INDEX('حضور رفائيل'!$H$7:$H$36,$O54),INDEX('حضور ميخائيل'!$H$7:$H$36,$O54)),""))</f>
        <v/>
      </c>
      <c r="U54" s="36" t="str">
        <f>IF($O54="","",IFERROR(CHOOSE(MATCH($F54,الإعدادات!$B$4:$B$7,0),INDEX('حضور سوريال'!$I$7:$I$36,$O54),INDEX('حضور غبريال'!$I$7:$I$36,$O54),INDEX('حضور رفائيل'!$I$7:$I$36,$O54),INDEX('حضور ميخائيل'!$I$7:$I$36,$O54)),""))</f>
        <v/>
      </c>
      <c r="V54" t="str">
        <f>IF($O54="","",IFERROR(CHOOSE(MATCH($F54,الإعدادات!$B$4:$B$7,0),INDEX('حضور سوريال'!$BM$7:$BM$36,$O54),INDEX('حضور غبريال'!$BM$7:$BM$36,$O54),INDEX('حضور رفائيل'!$BM$7:$BM$36,$O54),INDEX('حضور ميخائيل'!$BM$7:$BM$36,$O54)),""))</f>
        <v/>
      </c>
      <c r="W54" t="str">
        <f>IF(OR(V54=3,V54=4),COUNTIFS(V$6:V54,3)+COUNTIFS(V$6:V54,4),"")</f>
        <v/>
      </c>
    </row>
    <row r="55" spans="1:23" ht="25.5" customHeight="1">
      <c r="A55" s="26" t="str">
        <f t="shared" si="0"/>
        <v/>
      </c>
      <c r="B55" s="27" t="str">
        <f t="shared" si="1"/>
        <v/>
      </c>
      <c r="C55" s="28"/>
      <c r="D55" s="29"/>
      <c r="E55" s="29"/>
      <c r="F55" s="29"/>
      <c r="G55" s="29"/>
      <c r="H55" s="30"/>
      <c r="I55" s="30"/>
      <c r="J55" s="31"/>
      <c r="K55" s="29"/>
      <c r="L55" s="31"/>
      <c r="M55" s="29"/>
      <c r="N55" s="32" t="str">
        <f t="shared" si="2"/>
        <v/>
      </c>
      <c r="O55" s="32" t="str">
        <f>IF(OR(C55="",F55=""),"",COUNTIFS(F$6:F55,F55,C$6:C55,"&lt;&gt;"))</f>
        <v/>
      </c>
      <c r="P55" s="33" t="str">
        <f>IF($O55="","",IFERROR(CHOOSE(MATCH($F55,الإعدادات!$B$4:$B$7,0),INDEX('حضور سوريال'!$C$7:$C$36,$O55),INDEX('حضور غبريال'!$C$7:$C$36,$O55),INDEX('حضور رفائيل'!$C$7:$C$36,$O55),INDEX('حضور ميخائيل'!$C$7:$C$36,$O55)),""))</f>
        <v/>
      </c>
      <c r="Q55" s="33" t="str">
        <f>IF($O55="","",IFERROR(CHOOSE(MATCH($F55,الإعدادات!$B$4:$B$7,0),INDEX('حضور سوريال'!$D$7:$D$36,$O55),INDEX('حضور غبريال'!$D$7:$D$36,$O55),INDEX('حضور رفائيل'!$D$7:$D$36,$O55),INDEX('حضور ميخائيل'!$D$7:$D$36,$O55)),""))</f>
        <v/>
      </c>
      <c r="R55" s="34" t="str">
        <f>IF($O55="","",IFERROR(CHOOSE(MATCH($F55,الإعدادات!$B$4:$B$7,0),INDEX('حضور سوريال'!$F$7:$F$36,$O55),INDEX('حضور غبريال'!$F$7:$F$36,$O55),INDEX('حضور رفائيل'!$F$7:$F$36,$O55),INDEX('حضور ميخائيل'!$F$7:$F$36,$O55)),""))</f>
        <v/>
      </c>
      <c r="S55" s="33" t="str">
        <f>IF($O55="","",IFERROR(CHOOSE(MATCH($F55,الإعدادات!$B$4:$B$7,0),INDEX('حضور سوريال'!$G$7:$G$36,$O55),INDEX('حضور غبريال'!$G$7:$G$36,$O55),INDEX('حضور رفائيل'!$G$7:$G$36,$O55),INDEX('حضور ميخائيل'!$G$7:$G$36,$O55)),""))</f>
        <v/>
      </c>
      <c r="T55" s="35" t="str">
        <f>IF($O55="","",IFERROR(CHOOSE(MATCH($F55,الإعدادات!$B$4:$B$7,0),INDEX('حضور سوريال'!$H$7:$H$36,$O55),INDEX('حضور غبريال'!$H$7:$H$36,$O55),INDEX('حضور رفائيل'!$H$7:$H$36,$O55),INDEX('حضور ميخائيل'!$H$7:$H$36,$O55)),""))</f>
        <v/>
      </c>
      <c r="U55" s="36" t="str">
        <f>IF($O55="","",IFERROR(CHOOSE(MATCH($F55,الإعدادات!$B$4:$B$7,0),INDEX('حضور سوريال'!$I$7:$I$36,$O55),INDEX('حضور غبريال'!$I$7:$I$36,$O55),INDEX('حضور رفائيل'!$I$7:$I$36,$O55),INDEX('حضور ميخائيل'!$I$7:$I$36,$O55)),""))</f>
        <v/>
      </c>
      <c r="V55" t="str">
        <f>IF($O55="","",IFERROR(CHOOSE(MATCH($F55,الإعدادات!$B$4:$B$7,0),INDEX('حضور سوريال'!$BM$7:$BM$36,$O55),INDEX('حضور غبريال'!$BM$7:$BM$36,$O55),INDEX('حضور رفائيل'!$BM$7:$BM$36,$O55),INDEX('حضور ميخائيل'!$BM$7:$BM$36,$O55)),""))</f>
        <v/>
      </c>
      <c r="W55" t="str">
        <f>IF(OR(V55=3,V55=4),COUNTIFS(V$6:V55,3)+COUNTIFS(V$6:V55,4),"")</f>
        <v/>
      </c>
    </row>
    <row r="56" spans="1:23" ht="25.5" customHeight="1">
      <c r="A56" s="26" t="str">
        <f t="shared" si="0"/>
        <v/>
      </c>
      <c r="B56" s="27" t="str">
        <f t="shared" si="1"/>
        <v/>
      </c>
      <c r="C56" s="28"/>
      <c r="D56" s="29"/>
      <c r="E56" s="29"/>
      <c r="F56" s="29"/>
      <c r="G56" s="29"/>
      <c r="H56" s="30"/>
      <c r="I56" s="30"/>
      <c r="J56" s="31"/>
      <c r="K56" s="29"/>
      <c r="L56" s="31"/>
      <c r="M56" s="29"/>
      <c r="N56" s="32" t="str">
        <f t="shared" si="2"/>
        <v/>
      </c>
      <c r="O56" s="32" t="str">
        <f>IF(OR(C56="",F56=""),"",COUNTIFS(F$6:F56,F56,C$6:C56,"&lt;&gt;"))</f>
        <v/>
      </c>
      <c r="P56" s="33" t="str">
        <f>IF($O56="","",IFERROR(CHOOSE(MATCH($F56,الإعدادات!$B$4:$B$7,0),INDEX('حضور سوريال'!$C$7:$C$36,$O56),INDEX('حضور غبريال'!$C$7:$C$36,$O56),INDEX('حضور رفائيل'!$C$7:$C$36,$O56),INDEX('حضور ميخائيل'!$C$7:$C$36,$O56)),""))</f>
        <v/>
      </c>
      <c r="Q56" s="33" t="str">
        <f>IF($O56="","",IFERROR(CHOOSE(MATCH($F56,الإعدادات!$B$4:$B$7,0),INDEX('حضور سوريال'!$D$7:$D$36,$O56),INDEX('حضور غبريال'!$D$7:$D$36,$O56),INDEX('حضور رفائيل'!$D$7:$D$36,$O56),INDEX('حضور ميخائيل'!$D$7:$D$36,$O56)),""))</f>
        <v/>
      </c>
      <c r="R56" s="34" t="str">
        <f>IF($O56="","",IFERROR(CHOOSE(MATCH($F56,الإعدادات!$B$4:$B$7,0),INDEX('حضور سوريال'!$F$7:$F$36,$O56),INDEX('حضور غبريال'!$F$7:$F$36,$O56),INDEX('حضور رفائيل'!$F$7:$F$36,$O56),INDEX('حضور ميخائيل'!$F$7:$F$36,$O56)),""))</f>
        <v/>
      </c>
      <c r="S56" s="33" t="str">
        <f>IF($O56="","",IFERROR(CHOOSE(MATCH($F56,الإعدادات!$B$4:$B$7,0),INDEX('حضور سوريال'!$G$7:$G$36,$O56),INDEX('حضور غبريال'!$G$7:$G$36,$O56),INDEX('حضور رفائيل'!$G$7:$G$36,$O56),INDEX('حضور ميخائيل'!$G$7:$G$36,$O56)),""))</f>
        <v/>
      </c>
      <c r="T56" s="35" t="str">
        <f>IF($O56="","",IFERROR(CHOOSE(MATCH($F56,الإعدادات!$B$4:$B$7,0),INDEX('حضور سوريال'!$H$7:$H$36,$O56),INDEX('حضور غبريال'!$H$7:$H$36,$O56),INDEX('حضور رفائيل'!$H$7:$H$36,$O56),INDEX('حضور ميخائيل'!$H$7:$H$36,$O56)),""))</f>
        <v/>
      </c>
      <c r="U56" s="36" t="str">
        <f>IF($O56="","",IFERROR(CHOOSE(MATCH($F56,الإعدادات!$B$4:$B$7,0),INDEX('حضور سوريال'!$I$7:$I$36,$O56),INDEX('حضور غبريال'!$I$7:$I$36,$O56),INDEX('حضور رفائيل'!$I$7:$I$36,$O56),INDEX('حضور ميخائيل'!$I$7:$I$36,$O56)),""))</f>
        <v/>
      </c>
      <c r="V56" t="str">
        <f>IF($O56="","",IFERROR(CHOOSE(MATCH($F56,الإعدادات!$B$4:$B$7,0),INDEX('حضور سوريال'!$BM$7:$BM$36,$O56),INDEX('حضور غبريال'!$BM$7:$BM$36,$O56),INDEX('حضور رفائيل'!$BM$7:$BM$36,$O56),INDEX('حضور ميخائيل'!$BM$7:$BM$36,$O56)),""))</f>
        <v/>
      </c>
      <c r="W56" t="str">
        <f>IF(OR(V56=3,V56=4),COUNTIFS(V$6:V56,3)+COUNTIFS(V$6:V56,4),"")</f>
        <v/>
      </c>
    </row>
    <row r="57" spans="1:23" ht="25.5" customHeight="1">
      <c r="A57" s="26" t="str">
        <f t="shared" si="0"/>
        <v/>
      </c>
      <c r="B57" s="27" t="str">
        <f t="shared" si="1"/>
        <v/>
      </c>
      <c r="C57" s="28"/>
      <c r="D57" s="29"/>
      <c r="E57" s="29"/>
      <c r="F57" s="29"/>
      <c r="G57" s="29"/>
      <c r="H57" s="30"/>
      <c r="I57" s="30"/>
      <c r="J57" s="31"/>
      <c r="K57" s="29"/>
      <c r="L57" s="31"/>
      <c r="M57" s="29"/>
      <c r="N57" s="32" t="str">
        <f t="shared" si="2"/>
        <v/>
      </c>
      <c r="O57" s="32" t="str">
        <f>IF(OR(C57="",F57=""),"",COUNTIFS(F$6:F57,F57,C$6:C57,"&lt;&gt;"))</f>
        <v/>
      </c>
      <c r="P57" s="33" t="str">
        <f>IF($O57="","",IFERROR(CHOOSE(MATCH($F57,الإعدادات!$B$4:$B$7,0),INDEX('حضور سوريال'!$C$7:$C$36,$O57),INDEX('حضور غبريال'!$C$7:$C$36,$O57),INDEX('حضور رفائيل'!$C$7:$C$36,$O57),INDEX('حضور ميخائيل'!$C$7:$C$36,$O57)),""))</f>
        <v/>
      </c>
      <c r="Q57" s="33" t="str">
        <f>IF($O57="","",IFERROR(CHOOSE(MATCH($F57,الإعدادات!$B$4:$B$7,0),INDEX('حضور سوريال'!$D$7:$D$36,$O57),INDEX('حضور غبريال'!$D$7:$D$36,$O57),INDEX('حضور رفائيل'!$D$7:$D$36,$O57),INDEX('حضور ميخائيل'!$D$7:$D$36,$O57)),""))</f>
        <v/>
      </c>
      <c r="R57" s="34" t="str">
        <f>IF($O57="","",IFERROR(CHOOSE(MATCH($F57,الإعدادات!$B$4:$B$7,0),INDEX('حضور سوريال'!$F$7:$F$36,$O57),INDEX('حضور غبريال'!$F$7:$F$36,$O57),INDEX('حضور رفائيل'!$F$7:$F$36,$O57),INDEX('حضور ميخائيل'!$F$7:$F$36,$O57)),""))</f>
        <v/>
      </c>
      <c r="S57" s="33" t="str">
        <f>IF($O57="","",IFERROR(CHOOSE(MATCH($F57,الإعدادات!$B$4:$B$7,0),INDEX('حضور سوريال'!$G$7:$G$36,$O57),INDEX('حضور غبريال'!$G$7:$G$36,$O57),INDEX('حضور رفائيل'!$G$7:$G$36,$O57),INDEX('حضور ميخائيل'!$G$7:$G$36,$O57)),""))</f>
        <v/>
      </c>
      <c r="T57" s="35" t="str">
        <f>IF($O57="","",IFERROR(CHOOSE(MATCH($F57,الإعدادات!$B$4:$B$7,0),INDEX('حضور سوريال'!$H$7:$H$36,$O57),INDEX('حضور غبريال'!$H$7:$H$36,$O57),INDEX('حضور رفائيل'!$H$7:$H$36,$O57),INDEX('حضور ميخائيل'!$H$7:$H$36,$O57)),""))</f>
        <v/>
      </c>
      <c r="U57" s="36" t="str">
        <f>IF($O57="","",IFERROR(CHOOSE(MATCH($F57,الإعدادات!$B$4:$B$7,0),INDEX('حضور سوريال'!$I$7:$I$36,$O57),INDEX('حضور غبريال'!$I$7:$I$36,$O57),INDEX('حضور رفائيل'!$I$7:$I$36,$O57),INDEX('حضور ميخائيل'!$I$7:$I$36,$O57)),""))</f>
        <v/>
      </c>
      <c r="V57" t="str">
        <f>IF($O57="","",IFERROR(CHOOSE(MATCH($F57,الإعدادات!$B$4:$B$7,0),INDEX('حضور سوريال'!$BM$7:$BM$36,$O57),INDEX('حضور غبريال'!$BM$7:$BM$36,$O57),INDEX('حضور رفائيل'!$BM$7:$BM$36,$O57),INDEX('حضور ميخائيل'!$BM$7:$BM$36,$O57)),""))</f>
        <v/>
      </c>
      <c r="W57" t="str">
        <f>IF(OR(V57=3,V57=4),COUNTIFS(V$6:V57,3)+COUNTIFS(V$6:V57,4),"")</f>
        <v/>
      </c>
    </row>
    <row r="58" spans="1:23" ht="25.5" customHeight="1">
      <c r="A58" s="26" t="str">
        <f t="shared" si="0"/>
        <v/>
      </c>
      <c r="B58" s="27" t="str">
        <f t="shared" si="1"/>
        <v/>
      </c>
      <c r="C58" s="28"/>
      <c r="D58" s="29"/>
      <c r="E58" s="29"/>
      <c r="F58" s="29"/>
      <c r="G58" s="29"/>
      <c r="H58" s="30"/>
      <c r="I58" s="30"/>
      <c r="J58" s="31"/>
      <c r="K58" s="29"/>
      <c r="L58" s="31"/>
      <c r="M58" s="29"/>
      <c r="N58" s="32" t="str">
        <f t="shared" si="2"/>
        <v/>
      </c>
      <c r="O58" s="32" t="str">
        <f>IF(OR(C58="",F58=""),"",COUNTIFS(F$6:F58,F58,C$6:C58,"&lt;&gt;"))</f>
        <v/>
      </c>
      <c r="P58" s="33" t="str">
        <f>IF($O58="","",IFERROR(CHOOSE(MATCH($F58,الإعدادات!$B$4:$B$7,0),INDEX('حضور سوريال'!$C$7:$C$36,$O58),INDEX('حضور غبريال'!$C$7:$C$36,$O58),INDEX('حضور رفائيل'!$C$7:$C$36,$O58),INDEX('حضور ميخائيل'!$C$7:$C$36,$O58)),""))</f>
        <v/>
      </c>
      <c r="Q58" s="33" t="str">
        <f>IF($O58="","",IFERROR(CHOOSE(MATCH($F58,الإعدادات!$B$4:$B$7,0),INDEX('حضور سوريال'!$D$7:$D$36,$O58),INDEX('حضور غبريال'!$D$7:$D$36,$O58),INDEX('حضور رفائيل'!$D$7:$D$36,$O58),INDEX('حضور ميخائيل'!$D$7:$D$36,$O58)),""))</f>
        <v/>
      </c>
      <c r="R58" s="34" t="str">
        <f>IF($O58="","",IFERROR(CHOOSE(MATCH($F58,الإعدادات!$B$4:$B$7,0),INDEX('حضور سوريال'!$F$7:$F$36,$O58),INDEX('حضور غبريال'!$F$7:$F$36,$O58),INDEX('حضور رفائيل'!$F$7:$F$36,$O58),INDEX('حضور ميخائيل'!$F$7:$F$36,$O58)),""))</f>
        <v/>
      </c>
      <c r="S58" s="33" t="str">
        <f>IF($O58="","",IFERROR(CHOOSE(MATCH($F58,الإعدادات!$B$4:$B$7,0),INDEX('حضور سوريال'!$G$7:$G$36,$O58),INDEX('حضور غبريال'!$G$7:$G$36,$O58),INDEX('حضور رفائيل'!$G$7:$G$36,$O58),INDEX('حضور ميخائيل'!$G$7:$G$36,$O58)),""))</f>
        <v/>
      </c>
      <c r="T58" s="35" t="str">
        <f>IF($O58="","",IFERROR(CHOOSE(MATCH($F58,الإعدادات!$B$4:$B$7,0),INDEX('حضور سوريال'!$H$7:$H$36,$O58),INDEX('حضور غبريال'!$H$7:$H$36,$O58),INDEX('حضور رفائيل'!$H$7:$H$36,$O58),INDEX('حضور ميخائيل'!$H$7:$H$36,$O58)),""))</f>
        <v/>
      </c>
      <c r="U58" s="36" t="str">
        <f>IF($O58="","",IFERROR(CHOOSE(MATCH($F58,الإعدادات!$B$4:$B$7,0),INDEX('حضور سوريال'!$I$7:$I$36,$O58),INDEX('حضور غبريال'!$I$7:$I$36,$O58),INDEX('حضور رفائيل'!$I$7:$I$36,$O58),INDEX('حضور ميخائيل'!$I$7:$I$36,$O58)),""))</f>
        <v/>
      </c>
      <c r="V58" t="str">
        <f>IF($O58="","",IFERROR(CHOOSE(MATCH($F58,الإعدادات!$B$4:$B$7,0),INDEX('حضور سوريال'!$BM$7:$BM$36,$O58),INDEX('حضور غبريال'!$BM$7:$BM$36,$O58),INDEX('حضور رفائيل'!$BM$7:$BM$36,$O58),INDEX('حضور ميخائيل'!$BM$7:$BM$36,$O58)),""))</f>
        <v/>
      </c>
      <c r="W58" t="str">
        <f>IF(OR(V58=3,V58=4),COUNTIFS(V$6:V58,3)+COUNTIFS(V$6:V58,4),"")</f>
        <v/>
      </c>
    </row>
    <row r="59" spans="1:23" ht="25.5" customHeight="1">
      <c r="A59" s="26" t="str">
        <f t="shared" si="0"/>
        <v/>
      </c>
      <c r="B59" s="27" t="str">
        <f t="shared" si="1"/>
        <v/>
      </c>
      <c r="C59" s="28"/>
      <c r="D59" s="29"/>
      <c r="E59" s="29"/>
      <c r="F59" s="29"/>
      <c r="G59" s="29"/>
      <c r="H59" s="30"/>
      <c r="I59" s="30"/>
      <c r="J59" s="31"/>
      <c r="K59" s="29"/>
      <c r="L59" s="31"/>
      <c r="M59" s="29"/>
      <c r="N59" s="32" t="str">
        <f t="shared" si="2"/>
        <v/>
      </c>
      <c r="O59" s="32" t="str">
        <f>IF(OR(C59="",F59=""),"",COUNTIFS(F$6:F59,F59,C$6:C59,"&lt;&gt;"))</f>
        <v/>
      </c>
      <c r="P59" s="33" t="str">
        <f>IF($O59="","",IFERROR(CHOOSE(MATCH($F59,الإعدادات!$B$4:$B$7,0),INDEX('حضور سوريال'!$C$7:$C$36,$O59),INDEX('حضور غبريال'!$C$7:$C$36,$O59),INDEX('حضور رفائيل'!$C$7:$C$36,$O59),INDEX('حضور ميخائيل'!$C$7:$C$36,$O59)),""))</f>
        <v/>
      </c>
      <c r="Q59" s="33" t="str">
        <f>IF($O59="","",IFERROR(CHOOSE(MATCH($F59,الإعدادات!$B$4:$B$7,0),INDEX('حضور سوريال'!$D$7:$D$36,$O59),INDEX('حضور غبريال'!$D$7:$D$36,$O59),INDEX('حضور رفائيل'!$D$7:$D$36,$O59),INDEX('حضور ميخائيل'!$D$7:$D$36,$O59)),""))</f>
        <v/>
      </c>
      <c r="R59" s="34" t="str">
        <f>IF($O59="","",IFERROR(CHOOSE(MATCH($F59,الإعدادات!$B$4:$B$7,0),INDEX('حضور سوريال'!$F$7:$F$36,$O59),INDEX('حضور غبريال'!$F$7:$F$36,$O59),INDEX('حضور رفائيل'!$F$7:$F$36,$O59),INDEX('حضور ميخائيل'!$F$7:$F$36,$O59)),""))</f>
        <v/>
      </c>
      <c r="S59" s="33" t="str">
        <f>IF($O59="","",IFERROR(CHOOSE(MATCH($F59,الإعدادات!$B$4:$B$7,0),INDEX('حضور سوريال'!$G$7:$G$36,$O59),INDEX('حضور غبريال'!$G$7:$G$36,$O59),INDEX('حضور رفائيل'!$G$7:$G$36,$O59),INDEX('حضور ميخائيل'!$G$7:$G$36,$O59)),""))</f>
        <v/>
      </c>
      <c r="T59" s="35" t="str">
        <f>IF($O59="","",IFERROR(CHOOSE(MATCH($F59,الإعدادات!$B$4:$B$7,0),INDEX('حضور سوريال'!$H$7:$H$36,$O59),INDEX('حضور غبريال'!$H$7:$H$36,$O59),INDEX('حضور رفائيل'!$H$7:$H$36,$O59),INDEX('حضور ميخائيل'!$H$7:$H$36,$O59)),""))</f>
        <v/>
      </c>
      <c r="U59" s="36" t="str">
        <f>IF($O59="","",IFERROR(CHOOSE(MATCH($F59,الإعدادات!$B$4:$B$7,0),INDEX('حضور سوريال'!$I$7:$I$36,$O59),INDEX('حضور غبريال'!$I$7:$I$36,$O59),INDEX('حضور رفائيل'!$I$7:$I$36,$O59),INDEX('حضور ميخائيل'!$I$7:$I$36,$O59)),""))</f>
        <v/>
      </c>
      <c r="V59" t="str">
        <f>IF($O59="","",IFERROR(CHOOSE(MATCH($F59,الإعدادات!$B$4:$B$7,0),INDEX('حضور سوريال'!$BM$7:$BM$36,$O59),INDEX('حضور غبريال'!$BM$7:$BM$36,$O59),INDEX('حضور رفائيل'!$BM$7:$BM$36,$O59),INDEX('حضور ميخائيل'!$BM$7:$BM$36,$O59)),""))</f>
        <v/>
      </c>
      <c r="W59" t="str">
        <f>IF(OR(V59=3,V59=4),COUNTIFS(V$6:V59,3)+COUNTIFS(V$6:V59,4),"")</f>
        <v/>
      </c>
    </row>
    <row r="60" spans="1:23" ht="25.5" customHeight="1">
      <c r="A60" s="26" t="str">
        <f t="shared" si="0"/>
        <v/>
      </c>
      <c r="B60" s="27" t="str">
        <f t="shared" si="1"/>
        <v/>
      </c>
      <c r="C60" s="28"/>
      <c r="D60" s="29"/>
      <c r="E60" s="29"/>
      <c r="F60" s="29"/>
      <c r="G60" s="29"/>
      <c r="H60" s="30"/>
      <c r="I60" s="30"/>
      <c r="J60" s="31"/>
      <c r="K60" s="29"/>
      <c r="L60" s="31"/>
      <c r="M60" s="29"/>
      <c r="N60" s="32" t="str">
        <f t="shared" si="2"/>
        <v/>
      </c>
      <c r="O60" s="32" t="str">
        <f>IF(OR(C60="",F60=""),"",COUNTIFS(F$6:F60,F60,C$6:C60,"&lt;&gt;"))</f>
        <v/>
      </c>
      <c r="P60" s="33" t="str">
        <f>IF($O60="","",IFERROR(CHOOSE(MATCH($F60,الإعدادات!$B$4:$B$7,0),INDEX('حضور سوريال'!$C$7:$C$36,$O60),INDEX('حضور غبريال'!$C$7:$C$36,$O60),INDEX('حضور رفائيل'!$C$7:$C$36,$O60),INDEX('حضور ميخائيل'!$C$7:$C$36,$O60)),""))</f>
        <v/>
      </c>
      <c r="Q60" s="33" t="str">
        <f>IF($O60="","",IFERROR(CHOOSE(MATCH($F60,الإعدادات!$B$4:$B$7,0),INDEX('حضور سوريال'!$D$7:$D$36,$O60),INDEX('حضور غبريال'!$D$7:$D$36,$O60),INDEX('حضور رفائيل'!$D$7:$D$36,$O60),INDEX('حضور ميخائيل'!$D$7:$D$36,$O60)),""))</f>
        <v/>
      </c>
      <c r="R60" s="34" t="str">
        <f>IF($O60="","",IFERROR(CHOOSE(MATCH($F60,الإعدادات!$B$4:$B$7,0),INDEX('حضور سوريال'!$F$7:$F$36,$O60),INDEX('حضور غبريال'!$F$7:$F$36,$O60),INDEX('حضور رفائيل'!$F$7:$F$36,$O60),INDEX('حضور ميخائيل'!$F$7:$F$36,$O60)),""))</f>
        <v/>
      </c>
      <c r="S60" s="33" t="str">
        <f>IF($O60="","",IFERROR(CHOOSE(MATCH($F60,الإعدادات!$B$4:$B$7,0),INDEX('حضور سوريال'!$G$7:$G$36,$O60),INDEX('حضور غبريال'!$G$7:$G$36,$O60),INDEX('حضور رفائيل'!$G$7:$G$36,$O60),INDEX('حضور ميخائيل'!$G$7:$G$36,$O60)),""))</f>
        <v/>
      </c>
      <c r="T60" s="35" t="str">
        <f>IF($O60="","",IFERROR(CHOOSE(MATCH($F60,الإعدادات!$B$4:$B$7,0),INDEX('حضور سوريال'!$H$7:$H$36,$O60),INDEX('حضور غبريال'!$H$7:$H$36,$O60),INDEX('حضور رفائيل'!$H$7:$H$36,$O60),INDEX('حضور ميخائيل'!$H$7:$H$36,$O60)),""))</f>
        <v/>
      </c>
      <c r="U60" s="36" t="str">
        <f>IF($O60="","",IFERROR(CHOOSE(MATCH($F60,الإعدادات!$B$4:$B$7,0),INDEX('حضور سوريال'!$I$7:$I$36,$O60),INDEX('حضور غبريال'!$I$7:$I$36,$O60),INDEX('حضور رفائيل'!$I$7:$I$36,$O60),INDEX('حضور ميخائيل'!$I$7:$I$36,$O60)),""))</f>
        <v/>
      </c>
      <c r="V60" t="str">
        <f>IF($O60="","",IFERROR(CHOOSE(MATCH($F60,الإعدادات!$B$4:$B$7,0),INDEX('حضور سوريال'!$BM$7:$BM$36,$O60),INDEX('حضور غبريال'!$BM$7:$BM$36,$O60),INDEX('حضور رفائيل'!$BM$7:$BM$36,$O60),INDEX('حضور ميخائيل'!$BM$7:$BM$36,$O60)),""))</f>
        <v/>
      </c>
      <c r="W60" t="str">
        <f>IF(OR(V60=3,V60=4),COUNTIFS(V$6:V60,3)+COUNTIFS(V$6:V60,4),"")</f>
        <v/>
      </c>
    </row>
    <row r="61" spans="1:23" ht="25.5" customHeight="1">
      <c r="A61" s="26" t="str">
        <f t="shared" si="0"/>
        <v/>
      </c>
      <c r="B61" s="27" t="str">
        <f t="shared" si="1"/>
        <v/>
      </c>
      <c r="C61" s="28"/>
      <c r="D61" s="29"/>
      <c r="E61" s="29"/>
      <c r="F61" s="29"/>
      <c r="G61" s="29"/>
      <c r="H61" s="30"/>
      <c r="I61" s="30"/>
      <c r="J61" s="31"/>
      <c r="K61" s="29"/>
      <c r="L61" s="31"/>
      <c r="M61" s="29"/>
      <c r="N61" s="32" t="str">
        <f t="shared" si="2"/>
        <v/>
      </c>
      <c r="O61" s="32" t="str">
        <f>IF(OR(C61="",F61=""),"",COUNTIFS(F$6:F61,F61,C$6:C61,"&lt;&gt;"))</f>
        <v/>
      </c>
      <c r="P61" s="33" t="str">
        <f>IF($O61="","",IFERROR(CHOOSE(MATCH($F61,الإعدادات!$B$4:$B$7,0),INDEX('حضور سوريال'!$C$7:$C$36,$O61),INDEX('حضور غبريال'!$C$7:$C$36,$O61),INDEX('حضور رفائيل'!$C$7:$C$36,$O61),INDEX('حضور ميخائيل'!$C$7:$C$36,$O61)),""))</f>
        <v/>
      </c>
      <c r="Q61" s="33" t="str">
        <f>IF($O61="","",IFERROR(CHOOSE(MATCH($F61,الإعدادات!$B$4:$B$7,0),INDEX('حضور سوريال'!$D$7:$D$36,$O61),INDEX('حضور غبريال'!$D$7:$D$36,$O61),INDEX('حضور رفائيل'!$D$7:$D$36,$O61),INDEX('حضور ميخائيل'!$D$7:$D$36,$O61)),""))</f>
        <v/>
      </c>
      <c r="R61" s="34" t="str">
        <f>IF($O61="","",IFERROR(CHOOSE(MATCH($F61,الإعدادات!$B$4:$B$7,0),INDEX('حضور سوريال'!$F$7:$F$36,$O61),INDEX('حضور غبريال'!$F$7:$F$36,$O61),INDEX('حضور رفائيل'!$F$7:$F$36,$O61),INDEX('حضور ميخائيل'!$F$7:$F$36,$O61)),""))</f>
        <v/>
      </c>
      <c r="S61" s="33" t="str">
        <f>IF($O61="","",IFERROR(CHOOSE(MATCH($F61,الإعدادات!$B$4:$B$7,0),INDEX('حضور سوريال'!$G$7:$G$36,$O61),INDEX('حضور غبريال'!$G$7:$G$36,$O61),INDEX('حضور رفائيل'!$G$7:$G$36,$O61),INDEX('حضور ميخائيل'!$G$7:$G$36,$O61)),""))</f>
        <v/>
      </c>
      <c r="T61" s="35" t="str">
        <f>IF($O61="","",IFERROR(CHOOSE(MATCH($F61,الإعدادات!$B$4:$B$7,0),INDEX('حضور سوريال'!$H$7:$H$36,$O61),INDEX('حضور غبريال'!$H$7:$H$36,$O61),INDEX('حضور رفائيل'!$H$7:$H$36,$O61),INDEX('حضور ميخائيل'!$H$7:$H$36,$O61)),""))</f>
        <v/>
      </c>
      <c r="U61" s="36" t="str">
        <f>IF($O61="","",IFERROR(CHOOSE(MATCH($F61,الإعدادات!$B$4:$B$7,0),INDEX('حضور سوريال'!$I$7:$I$36,$O61),INDEX('حضور غبريال'!$I$7:$I$36,$O61),INDEX('حضور رفائيل'!$I$7:$I$36,$O61),INDEX('حضور ميخائيل'!$I$7:$I$36,$O61)),""))</f>
        <v/>
      </c>
      <c r="V61" t="str">
        <f>IF($O61="","",IFERROR(CHOOSE(MATCH($F61,الإعدادات!$B$4:$B$7,0),INDEX('حضور سوريال'!$BM$7:$BM$36,$O61),INDEX('حضور غبريال'!$BM$7:$BM$36,$O61),INDEX('حضور رفائيل'!$BM$7:$BM$36,$O61),INDEX('حضور ميخائيل'!$BM$7:$BM$36,$O61)),""))</f>
        <v/>
      </c>
      <c r="W61" t="str">
        <f>IF(OR(V61=3,V61=4),COUNTIFS(V$6:V61,3)+COUNTIFS(V$6:V61,4),"")</f>
        <v/>
      </c>
    </row>
    <row r="62" spans="1:23" ht="25.5" customHeight="1">
      <c r="A62" s="26" t="str">
        <f t="shared" si="0"/>
        <v/>
      </c>
      <c r="B62" s="27" t="str">
        <f t="shared" si="1"/>
        <v/>
      </c>
      <c r="C62" s="28"/>
      <c r="D62" s="29"/>
      <c r="E62" s="29"/>
      <c r="F62" s="29"/>
      <c r="G62" s="29"/>
      <c r="H62" s="30"/>
      <c r="I62" s="30"/>
      <c r="J62" s="31"/>
      <c r="K62" s="29"/>
      <c r="L62" s="31"/>
      <c r="M62" s="29"/>
      <c r="N62" s="32" t="str">
        <f t="shared" si="2"/>
        <v/>
      </c>
      <c r="O62" s="32" t="str">
        <f>IF(OR(C62="",F62=""),"",COUNTIFS(F$6:F62,F62,C$6:C62,"&lt;&gt;"))</f>
        <v/>
      </c>
      <c r="P62" s="33" t="str">
        <f>IF($O62="","",IFERROR(CHOOSE(MATCH($F62,الإعدادات!$B$4:$B$7,0),INDEX('حضور سوريال'!$C$7:$C$36,$O62),INDEX('حضور غبريال'!$C$7:$C$36,$O62),INDEX('حضور رفائيل'!$C$7:$C$36,$O62),INDEX('حضور ميخائيل'!$C$7:$C$36,$O62)),""))</f>
        <v/>
      </c>
      <c r="Q62" s="33" t="str">
        <f>IF($O62="","",IFERROR(CHOOSE(MATCH($F62,الإعدادات!$B$4:$B$7,0),INDEX('حضور سوريال'!$D$7:$D$36,$O62),INDEX('حضور غبريال'!$D$7:$D$36,$O62),INDEX('حضور رفائيل'!$D$7:$D$36,$O62),INDEX('حضور ميخائيل'!$D$7:$D$36,$O62)),""))</f>
        <v/>
      </c>
      <c r="R62" s="34" t="str">
        <f>IF($O62="","",IFERROR(CHOOSE(MATCH($F62,الإعدادات!$B$4:$B$7,0),INDEX('حضور سوريال'!$F$7:$F$36,$O62),INDEX('حضور غبريال'!$F$7:$F$36,$O62),INDEX('حضور رفائيل'!$F$7:$F$36,$O62),INDEX('حضور ميخائيل'!$F$7:$F$36,$O62)),""))</f>
        <v/>
      </c>
      <c r="S62" s="33" t="str">
        <f>IF($O62="","",IFERROR(CHOOSE(MATCH($F62,الإعدادات!$B$4:$B$7,0),INDEX('حضور سوريال'!$G$7:$G$36,$O62),INDEX('حضور غبريال'!$G$7:$G$36,$O62),INDEX('حضور رفائيل'!$G$7:$G$36,$O62),INDEX('حضور ميخائيل'!$G$7:$G$36,$O62)),""))</f>
        <v/>
      </c>
      <c r="T62" s="35" t="str">
        <f>IF($O62="","",IFERROR(CHOOSE(MATCH($F62,الإعدادات!$B$4:$B$7,0),INDEX('حضور سوريال'!$H$7:$H$36,$O62),INDEX('حضور غبريال'!$H$7:$H$36,$O62),INDEX('حضور رفائيل'!$H$7:$H$36,$O62),INDEX('حضور ميخائيل'!$H$7:$H$36,$O62)),""))</f>
        <v/>
      </c>
      <c r="U62" s="36" t="str">
        <f>IF($O62="","",IFERROR(CHOOSE(MATCH($F62,الإعدادات!$B$4:$B$7,0),INDEX('حضور سوريال'!$I$7:$I$36,$O62),INDEX('حضور غبريال'!$I$7:$I$36,$O62),INDEX('حضور رفائيل'!$I$7:$I$36,$O62),INDEX('حضور ميخائيل'!$I$7:$I$36,$O62)),""))</f>
        <v/>
      </c>
      <c r="V62" t="str">
        <f>IF($O62="","",IFERROR(CHOOSE(MATCH($F62,الإعدادات!$B$4:$B$7,0),INDEX('حضور سوريال'!$BM$7:$BM$36,$O62),INDEX('حضور غبريال'!$BM$7:$BM$36,$O62),INDEX('حضور رفائيل'!$BM$7:$BM$36,$O62),INDEX('حضور ميخائيل'!$BM$7:$BM$36,$O62)),""))</f>
        <v/>
      </c>
      <c r="W62" t="str">
        <f>IF(OR(V62=3,V62=4),COUNTIFS(V$6:V62,3)+COUNTIFS(V$6:V62,4),"")</f>
        <v/>
      </c>
    </row>
    <row r="63" spans="1:23" ht="25.5" customHeight="1">
      <c r="A63" s="26" t="str">
        <f t="shared" si="0"/>
        <v/>
      </c>
      <c r="B63" s="27" t="str">
        <f t="shared" si="1"/>
        <v/>
      </c>
      <c r="C63" s="28"/>
      <c r="D63" s="29"/>
      <c r="E63" s="29"/>
      <c r="F63" s="29"/>
      <c r="G63" s="29"/>
      <c r="H63" s="30"/>
      <c r="I63" s="30"/>
      <c r="J63" s="31"/>
      <c r="K63" s="29"/>
      <c r="L63" s="31"/>
      <c r="M63" s="29"/>
      <c r="N63" s="32" t="str">
        <f t="shared" si="2"/>
        <v/>
      </c>
      <c r="O63" s="32" t="str">
        <f>IF(OR(C63="",F63=""),"",COUNTIFS(F$6:F63,F63,C$6:C63,"&lt;&gt;"))</f>
        <v/>
      </c>
      <c r="P63" s="33" t="str">
        <f>IF($O63="","",IFERROR(CHOOSE(MATCH($F63,الإعدادات!$B$4:$B$7,0),INDEX('حضور سوريال'!$C$7:$C$36,$O63),INDEX('حضور غبريال'!$C$7:$C$36,$O63),INDEX('حضور رفائيل'!$C$7:$C$36,$O63),INDEX('حضور ميخائيل'!$C$7:$C$36,$O63)),""))</f>
        <v/>
      </c>
      <c r="Q63" s="33" t="str">
        <f>IF($O63="","",IFERROR(CHOOSE(MATCH($F63,الإعدادات!$B$4:$B$7,0),INDEX('حضور سوريال'!$D$7:$D$36,$O63),INDEX('حضور غبريال'!$D$7:$D$36,$O63),INDEX('حضور رفائيل'!$D$7:$D$36,$O63),INDEX('حضور ميخائيل'!$D$7:$D$36,$O63)),""))</f>
        <v/>
      </c>
      <c r="R63" s="34" t="str">
        <f>IF($O63="","",IFERROR(CHOOSE(MATCH($F63,الإعدادات!$B$4:$B$7,0),INDEX('حضور سوريال'!$F$7:$F$36,$O63),INDEX('حضور غبريال'!$F$7:$F$36,$O63),INDEX('حضور رفائيل'!$F$7:$F$36,$O63),INDEX('حضور ميخائيل'!$F$7:$F$36,$O63)),""))</f>
        <v/>
      </c>
      <c r="S63" s="33" t="str">
        <f>IF($O63="","",IFERROR(CHOOSE(MATCH($F63,الإعدادات!$B$4:$B$7,0),INDEX('حضور سوريال'!$G$7:$G$36,$O63),INDEX('حضور غبريال'!$G$7:$G$36,$O63),INDEX('حضور رفائيل'!$G$7:$G$36,$O63),INDEX('حضور ميخائيل'!$G$7:$G$36,$O63)),""))</f>
        <v/>
      </c>
      <c r="T63" s="35" t="str">
        <f>IF($O63="","",IFERROR(CHOOSE(MATCH($F63,الإعدادات!$B$4:$B$7,0),INDEX('حضور سوريال'!$H$7:$H$36,$O63),INDEX('حضور غبريال'!$H$7:$H$36,$O63),INDEX('حضور رفائيل'!$H$7:$H$36,$O63),INDEX('حضور ميخائيل'!$H$7:$H$36,$O63)),""))</f>
        <v/>
      </c>
      <c r="U63" s="36" t="str">
        <f>IF($O63="","",IFERROR(CHOOSE(MATCH($F63,الإعدادات!$B$4:$B$7,0),INDEX('حضور سوريال'!$I$7:$I$36,$O63),INDEX('حضور غبريال'!$I$7:$I$36,$O63),INDEX('حضور رفائيل'!$I$7:$I$36,$O63),INDEX('حضور ميخائيل'!$I$7:$I$36,$O63)),""))</f>
        <v/>
      </c>
      <c r="V63" t="str">
        <f>IF($O63="","",IFERROR(CHOOSE(MATCH($F63,الإعدادات!$B$4:$B$7,0),INDEX('حضور سوريال'!$BM$7:$BM$36,$O63),INDEX('حضور غبريال'!$BM$7:$BM$36,$O63),INDEX('حضور رفائيل'!$BM$7:$BM$36,$O63),INDEX('حضور ميخائيل'!$BM$7:$BM$36,$O63)),""))</f>
        <v/>
      </c>
      <c r="W63" t="str">
        <f>IF(OR(V63=3,V63=4),COUNTIFS(V$6:V63,3)+COUNTIFS(V$6:V63,4),"")</f>
        <v/>
      </c>
    </row>
    <row r="64" spans="1:23" ht="25.5" customHeight="1">
      <c r="A64" s="26" t="str">
        <f t="shared" si="0"/>
        <v/>
      </c>
      <c r="B64" s="27" t="str">
        <f t="shared" si="1"/>
        <v/>
      </c>
      <c r="C64" s="28"/>
      <c r="D64" s="29"/>
      <c r="E64" s="29"/>
      <c r="F64" s="29"/>
      <c r="G64" s="29"/>
      <c r="H64" s="30"/>
      <c r="I64" s="30"/>
      <c r="J64" s="31"/>
      <c r="K64" s="29"/>
      <c r="L64" s="31"/>
      <c r="M64" s="29"/>
      <c r="N64" s="32" t="str">
        <f t="shared" si="2"/>
        <v/>
      </c>
      <c r="O64" s="32" t="str">
        <f>IF(OR(C64="",F64=""),"",COUNTIFS(F$6:F64,F64,C$6:C64,"&lt;&gt;"))</f>
        <v/>
      </c>
      <c r="P64" s="33" t="str">
        <f>IF($O64="","",IFERROR(CHOOSE(MATCH($F64,الإعدادات!$B$4:$B$7,0),INDEX('حضور سوريال'!$C$7:$C$36,$O64),INDEX('حضور غبريال'!$C$7:$C$36,$O64),INDEX('حضور رفائيل'!$C$7:$C$36,$O64),INDEX('حضور ميخائيل'!$C$7:$C$36,$O64)),""))</f>
        <v/>
      </c>
      <c r="Q64" s="33" t="str">
        <f>IF($O64="","",IFERROR(CHOOSE(MATCH($F64,الإعدادات!$B$4:$B$7,0),INDEX('حضور سوريال'!$D$7:$D$36,$O64),INDEX('حضور غبريال'!$D$7:$D$36,$O64),INDEX('حضور رفائيل'!$D$7:$D$36,$O64),INDEX('حضور ميخائيل'!$D$7:$D$36,$O64)),""))</f>
        <v/>
      </c>
      <c r="R64" s="34" t="str">
        <f>IF($O64="","",IFERROR(CHOOSE(MATCH($F64,الإعدادات!$B$4:$B$7,0),INDEX('حضور سوريال'!$F$7:$F$36,$O64),INDEX('حضور غبريال'!$F$7:$F$36,$O64),INDEX('حضور رفائيل'!$F$7:$F$36,$O64),INDEX('حضور ميخائيل'!$F$7:$F$36,$O64)),""))</f>
        <v/>
      </c>
      <c r="S64" s="33" t="str">
        <f>IF($O64="","",IFERROR(CHOOSE(MATCH($F64,الإعدادات!$B$4:$B$7,0),INDEX('حضور سوريال'!$G$7:$G$36,$O64),INDEX('حضور غبريال'!$G$7:$G$36,$O64),INDEX('حضور رفائيل'!$G$7:$G$36,$O64),INDEX('حضور ميخائيل'!$G$7:$G$36,$O64)),""))</f>
        <v/>
      </c>
      <c r="T64" s="35" t="str">
        <f>IF($O64="","",IFERROR(CHOOSE(MATCH($F64,الإعدادات!$B$4:$B$7,0),INDEX('حضور سوريال'!$H$7:$H$36,$O64),INDEX('حضور غبريال'!$H$7:$H$36,$O64),INDEX('حضور رفائيل'!$H$7:$H$36,$O64),INDEX('حضور ميخائيل'!$H$7:$H$36,$O64)),""))</f>
        <v/>
      </c>
      <c r="U64" s="36" t="str">
        <f>IF($O64="","",IFERROR(CHOOSE(MATCH($F64,الإعدادات!$B$4:$B$7,0),INDEX('حضور سوريال'!$I$7:$I$36,$O64),INDEX('حضور غبريال'!$I$7:$I$36,$O64),INDEX('حضور رفائيل'!$I$7:$I$36,$O64),INDEX('حضور ميخائيل'!$I$7:$I$36,$O64)),""))</f>
        <v/>
      </c>
      <c r="V64" t="str">
        <f>IF($O64="","",IFERROR(CHOOSE(MATCH($F64,الإعدادات!$B$4:$B$7,0),INDEX('حضور سوريال'!$BM$7:$BM$36,$O64),INDEX('حضور غبريال'!$BM$7:$BM$36,$O64),INDEX('حضور رفائيل'!$BM$7:$BM$36,$O64),INDEX('حضور ميخائيل'!$BM$7:$BM$36,$O64)),""))</f>
        <v/>
      </c>
      <c r="W64" t="str">
        <f>IF(OR(V64=3,V64=4),COUNTIFS(V$6:V64,3)+COUNTIFS(V$6:V64,4),"")</f>
        <v/>
      </c>
    </row>
    <row r="65" spans="1:23" ht="25.5" customHeight="1">
      <c r="A65" s="26" t="str">
        <f t="shared" si="0"/>
        <v/>
      </c>
      <c r="B65" s="27" t="str">
        <f t="shared" si="1"/>
        <v/>
      </c>
      <c r="C65" s="28"/>
      <c r="D65" s="29"/>
      <c r="E65" s="29"/>
      <c r="F65" s="29"/>
      <c r="G65" s="29"/>
      <c r="H65" s="30"/>
      <c r="I65" s="30"/>
      <c r="J65" s="31"/>
      <c r="K65" s="29"/>
      <c r="L65" s="31"/>
      <c r="M65" s="29"/>
      <c r="N65" s="32" t="str">
        <f t="shared" si="2"/>
        <v/>
      </c>
      <c r="O65" s="32" t="str">
        <f>IF(OR(C65="",F65=""),"",COUNTIFS(F$6:F65,F65,C$6:C65,"&lt;&gt;"))</f>
        <v/>
      </c>
      <c r="P65" s="33" t="str">
        <f>IF($O65="","",IFERROR(CHOOSE(MATCH($F65,الإعدادات!$B$4:$B$7,0),INDEX('حضور سوريال'!$C$7:$C$36,$O65),INDEX('حضور غبريال'!$C$7:$C$36,$O65),INDEX('حضور رفائيل'!$C$7:$C$36,$O65),INDEX('حضور ميخائيل'!$C$7:$C$36,$O65)),""))</f>
        <v/>
      </c>
      <c r="Q65" s="33" t="str">
        <f>IF($O65="","",IFERROR(CHOOSE(MATCH($F65,الإعدادات!$B$4:$B$7,0),INDEX('حضور سوريال'!$D$7:$D$36,$O65),INDEX('حضور غبريال'!$D$7:$D$36,$O65),INDEX('حضور رفائيل'!$D$7:$D$36,$O65),INDEX('حضور ميخائيل'!$D$7:$D$36,$O65)),""))</f>
        <v/>
      </c>
      <c r="R65" s="34" t="str">
        <f>IF($O65="","",IFERROR(CHOOSE(MATCH($F65,الإعدادات!$B$4:$B$7,0),INDEX('حضور سوريال'!$F$7:$F$36,$O65),INDEX('حضور غبريال'!$F$7:$F$36,$O65),INDEX('حضور رفائيل'!$F$7:$F$36,$O65),INDEX('حضور ميخائيل'!$F$7:$F$36,$O65)),""))</f>
        <v/>
      </c>
      <c r="S65" s="33" t="str">
        <f>IF($O65="","",IFERROR(CHOOSE(MATCH($F65,الإعدادات!$B$4:$B$7,0),INDEX('حضور سوريال'!$G$7:$G$36,$O65),INDEX('حضور غبريال'!$G$7:$G$36,$O65),INDEX('حضور رفائيل'!$G$7:$G$36,$O65),INDEX('حضور ميخائيل'!$G$7:$G$36,$O65)),""))</f>
        <v/>
      </c>
      <c r="T65" s="35" t="str">
        <f>IF($O65="","",IFERROR(CHOOSE(MATCH($F65,الإعدادات!$B$4:$B$7,0),INDEX('حضور سوريال'!$H$7:$H$36,$O65),INDEX('حضور غبريال'!$H$7:$H$36,$O65),INDEX('حضور رفائيل'!$H$7:$H$36,$O65),INDEX('حضور ميخائيل'!$H$7:$H$36,$O65)),""))</f>
        <v/>
      </c>
      <c r="U65" s="36" t="str">
        <f>IF($O65="","",IFERROR(CHOOSE(MATCH($F65,الإعدادات!$B$4:$B$7,0),INDEX('حضور سوريال'!$I$7:$I$36,$O65),INDEX('حضور غبريال'!$I$7:$I$36,$O65),INDEX('حضور رفائيل'!$I$7:$I$36,$O65),INDEX('حضور ميخائيل'!$I$7:$I$36,$O65)),""))</f>
        <v/>
      </c>
      <c r="V65" t="str">
        <f>IF($O65="","",IFERROR(CHOOSE(MATCH($F65,الإعدادات!$B$4:$B$7,0),INDEX('حضور سوريال'!$BM$7:$BM$36,$O65),INDEX('حضور غبريال'!$BM$7:$BM$36,$O65),INDEX('حضور رفائيل'!$BM$7:$BM$36,$O65),INDEX('حضور ميخائيل'!$BM$7:$BM$36,$O65)),""))</f>
        <v/>
      </c>
      <c r="W65" t="str">
        <f>IF(OR(V65=3,V65=4),COUNTIFS(V$6:V65,3)+COUNTIFS(V$6:V65,4),"")</f>
        <v/>
      </c>
    </row>
    <row r="66" spans="1:23" ht="25.5" customHeight="1">
      <c r="A66" s="26" t="str">
        <f t="shared" si="0"/>
        <v/>
      </c>
      <c r="B66" s="27" t="str">
        <f t="shared" si="1"/>
        <v/>
      </c>
      <c r="C66" s="28"/>
      <c r="D66" s="29"/>
      <c r="E66" s="29"/>
      <c r="F66" s="29"/>
      <c r="G66" s="29"/>
      <c r="H66" s="30"/>
      <c r="I66" s="30"/>
      <c r="J66" s="31"/>
      <c r="K66" s="29"/>
      <c r="L66" s="31"/>
      <c r="M66" s="29"/>
      <c r="N66" s="32" t="str">
        <f t="shared" si="2"/>
        <v/>
      </c>
      <c r="O66" s="32" t="str">
        <f>IF(OR(C66="",F66=""),"",COUNTIFS(F$6:F66,F66,C$6:C66,"&lt;&gt;"))</f>
        <v/>
      </c>
      <c r="P66" s="33" t="str">
        <f>IF($O66="","",IFERROR(CHOOSE(MATCH($F66,الإعدادات!$B$4:$B$7,0),INDEX('حضور سوريال'!$C$7:$C$36,$O66),INDEX('حضور غبريال'!$C$7:$C$36,$O66),INDEX('حضور رفائيل'!$C$7:$C$36,$O66),INDEX('حضور ميخائيل'!$C$7:$C$36,$O66)),""))</f>
        <v/>
      </c>
      <c r="Q66" s="33" t="str">
        <f>IF($O66="","",IFERROR(CHOOSE(MATCH($F66,الإعدادات!$B$4:$B$7,0),INDEX('حضور سوريال'!$D$7:$D$36,$O66),INDEX('حضور غبريال'!$D$7:$D$36,$O66),INDEX('حضور رفائيل'!$D$7:$D$36,$O66),INDEX('حضور ميخائيل'!$D$7:$D$36,$O66)),""))</f>
        <v/>
      </c>
      <c r="R66" s="34" t="str">
        <f>IF($O66="","",IFERROR(CHOOSE(MATCH($F66,الإعدادات!$B$4:$B$7,0),INDEX('حضور سوريال'!$F$7:$F$36,$O66),INDEX('حضور غبريال'!$F$7:$F$36,$O66),INDEX('حضور رفائيل'!$F$7:$F$36,$O66),INDEX('حضور ميخائيل'!$F$7:$F$36,$O66)),""))</f>
        <v/>
      </c>
      <c r="S66" s="33" t="str">
        <f>IF($O66="","",IFERROR(CHOOSE(MATCH($F66,الإعدادات!$B$4:$B$7,0),INDEX('حضور سوريال'!$G$7:$G$36,$O66),INDEX('حضور غبريال'!$G$7:$G$36,$O66),INDEX('حضور رفائيل'!$G$7:$G$36,$O66),INDEX('حضور ميخائيل'!$G$7:$G$36,$O66)),""))</f>
        <v/>
      </c>
      <c r="T66" s="35" t="str">
        <f>IF($O66="","",IFERROR(CHOOSE(MATCH($F66,الإعدادات!$B$4:$B$7,0),INDEX('حضور سوريال'!$H$7:$H$36,$O66),INDEX('حضور غبريال'!$H$7:$H$36,$O66),INDEX('حضور رفائيل'!$H$7:$H$36,$O66),INDEX('حضور ميخائيل'!$H$7:$H$36,$O66)),""))</f>
        <v/>
      </c>
      <c r="U66" s="36" t="str">
        <f>IF($O66="","",IFERROR(CHOOSE(MATCH($F66,الإعدادات!$B$4:$B$7,0),INDEX('حضور سوريال'!$I$7:$I$36,$O66),INDEX('حضور غبريال'!$I$7:$I$36,$O66),INDEX('حضور رفائيل'!$I$7:$I$36,$O66),INDEX('حضور ميخائيل'!$I$7:$I$36,$O66)),""))</f>
        <v/>
      </c>
      <c r="V66" t="str">
        <f>IF($O66="","",IFERROR(CHOOSE(MATCH($F66,الإعدادات!$B$4:$B$7,0),INDEX('حضور سوريال'!$BM$7:$BM$36,$O66),INDEX('حضور غبريال'!$BM$7:$BM$36,$O66),INDEX('حضور رفائيل'!$BM$7:$BM$36,$O66),INDEX('حضور ميخائيل'!$BM$7:$BM$36,$O66)),""))</f>
        <v/>
      </c>
      <c r="W66" t="str">
        <f>IF(OR(V66=3,V66=4),COUNTIFS(V$6:V66,3)+COUNTIFS(V$6:V66,4),"")</f>
        <v/>
      </c>
    </row>
    <row r="67" spans="1:23" ht="25.5" customHeight="1">
      <c r="A67" s="26" t="str">
        <f t="shared" si="0"/>
        <v/>
      </c>
      <c r="B67" s="27" t="str">
        <f t="shared" si="1"/>
        <v/>
      </c>
      <c r="C67" s="28"/>
      <c r="D67" s="29"/>
      <c r="E67" s="29"/>
      <c r="F67" s="29"/>
      <c r="G67" s="29"/>
      <c r="H67" s="30"/>
      <c r="I67" s="30"/>
      <c r="J67" s="31"/>
      <c r="K67" s="29"/>
      <c r="L67" s="31"/>
      <c r="M67" s="29"/>
      <c r="N67" s="32" t="str">
        <f t="shared" si="2"/>
        <v/>
      </c>
      <c r="O67" s="32" t="str">
        <f>IF(OR(C67="",F67=""),"",COUNTIFS(F$6:F67,F67,C$6:C67,"&lt;&gt;"))</f>
        <v/>
      </c>
      <c r="P67" s="33" t="str">
        <f>IF($O67="","",IFERROR(CHOOSE(MATCH($F67,الإعدادات!$B$4:$B$7,0),INDEX('حضور سوريال'!$C$7:$C$36,$O67),INDEX('حضور غبريال'!$C$7:$C$36,$O67),INDEX('حضور رفائيل'!$C$7:$C$36,$O67),INDEX('حضور ميخائيل'!$C$7:$C$36,$O67)),""))</f>
        <v/>
      </c>
      <c r="Q67" s="33" t="str">
        <f>IF($O67="","",IFERROR(CHOOSE(MATCH($F67,الإعدادات!$B$4:$B$7,0),INDEX('حضور سوريال'!$D$7:$D$36,$O67),INDEX('حضور غبريال'!$D$7:$D$36,$O67),INDEX('حضور رفائيل'!$D$7:$D$36,$O67),INDEX('حضور ميخائيل'!$D$7:$D$36,$O67)),""))</f>
        <v/>
      </c>
      <c r="R67" s="34" t="str">
        <f>IF($O67="","",IFERROR(CHOOSE(MATCH($F67,الإعدادات!$B$4:$B$7,0),INDEX('حضور سوريال'!$F$7:$F$36,$O67),INDEX('حضور غبريال'!$F$7:$F$36,$O67),INDEX('حضور رفائيل'!$F$7:$F$36,$O67),INDEX('حضور ميخائيل'!$F$7:$F$36,$O67)),""))</f>
        <v/>
      </c>
      <c r="S67" s="33" t="str">
        <f>IF($O67="","",IFERROR(CHOOSE(MATCH($F67,الإعدادات!$B$4:$B$7,0),INDEX('حضور سوريال'!$G$7:$G$36,$O67),INDEX('حضور غبريال'!$G$7:$G$36,$O67),INDEX('حضور رفائيل'!$G$7:$G$36,$O67),INDEX('حضور ميخائيل'!$G$7:$G$36,$O67)),""))</f>
        <v/>
      </c>
      <c r="T67" s="35" t="str">
        <f>IF($O67="","",IFERROR(CHOOSE(MATCH($F67,الإعدادات!$B$4:$B$7,0),INDEX('حضور سوريال'!$H$7:$H$36,$O67),INDEX('حضور غبريال'!$H$7:$H$36,$O67),INDEX('حضور رفائيل'!$H$7:$H$36,$O67),INDEX('حضور ميخائيل'!$H$7:$H$36,$O67)),""))</f>
        <v/>
      </c>
      <c r="U67" s="36" t="str">
        <f>IF($O67="","",IFERROR(CHOOSE(MATCH($F67,الإعدادات!$B$4:$B$7,0),INDEX('حضور سوريال'!$I$7:$I$36,$O67),INDEX('حضور غبريال'!$I$7:$I$36,$O67),INDEX('حضور رفائيل'!$I$7:$I$36,$O67),INDEX('حضور ميخائيل'!$I$7:$I$36,$O67)),""))</f>
        <v/>
      </c>
      <c r="V67" t="str">
        <f>IF($O67="","",IFERROR(CHOOSE(MATCH($F67,الإعدادات!$B$4:$B$7,0),INDEX('حضور سوريال'!$BM$7:$BM$36,$O67),INDEX('حضور غبريال'!$BM$7:$BM$36,$O67),INDEX('حضور رفائيل'!$BM$7:$BM$36,$O67),INDEX('حضور ميخائيل'!$BM$7:$BM$36,$O67)),""))</f>
        <v/>
      </c>
      <c r="W67" t="str">
        <f>IF(OR(V67=3,V67=4),COUNTIFS(V$6:V67,3)+COUNTIFS(V$6:V67,4),"")</f>
        <v/>
      </c>
    </row>
    <row r="68" spans="1:23" ht="25.5" customHeight="1">
      <c r="A68" s="26" t="str">
        <f t="shared" si="0"/>
        <v/>
      </c>
      <c r="B68" s="27" t="str">
        <f t="shared" si="1"/>
        <v/>
      </c>
      <c r="C68" s="28"/>
      <c r="D68" s="29"/>
      <c r="E68" s="29"/>
      <c r="F68" s="29"/>
      <c r="G68" s="29"/>
      <c r="H68" s="30"/>
      <c r="I68" s="30"/>
      <c r="J68" s="31"/>
      <c r="K68" s="29"/>
      <c r="L68" s="31"/>
      <c r="M68" s="29"/>
      <c r="N68" s="32" t="str">
        <f t="shared" si="2"/>
        <v/>
      </c>
      <c r="O68" s="32" t="str">
        <f>IF(OR(C68="",F68=""),"",COUNTIFS(F$6:F68,F68,C$6:C68,"&lt;&gt;"))</f>
        <v/>
      </c>
      <c r="P68" s="33" t="str">
        <f>IF($O68="","",IFERROR(CHOOSE(MATCH($F68,الإعدادات!$B$4:$B$7,0),INDEX('حضور سوريال'!$C$7:$C$36,$O68),INDEX('حضور غبريال'!$C$7:$C$36,$O68),INDEX('حضور رفائيل'!$C$7:$C$36,$O68),INDEX('حضور ميخائيل'!$C$7:$C$36,$O68)),""))</f>
        <v/>
      </c>
      <c r="Q68" s="33" t="str">
        <f>IF($O68="","",IFERROR(CHOOSE(MATCH($F68,الإعدادات!$B$4:$B$7,0),INDEX('حضور سوريال'!$D$7:$D$36,$O68),INDEX('حضور غبريال'!$D$7:$D$36,$O68),INDEX('حضور رفائيل'!$D$7:$D$36,$O68),INDEX('حضور ميخائيل'!$D$7:$D$36,$O68)),""))</f>
        <v/>
      </c>
      <c r="R68" s="34" t="str">
        <f>IF($O68="","",IFERROR(CHOOSE(MATCH($F68,الإعدادات!$B$4:$B$7,0),INDEX('حضور سوريال'!$F$7:$F$36,$O68),INDEX('حضور غبريال'!$F$7:$F$36,$O68),INDEX('حضور رفائيل'!$F$7:$F$36,$O68),INDEX('حضور ميخائيل'!$F$7:$F$36,$O68)),""))</f>
        <v/>
      </c>
      <c r="S68" s="33" t="str">
        <f>IF($O68="","",IFERROR(CHOOSE(MATCH($F68,الإعدادات!$B$4:$B$7,0),INDEX('حضور سوريال'!$G$7:$G$36,$O68),INDEX('حضور غبريال'!$G$7:$G$36,$O68),INDEX('حضور رفائيل'!$G$7:$G$36,$O68),INDEX('حضور ميخائيل'!$G$7:$G$36,$O68)),""))</f>
        <v/>
      </c>
      <c r="T68" s="35" t="str">
        <f>IF($O68="","",IFERROR(CHOOSE(MATCH($F68,الإعدادات!$B$4:$B$7,0),INDEX('حضور سوريال'!$H$7:$H$36,$O68),INDEX('حضور غبريال'!$H$7:$H$36,$O68),INDEX('حضور رفائيل'!$H$7:$H$36,$O68),INDEX('حضور ميخائيل'!$H$7:$H$36,$O68)),""))</f>
        <v/>
      </c>
      <c r="U68" s="36" t="str">
        <f>IF($O68="","",IFERROR(CHOOSE(MATCH($F68,الإعدادات!$B$4:$B$7,0),INDEX('حضور سوريال'!$I$7:$I$36,$O68),INDEX('حضور غبريال'!$I$7:$I$36,$O68),INDEX('حضور رفائيل'!$I$7:$I$36,$O68),INDEX('حضور ميخائيل'!$I$7:$I$36,$O68)),""))</f>
        <v/>
      </c>
      <c r="V68" t="str">
        <f>IF($O68="","",IFERROR(CHOOSE(MATCH($F68,الإعدادات!$B$4:$B$7,0),INDEX('حضور سوريال'!$BM$7:$BM$36,$O68),INDEX('حضور غبريال'!$BM$7:$BM$36,$O68),INDEX('حضور رفائيل'!$BM$7:$BM$36,$O68),INDEX('حضور ميخائيل'!$BM$7:$BM$36,$O68)),""))</f>
        <v/>
      </c>
      <c r="W68" t="str">
        <f>IF(OR(V68=3,V68=4),COUNTIFS(V$6:V68,3)+COUNTIFS(V$6:V68,4),"")</f>
        <v/>
      </c>
    </row>
    <row r="69" spans="1:23" ht="25.5" customHeight="1">
      <c r="A69" s="26" t="str">
        <f t="shared" si="0"/>
        <v/>
      </c>
      <c r="B69" s="27" t="str">
        <f t="shared" si="1"/>
        <v/>
      </c>
      <c r="C69" s="28"/>
      <c r="D69" s="29"/>
      <c r="E69" s="29"/>
      <c r="F69" s="29"/>
      <c r="G69" s="29"/>
      <c r="H69" s="30"/>
      <c r="I69" s="30"/>
      <c r="J69" s="31"/>
      <c r="K69" s="29"/>
      <c r="L69" s="31"/>
      <c r="M69" s="29"/>
      <c r="N69" s="32" t="str">
        <f t="shared" si="2"/>
        <v/>
      </c>
      <c r="O69" s="32" t="str">
        <f>IF(OR(C69="",F69=""),"",COUNTIFS(F$6:F69,F69,C$6:C69,"&lt;&gt;"))</f>
        <v/>
      </c>
      <c r="P69" s="33" t="str">
        <f>IF($O69="","",IFERROR(CHOOSE(MATCH($F69,الإعدادات!$B$4:$B$7,0),INDEX('حضور سوريال'!$C$7:$C$36,$O69),INDEX('حضور غبريال'!$C$7:$C$36,$O69),INDEX('حضور رفائيل'!$C$7:$C$36,$O69),INDEX('حضور ميخائيل'!$C$7:$C$36,$O69)),""))</f>
        <v/>
      </c>
      <c r="Q69" s="33" t="str">
        <f>IF($O69="","",IFERROR(CHOOSE(MATCH($F69,الإعدادات!$B$4:$B$7,0),INDEX('حضور سوريال'!$D$7:$D$36,$O69),INDEX('حضور غبريال'!$D$7:$D$36,$O69),INDEX('حضور رفائيل'!$D$7:$D$36,$O69),INDEX('حضور ميخائيل'!$D$7:$D$36,$O69)),""))</f>
        <v/>
      </c>
      <c r="R69" s="34" t="str">
        <f>IF($O69="","",IFERROR(CHOOSE(MATCH($F69,الإعدادات!$B$4:$B$7,0),INDEX('حضور سوريال'!$F$7:$F$36,$O69),INDEX('حضور غبريال'!$F$7:$F$36,$O69),INDEX('حضور رفائيل'!$F$7:$F$36,$O69),INDEX('حضور ميخائيل'!$F$7:$F$36,$O69)),""))</f>
        <v/>
      </c>
      <c r="S69" s="33" t="str">
        <f>IF($O69="","",IFERROR(CHOOSE(MATCH($F69,الإعدادات!$B$4:$B$7,0),INDEX('حضور سوريال'!$G$7:$G$36,$O69),INDEX('حضور غبريال'!$G$7:$G$36,$O69),INDEX('حضور رفائيل'!$G$7:$G$36,$O69),INDEX('حضور ميخائيل'!$G$7:$G$36,$O69)),""))</f>
        <v/>
      </c>
      <c r="T69" s="35" t="str">
        <f>IF($O69="","",IFERROR(CHOOSE(MATCH($F69,الإعدادات!$B$4:$B$7,0),INDEX('حضور سوريال'!$H$7:$H$36,$O69),INDEX('حضور غبريال'!$H$7:$H$36,$O69),INDEX('حضور رفائيل'!$H$7:$H$36,$O69),INDEX('حضور ميخائيل'!$H$7:$H$36,$O69)),""))</f>
        <v/>
      </c>
      <c r="U69" s="36" t="str">
        <f>IF($O69="","",IFERROR(CHOOSE(MATCH($F69,الإعدادات!$B$4:$B$7,0),INDEX('حضور سوريال'!$I$7:$I$36,$O69),INDEX('حضور غبريال'!$I$7:$I$36,$O69),INDEX('حضور رفائيل'!$I$7:$I$36,$O69),INDEX('حضور ميخائيل'!$I$7:$I$36,$O69)),""))</f>
        <v/>
      </c>
      <c r="V69" t="str">
        <f>IF($O69="","",IFERROR(CHOOSE(MATCH($F69,الإعدادات!$B$4:$B$7,0),INDEX('حضور سوريال'!$BM$7:$BM$36,$O69),INDEX('حضور غبريال'!$BM$7:$BM$36,$O69),INDEX('حضور رفائيل'!$BM$7:$BM$36,$O69),INDEX('حضور ميخائيل'!$BM$7:$BM$36,$O69)),""))</f>
        <v/>
      </c>
      <c r="W69" t="str">
        <f>IF(OR(V69=3,V69=4),COUNTIFS(V$6:V69,3)+COUNTIFS(V$6:V69,4),"")</f>
        <v/>
      </c>
    </row>
    <row r="70" spans="1:23" ht="25.5" customHeight="1">
      <c r="A70" s="26" t="str">
        <f t="shared" ref="A70:A133" si="3">IF(C70="","",ROW()-5)</f>
        <v/>
      </c>
      <c r="B70" s="27" t="str">
        <f t="shared" ref="B70:B133" si="4">IF(C70="","","B-"&amp;TEXT(ROW()-5,"000"))</f>
        <v/>
      </c>
      <c r="C70" s="28"/>
      <c r="D70" s="29"/>
      <c r="E70" s="29"/>
      <c r="F70" s="29"/>
      <c r="G70" s="29"/>
      <c r="H70" s="30"/>
      <c r="I70" s="30"/>
      <c r="J70" s="31"/>
      <c r="K70" s="29"/>
      <c r="L70" s="31"/>
      <c r="M70" s="29"/>
      <c r="N70" s="32" t="str">
        <f t="shared" ref="N70:N133" si="5">IF(O70="","",F70&amp;"|"&amp;O70)</f>
        <v/>
      </c>
      <c r="O70" s="32" t="str">
        <f>IF(OR(C70="",F70=""),"",COUNTIFS(F$6:F70,F70,C$6:C70,"&lt;&gt;"))</f>
        <v/>
      </c>
      <c r="P70" s="33" t="str">
        <f>IF($O70="","",IFERROR(CHOOSE(MATCH($F70,الإعدادات!$B$4:$B$7,0),INDEX('حضور سوريال'!$C$7:$C$36,$O70),INDEX('حضور غبريال'!$C$7:$C$36,$O70),INDEX('حضور رفائيل'!$C$7:$C$36,$O70),INDEX('حضور ميخائيل'!$C$7:$C$36,$O70)),""))</f>
        <v/>
      </c>
      <c r="Q70" s="33" t="str">
        <f>IF($O70="","",IFERROR(CHOOSE(MATCH($F70,الإعدادات!$B$4:$B$7,0),INDEX('حضور سوريال'!$D$7:$D$36,$O70),INDEX('حضور غبريال'!$D$7:$D$36,$O70),INDEX('حضور رفائيل'!$D$7:$D$36,$O70),INDEX('حضور ميخائيل'!$D$7:$D$36,$O70)),""))</f>
        <v/>
      </c>
      <c r="R70" s="34" t="str">
        <f>IF($O70="","",IFERROR(CHOOSE(MATCH($F70,الإعدادات!$B$4:$B$7,0),INDEX('حضور سوريال'!$F$7:$F$36,$O70),INDEX('حضور غبريال'!$F$7:$F$36,$O70),INDEX('حضور رفائيل'!$F$7:$F$36,$O70),INDEX('حضور ميخائيل'!$F$7:$F$36,$O70)),""))</f>
        <v/>
      </c>
      <c r="S70" s="33" t="str">
        <f>IF($O70="","",IFERROR(CHOOSE(MATCH($F70,الإعدادات!$B$4:$B$7,0),INDEX('حضور سوريال'!$G$7:$G$36,$O70),INDEX('حضور غبريال'!$G$7:$G$36,$O70),INDEX('حضور رفائيل'!$G$7:$G$36,$O70),INDEX('حضور ميخائيل'!$G$7:$G$36,$O70)),""))</f>
        <v/>
      </c>
      <c r="T70" s="35" t="str">
        <f>IF($O70="","",IFERROR(CHOOSE(MATCH($F70,الإعدادات!$B$4:$B$7,0),INDEX('حضور سوريال'!$H$7:$H$36,$O70),INDEX('حضور غبريال'!$H$7:$H$36,$O70),INDEX('حضور رفائيل'!$H$7:$H$36,$O70),INDEX('حضور ميخائيل'!$H$7:$H$36,$O70)),""))</f>
        <v/>
      </c>
      <c r="U70" s="36" t="str">
        <f>IF($O70="","",IFERROR(CHOOSE(MATCH($F70,الإعدادات!$B$4:$B$7,0),INDEX('حضور سوريال'!$I$7:$I$36,$O70),INDEX('حضور غبريال'!$I$7:$I$36,$O70),INDEX('حضور رفائيل'!$I$7:$I$36,$O70),INDEX('حضور ميخائيل'!$I$7:$I$36,$O70)),""))</f>
        <v/>
      </c>
      <c r="V70" t="str">
        <f>IF($O70="","",IFERROR(CHOOSE(MATCH($F70,الإعدادات!$B$4:$B$7,0),INDEX('حضور سوريال'!$BM$7:$BM$36,$O70),INDEX('حضور غبريال'!$BM$7:$BM$36,$O70),INDEX('حضور رفائيل'!$BM$7:$BM$36,$O70),INDEX('حضور ميخائيل'!$BM$7:$BM$36,$O70)),""))</f>
        <v/>
      </c>
      <c r="W70" t="str">
        <f>IF(OR(V70=3,V70=4),COUNTIFS(V$6:V70,3)+COUNTIFS(V$6:V70,4),"")</f>
        <v/>
      </c>
    </row>
    <row r="71" spans="1:23" ht="25.5" customHeight="1">
      <c r="A71" s="26" t="str">
        <f t="shared" si="3"/>
        <v/>
      </c>
      <c r="B71" s="27" t="str">
        <f t="shared" si="4"/>
        <v/>
      </c>
      <c r="C71" s="28"/>
      <c r="D71" s="29"/>
      <c r="E71" s="29"/>
      <c r="F71" s="29"/>
      <c r="G71" s="29"/>
      <c r="H71" s="30"/>
      <c r="I71" s="30"/>
      <c r="J71" s="31"/>
      <c r="K71" s="29"/>
      <c r="L71" s="31"/>
      <c r="M71" s="29"/>
      <c r="N71" s="32" t="str">
        <f t="shared" si="5"/>
        <v/>
      </c>
      <c r="O71" s="32" t="str">
        <f>IF(OR(C71="",F71=""),"",COUNTIFS(F$6:F71,F71,C$6:C71,"&lt;&gt;"))</f>
        <v/>
      </c>
      <c r="P71" s="33" t="str">
        <f>IF($O71="","",IFERROR(CHOOSE(MATCH($F71,الإعدادات!$B$4:$B$7,0),INDEX('حضور سوريال'!$C$7:$C$36,$O71),INDEX('حضور غبريال'!$C$7:$C$36,$O71),INDEX('حضور رفائيل'!$C$7:$C$36,$O71),INDEX('حضور ميخائيل'!$C$7:$C$36,$O71)),""))</f>
        <v/>
      </c>
      <c r="Q71" s="33" t="str">
        <f>IF($O71="","",IFERROR(CHOOSE(MATCH($F71,الإعدادات!$B$4:$B$7,0),INDEX('حضور سوريال'!$D$7:$D$36,$O71),INDEX('حضور غبريال'!$D$7:$D$36,$O71),INDEX('حضور رفائيل'!$D$7:$D$36,$O71),INDEX('حضور ميخائيل'!$D$7:$D$36,$O71)),""))</f>
        <v/>
      </c>
      <c r="R71" s="34" t="str">
        <f>IF($O71="","",IFERROR(CHOOSE(MATCH($F71,الإعدادات!$B$4:$B$7,0),INDEX('حضور سوريال'!$F$7:$F$36,$O71),INDEX('حضور غبريال'!$F$7:$F$36,$O71),INDEX('حضور رفائيل'!$F$7:$F$36,$O71),INDEX('حضور ميخائيل'!$F$7:$F$36,$O71)),""))</f>
        <v/>
      </c>
      <c r="S71" s="33" t="str">
        <f>IF($O71="","",IFERROR(CHOOSE(MATCH($F71,الإعدادات!$B$4:$B$7,0),INDEX('حضور سوريال'!$G$7:$G$36,$O71),INDEX('حضور غبريال'!$G$7:$G$36,$O71),INDEX('حضور رفائيل'!$G$7:$G$36,$O71),INDEX('حضور ميخائيل'!$G$7:$G$36,$O71)),""))</f>
        <v/>
      </c>
      <c r="T71" s="35" t="str">
        <f>IF($O71="","",IFERROR(CHOOSE(MATCH($F71,الإعدادات!$B$4:$B$7,0),INDEX('حضور سوريال'!$H$7:$H$36,$O71),INDEX('حضور غبريال'!$H$7:$H$36,$O71),INDEX('حضور رفائيل'!$H$7:$H$36,$O71),INDEX('حضور ميخائيل'!$H$7:$H$36,$O71)),""))</f>
        <v/>
      </c>
      <c r="U71" s="36" t="str">
        <f>IF($O71="","",IFERROR(CHOOSE(MATCH($F71,الإعدادات!$B$4:$B$7,0),INDEX('حضور سوريال'!$I$7:$I$36,$O71),INDEX('حضور غبريال'!$I$7:$I$36,$O71),INDEX('حضور رفائيل'!$I$7:$I$36,$O71),INDEX('حضور ميخائيل'!$I$7:$I$36,$O71)),""))</f>
        <v/>
      </c>
      <c r="V71" t="str">
        <f>IF($O71="","",IFERROR(CHOOSE(MATCH($F71,الإعدادات!$B$4:$B$7,0),INDEX('حضور سوريال'!$BM$7:$BM$36,$O71),INDEX('حضور غبريال'!$BM$7:$BM$36,$O71),INDEX('حضور رفائيل'!$BM$7:$BM$36,$O71),INDEX('حضور ميخائيل'!$BM$7:$BM$36,$O71)),""))</f>
        <v/>
      </c>
      <c r="W71" t="str">
        <f>IF(OR(V71=3,V71=4),COUNTIFS(V$6:V71,3)+COUNTIFS(V$6:V71,4),"")</f>
        <v/>
      </c>
    </row>
    <row r="72" spans="1:23" ht="25.5" customHeight="1">
      <c r="A72" s="26" t="str">
        <f t="shared" si="3"/>
        <v/>
      </c>
      <c r="B72" s="27" t="str">
        <f t="shared" si="4"/>
        <v/>
      </c>
      <c r="C72" s="28"/>
      <c r="D72" s="29"/>
      <c r="E72" s="29"/>
      <c r="F72" s="29"/>
      <c r="G72" s="29"/>
      <c r="H72" s="30"/>
      <c r="I72" s="30"/>
      <c r="J72" s="31"/>
      <c r="K72" s="29"/>
      <c r="L72" s="31"/>
      <c r="M72" s="29"/>
      <c r="N72" s="32" t="str">
        <f t="shared" si="5"/>
        <v/>
      </c>
      <c r="O72" s="32" t="str">
        <f>IF(OR(C72="",F72=""),"",COUNTIFS(F$6:F72,F72,C$6:C72,"&lt;&gt;"))</f>
        <v/>
      </c>
      <c r="P72" s="33" t="str">
        <f>IF($O72="","",IFERROR(CHOOSE(MATCH($F72,الإعدادات!$B$4:$B$7,0),INDEX('حضور سوريال'!$C$7:$C$36,$O72),INDEX('حضور غبريال'!$C$7:$C$36,$O72),INDEX('حضور رفائيل'!$C$7:$C$36,$O72),INDEX('حضور ميخائيل'!$C$7:$C$36,$O72)),""))</f>
        <v/>
      </c>
      <c r="Q72" s="33" t="str">
        <f>IF($O72="","",IFERROR(CHOOSE(MATCH($F72,الإعدادات!$B$4:$B$7,0),INDEX('حضور سوريال'!$D$7:$D$36,$O72),INDEX('حضور غبريال'!$D$7:$D$36,$O72),INDEX('حضور رفائيل'!$D$7:$D$36,$O72),INDEX('حضور ميخائيل'!$D$7:$D$36,$O72)),""))</f>
        <v/>
      </c>
      <c r="R72" s="34" t="str">
        <f>IF($O72="","",IFERROR(CHOOSE(MATCH($F72,الإعدادات!$B$4:$B$7,0),INDEX('حضور سوريال'!$F$7:$F$36,$O72),INDEX('حضور غبريال'!$F$7:$F$36,$O72),INDEX('حضور رفائيل'!$F$7:$F$36,$O72),INDEX('حضور ميخائيل'!$F$7:$F$36,$O72)),""))</f>
        <v/>
      </c>
      <c r="S72" s="33" t="str">
        <f>IF($O72="","",IFERROR(CHOOSE(MATCH($F72,الإعدادات!$B$4:$B$7,0),INDEX('حضور سوريال'!$G$7:$G$36,$O72),INDEX('حضور غبريال'!$G$7:$G$36,$O72),INDEX('حضور رفائيل'!$G$7:$G$36,$O72),INDEX('حضور ميخائيل'!$G$7:$G$36,$O72)),""))</f>
        <v/>
      </c>
      <c r="T72" s="35" t="str">
        <f>IF($O72="","",IFERROR(CHOOSE(MATCH($F72,الإعدادات!$B$4:$B$7,0),INDEX('حضور سوريال'!$H$7:$H$36,$O72),INDEX('حضور غبريال'!$H$7:$H$36,$O72),INDEX('حضور رفائيل'!$H$7:$H$36,$O72),INDEX('حضور ميخائيل'!$H$7:$H$36,$O72)),""))</f>
        <v/>
      </c>
      <c r="U72" s="36" t="str">
        <f>IF($O72="","",IFERROR(CHOOSE(MATCH($F72,الإعدادات!$B$4:$B$7,0),INDEX('حضور سوريال'!$I$7:$I$36,$O72),INDEX('حضور غبريال'!$I$7:$I$36,$O72),INDEX('حضور رفائيل'!$I$7:$I$36,$O72),INDEX('حضور ميخائيل'!$I$7:$I$36,$O72)),""))</f>
        <v/>
      </c>
      <c r="V72" t="str">
        <f>IF($O72="","",IFERROR(CHOOSE(MATCH($F72,الإعدادات!$B$4:$B$7,0),INDEX('حضور سوريال'!$BM$7:$BM$36,$O72),INDEX('حضور غبريال'!$BM$7:$BM$36,$O72),INDEX('حضور رفائيل'!$BM$7:$BM$36,$O72),INDEX('حضور ميخائيل'!$BM$7:$BM$36,$O72)),""))</f>
        <v/>
      </c>
      <c r="W72" t="str">
        <f>IF(OR(V72=3,V72=4),COUNTIFS(V$6:V72,3)+COUNTIFS(V$6:V72,4),"")</f>
        <v/>
      </c>
    </row>
    <row r="73" spans="1:23" ht="25.5" customHeight="1">
      <c r="A73" s="26" t="str">
        <f t="shared" si="3"/>
        <v/>
      </c>
      <c r="B73" s="27" t="str">
        <f t="shared" si="4"/>
        <v/>
      </c>
      <c r="C73" s="28"/>
      <c r="D73" s="29"/>
      <c r="E73" s="29"/>
      <c r="F73" s="29"/>
      <c r="G73" s="29"/>
      <c r="H73" s="30"/>
      <c r="I73" s="30"/>
      <c r="J73" s="31"/>
      <c r="K73" s="29"/>
      <c r="L73" s="31"/>
      <c r="M73" s="29"/>
      <c r="N73" s="32" t="str">
        <f t="shared" si="5"/>
        <v/>
      </c>
      <c r="O73" s="32" t="str">
        <f>IF(OR(C73="",F73=""),"",COUNTIFS(F$6:F73,F73,C$6:C73,"&lt;&gt;"))</f>
        <v/>
      </c>
      <c r="P73" s="33" t="str">
        <f>IF($O73="","",IFERROR(CHOOSE(MATCH($F73,الإعدادات!$B$4:$B$7,0),INDEX('حضور سوريال'!$C$7:$C$36,$O73),INDEX('حضور غبريال'!$C$7:$C$36,$O73),INDEX('حضور رفائيل'!$C$7:$C$36,$O73),INDEX('حضور ميخائيل'!$C$7:$C$36,$O73)),""))</f>
        <v/>
      </c>
      <c r="Q73" s="33" t="str">
        <f>IF($O73="","",IFERROR(CHOOSE(MATCH($F73,الإعدادات!$B$4:$B$7,0),INDEX('حضور سوريال'!$D$7:$D$36,$O73),INDEX('حضور غبريال'!$D$7:$D$36,$O73),INDEX('حضور رفائيل'!$D$7:$D$36,$O73),INDEX('حضور ميخائيل'!$D$7:$D$36,$O73)),""))</f>
        <v/>
      </c>
      <c r="R73" s="34" t="str">
        <f>IF($O73="","",IFERROR(CHOOSE(MATCH($F73,الإعدادات!$B$4:$B$7,0),INDEX('حضور سوريال'!$F$7:$F$36,$O73),INDEX('حضور غبريال'!$F$7:$F$36,$O73),INDEX('حضور رفائيل'!$F$7:$F$36,$O73),INDEX('حضور ميخائيل'!$F$7:$F$36,$O73)),""))</f>
        <v/>
      </c>
      <c r="S73" s="33" t="str">
        <f>IF($O73="","",IFERROR(CHOOSE(MATCH($F73,الإعدادات!$B$4:$B$7,0),INDEX('حضور سوريال'!$G$7:$G$36,$O73),INDEX('حضور غبريال'!$G$7:$G$36,$O73),INDEX('حضور رفائيل'!$G$7:$G$36,$O73),INDEX('حضور ميخائيل'!$G$7:$G$36,$O73)),""))</f>
        <v/>
      </c>
      <c r="T73" s="35" t="str">
        <f>IF($O73="","",IFERROR(CHOOSE(MATCH($F73,الإعدادات!$B$4:$B$7,0),INDEX('حضور سوريال'!$H$7:$H$36,$O73),INDEX('حضور غبريال'!$H$7:$H$36,$O73),INDEX('حضور رفائيل'!$H$7:$H$36,$O73),INDEX('حضور ميخائيل'!$H$7:$H$36,$O73)),""))</f>
        <v/>
      </c>
      <c r="U73" s="36" t="str">
        <f>IF($O73="","",IFERROR(CHOOSE(MATCH($F73,الإعدادات!$B$4:$B$7,0),INDEX('حضور سوريال'!$I$7:$I$36,$O73),INDEX('حضور غبريال'!$I$7:$I$36,$O73),INDEX('حضور رفائيل'!$I$7:$I$36,$O73),INDEX('حضور ميخائيل'!$I$7:$I$36,$O73)),""))</f>
        <v/>
      </c>
      <c r="V73" t="str">
        <f>IF($O73="","",IFERROR(CHOOSE(MATCH($F73,الإعدادات!$B$4:$B$7,0),INDEX('حضور سوريال'!$BM$7:$BM$36,$O73),INDEX('حضور غبريال'!$BM$7:$BM$36,$O73),INDEX('حضور رفائيل'!$BM$7:$BM$36,$O73),INDEX('حضور ميخائيل'!$BM$7:$BM$36,$O73)),""))</f>
        <v/>
      </c>
      <c r="W73" t="str">
        <f>IF(OR(V73=3,V73=4),COUNTIFS(V$6:V73,3)+COUNTIFS(V$6:V73,4),"")</f>
        <v/>
      </c>
    </row>
    <row r="74" spans="1:23" ht="25.5" customHeight="1">
      <c r="A74" s="26" t="str">
        <f t="shared" si="3"/>
        <v/>
      </c>
      <c r="B74" s="27" t="str">
        <f t="shared" si="4"/>
        <v/>
      </c>
      <c r="C74" s="28"/>
      <c r="D74" s="29"/>
      <c r="E74" s="29"/>
      <c r="F74" s="29"/>
      <c r="G74" s="29"/>
      <c r="H74" s="30"/>
      <c r="I74" s="30"/>
      <c r="J74" s="31"/>
      <c r="K74" s="29"/>
      <c r="L74" s="31"/>
      <c r="M74" s="29"/>
      <c r="N74" s="32" t="str">
        <f t="shared" si="5"/>
        <v/>
      </c>
      <c r="O74" s="32" t="str">
        <f>IF(OR(C74="",F74=""),"",COUNTIFS(F$6:F74,F74,C$6:C74,"&lt;&gt;"))</f>
        <v/>
      </c>
      <c r="P74" s="33" t="str">
        <f>IF($O74="","",IFERROR(CHOOSE(MATCH($F74,الإعدادات!$B$4:$B$7,0),INDEX('حضور سوريال'!$C$7:$C$36,$O74),INDEX('حضور غبريال'!$C$7:$C$36,$O74),INDEX('حضور رفائيل'!$C$7:$C$36,$O74),INDEX('حضور ميخائيل'!$C$7:$C$36,$O74)),""))</f>
        <v/>
      </c>
      <c r="Q74" s="33" t="str">
        <f>IF($O74="","",IFERROR(CHOOSE(MATCH($F74,الإعدادات!$B$4:$B$7,0),INDEX('حضور سوريال'!$D$7:$D$36,$O74),INDEX('حضور غبريال'!$D$7:$D$36,$O74),INDEX('حضور رفائيل'!$D$7:$D$36,$O74),INDEX('حضور ميخائيل'!$D$7:$D$36,$O74)),""))</f>
        <v/>
      </c>
      <c r="R74" s="34" t="str">
        <f>IF($O74="","",IFERROR(CHOOSE(MATCH($F74,الإعدادات!$B$4:$B$7,0),INDEX('حضور سوريال'!$F$7:$F$36,$O74),INDEX('حضور غبريال'!$F$7:$F$36,$O74),INDEX('حضور رفائيل'!$F$7:$F$36,$O74),INDEX('حضور ميخائيل'!$F$7:$F$36,$O74)),""))</f>
        <v/>
      </c>
      <c r="S74" s="33" t="str">
        <f>IF($O74="","",IFERROR(CHOOSE(MATCH($F74,الإعدادات!$B$4:$B$7,0),INDEX('حضور سوريال'!$G$7:$G$36,$O74),INDEX('حضور غبريال'!$G$7:$G$36,$O74),INDEX('حضور رفائيل'!$G$7:$G$36,$O74),INDEX('حضور ميخائيل'!$G$7:$G$36,$O74)),""))</f>
        <v/>
      </c>
      <c r="T74" s="35" t="str">
        <f>IF($O74="","",IFERROR(CHOOSE(MATCH($F74,الإعدادات!$B$4:$B$7,0),INDEX('حضور سوريال'!$H$7:$H$36,$O74),INDEX('حضور غبريال'!$H$7:$H$36,$O74),INDEX('حضور رفائيل'!$H$7:$H$36,$O74),INDEX('حضور ميخائيل'!$H$7:$H$36,$O74)),""))</f>
        <v/>
      </c>
      <c r="U74" s="36" t="str">
        <f>IF($O74="","",IFERROR(CHOOSE(MATCH($F74,الإعدادات!$B$4:$B$7,0),INDEX('حضور سوريال'!$I$7:$I$36,$O74),INDEX('حضور غبريال'!$I$7:$I$36,$O74),INDEX('حضور رفائيل'!$I$7:$I$36,$O74),INDEX('حضور ميخائيل'!$I$7:$I$36,$O74)),""))</f>
        <v/>
      </c>
      <c r="V74" t="str">
        <f>IF($O74="","",IFERROR(CHOOSE(MATCH($F74,الإعدادات!$B$4:$B$7,0),INDEX('حضور سوريال'!$BM$7:$BM$36,$O74),INDEX('حضور غبريال'!$BM$7:$BM$36,$O74),INDEX('حضور رفائيل'!$BM$7:$BM$36,$O74),INDEX('حضور ميخائيل'!$BM$7:$BM$36,$O74)),""))</f>
        <v/>
      </c>
      <c r="W74" t="str">
        <f>IF(OR(V74=3,V74=4),COUNTIFS(V$6:V74,3)+COUNTIFS(V$6:V74,4),"")</f>
        <v/>
      </c>
    </row>
    <row r="75" spans="1:23" ht="25.5" customHeight="1">
      <c r="A75" s="26" t="str">
        <f t="shared" si="3"/>
        <v/>
      </c>
      <c r="B75" s="27" t="str">
        <f t="shared" si="4"/>
        <v/>
      </c>
      <c r="C75" s="28"/>
      <c r="D75" s="29"/>
      <c r="E75" s="29"/>
      <c r="F75" s="29"/>
      <c r="G75" s="29"/>
      <c r="H75" s="30"/>
      <c r="I75" s="30"/>
      <c r="J75" s="31"/>
      <c r="K75" s="29"/>
      <c r="L75" s="31"/>
      <c r="M75" s="29"/>
      <c r="N75" s="32" t="str">
        <f t="shared" si="5"/>
        <v/>
      </c>
      <c r="O75" s="32" t="str">
        <f>IF(OR(C75="",F75=""),"",COUNTIFS(F$6:F75,F75,C$6:C75,"&lt;&gt;"))</f>
        <v/>
      </c>
      <c r="P75" s="33" t="str">
        <f>IF($O75="","",IFERROR(CHOOSE(MATCH($F75,الإعدادات!$B$4:$B$7,0),INDEX('حضور سوريال'!$C$7:$C$36,$O75),INDEX('حضور غبريال'!$C$7:$C$36,$O75),INDEX('حضور رفائيل'!$C$7:$C$36,$O75),INDEX('حضور ميخائيل'!$C$7:$C$36,$O75)),""))</f>
        <v/>
      </c>
      <c r="Q75" s="33" t="str">
        <f>IF($O75="","",IFERROR(CHOOSE(MATCH($F75,الإعدادات!$B$4:$B$7,0),INDEX('حضور سوريال'!$D$7:$D$36,$O75),INDEX('حضور غبريال'!$D$7:$D$36,$O75),INDEX('حضور رفائيل'!$D$7:$D$36,$O75),INDEX('حضور ميخائيل'!$D$7:$D$36,$O75)),""))</f>
        <v/>
      </c>
      <c r="R75" s="34" t="str">
        <f>IF($O75="","",IFERROR(CHOOSE(MATCH($F75,الإعدادات!$B$4:$B$7,0),INDEX('حضور سوريال'!$F$7:$F$36,$O75),INDEX('حضور غبريال'!$F$7:$F$36,$O75),INDEX('حضور رفائيل'!$F$7:$F$36,$O75),INDEX('حضور ميخائيل'!$F$7:$F$36,$O75)),""))</f>
        <v/>
      </c>
      <c r="S75" s="33" t="str">
        <f>IF($O75="","",IFERROR(CHOOSE(MATCH($F75,الإعدادات!$B$4:$B$7,0),INDEX('حضور سوريال'!$G$7:$G$36,$O75),INDEX('حضور غبريال'!$G$7:$G$36,$O75),INDEX('حضور رفائيل'!$G$7:$G$36,$O75),INDEX('حضور ميخائيل'!$G$7:$G$36,$O75)),""))</f>
        <v/>
      </c>
      <c r="T75" s="35" t="str">
        <f>IF($O75="","",IFERROR(CHOOSE(MATCH($F75,الإعدادات!$B$4:$B$7,0),INDEX('حضور سوريال'!$H$7:$H$36,$O75),INDEX('حضور غبريال'!$H$7:$H$36,$O75),INDEX('حضور رفائيل'!$H$7:$H$36,$O75),INDEX('حضور ميخائيل'!$H$7:$H$36,$O75)),""))</f>
        <v/>
      </c>
      <c r="U75" s="36" t="str">
        <f>IF($O75="","",IFERROR(CHOOSE(MATCH($F75,الإعدادات!$B$4:$B$7,0),INDEX('حضور سوريال'!$I$7:$I$36,$O75),INDEX('حضور غبريال'!$I$7:$I$36,$O75),INDEX('حضور رفائيل'!$I$7:$I$36,$O75),INDEX('حضور ميخائيل'!$I$7:$I$36,$O75)),""))</f>
        <v/>
      </c>
      <c r="V75" t="str">
        <f>IF($O75="","",IFERROR(CHOOSE(MATCH($F75,الإعدادات!$B$4:$B$7,0),INDEX('حضور سوريال'!$BM$7:$BM$36,$O75),INDEX('حضور غبريال'!$BM$7:$BM$36,$O75),INDEX('حضور رفائيل'!$BM$7:$BM$36,$O75),INDEX('حضور ميخائيل'!$BM$7:$BM$36,$O75)),""))</f>
        <v/>
      </c>
      <c r="W75" t="str">
        <f>IF(OR(V75=3,V75=4),COUNTIFS(V$6:V75,3)+COUNTIFS(V$6:V75,4),"")</f>
        <v/>
      </c>
    </row>
    <row r="76" spans="1:23" ht="25.5" customHeight="1">
      <c r="A76" s="26" t="str">
        <f t="shared" si="3"/>
        <v/>
      </c>
      <c r="B76" s="27" t="str">
        <f t="shared" si="4"/>
        <v/>
      </c>
      <c r="C76" s="28"/>
      <c r="D76" s="29"/>
      <c r="E76" s="29"/>
      <c r="F76" s="29"/>
      <c r="G76" s="29"/>
      <c r="H76" s="30"/>
      <c r="I76" s="30"/>
      <c r="J76" s="31"/>
      <c r="K76" s="29"/>
      <c r="L76" s="31"/>
      <c r="M76" s="29"/>
      <c r="N76" s="32" t="str">
        <f t="shared" si="5"/>
        <v/>
      </c>
      <c r="O76" s="32" t="str">
        <f>IF(OR(C76="",F76=""),"",COUNTIFS(F$6:F76,F76,C$6:C76,"&lt;&gt;"))</f>
        <v/>
      </c>
      <c r="P76" s="33" t="str">
        <f>IF($O76="","",IFERROR(CHOOSE(MATCH($F76,الإعدادات!$B$4:$B$7,0),INDEX('حضور سوريال'!$C$7:$C$36,$O76),INDEX('حضور غبريال'!$C$7:$C$36,$O76),INDEX('حضور رفائيل'!$C$7:$C$36,$O76),INDEX('حضور ميخائيل'!$C$7:$C$36,$O76)),""))</f>
        <v/>
      </c>
      <c r="Q76" s="33" t="str">
        <f>IF($O76="","",IFERROR(CHOOSE(MATCH($F76,الإعدادات!$B$4:$B$7,0),INDEX('حضور سوريال'!$D$7:$D$36,$O76),INDEX('حضور غبريال'!$D$7:$D$36,$O76),INDEX('حضور رفائيل'!$D$7:$D$36,$O76),INDEX('حضور ميخائيل'!$D$7:$D$36,$O76)),""))</f>
        <v/>
      </c>
      <c r="R76" s="34" t="str">
        <f>IF($O76="","",IFERROR(CHOOSE(MATCH($F76,الإعدادات!$B$4:$B$7,0),INDEX('حضور سوريال'!$F$7:$F$36,$O76),INDEX('حضور غبريال'!$F$7:$F$36,$O76),INDEX('حضور رفائيل'!$F$7:$F$36,$O76),INDEX('حضور ميخائيل'!$F$7:$F$36,$O76)),""))</f>
        <v/>
      </c>
      <c r="S76" s="33" t="str">
        <f>IF($O76="","",IFERROR(CHOOSE(MATCH($F76,الإعدادات!$B$4:$B$7,0),INDEX('حضور سوريال'!$G$7:$G$36,$O76),INDEX('حضور غبريال'!$G$7:$G$36,$O76),INDEX('حضور رفائيل'!$G$7:$G$36,$O76),INDEX('حضور ميخائيل'!$G$7:$G$36,$O76)),""))</f>
        <v/>
      </c>
      <c r="T76" s="35" t="str">
        <f>IF($O76="","",IFERROR(CHOOSE(MATCH($F76,الإعدادات!$B$4:$B$7,0),INDEX('حضور سوريال'!$H$7:$H$36,$O76),INDEX('حضور غبريال'!$H$7:$H$36,$O76),INDEX('حضور رفائيل'!$H$7:$H$36,$O76),INDEX('حضور ميخائيل'!$H$7:$H$36,$O76)),""))</f>
        <v/>
      </c>
      <c r="U76" s="36" t="str">
        <f>IF($O76="","",IFERROR(CHOOSE(MATCH($F76,الإعدادات!$B$4:$B$7,0),INDEX('حضور سوريال'!$I$7:$I$36,$O76),INDEX('حضور غبريال'!$I$7:$I$36,$O76),INDEX('حضور رفائيل'!$I$7:$I$36,$O76),INDEX('حضور ميخائيل'!$I$7:$I$36,$O76)),""))</f>
        <v/>
      </c>
      <c r="V76" t="str">
        <f>IF($O76="","",IFERROR(CHOOSE(MATCH($F76,الإعدادات!$B$4:$B$7,0),INDEX('حضور سوريال'!$BM$7:$BM$36,$O76),INDEX('حضور غبريال'!$BM$7:$BM$36,$O76),INDEX('حضور رفائيل'!$BM$7:$BM$36,$O76),INDEX('حضور ميخائيل'!$BM$7:$BM$36,$O76)),""))</f>
        <v/>
      </c>
      <c r="W76" t="str">
        <f>IF(OR(V76=3,V76=4),COUNTIFS(V$6:V76,3)+COUNTIFS(V$6:V76,4),"")</f>
        <v/>
      </c>
    </row>
    <row r="77" spans="1:23" ht="25.5" customHeight="1">
      <c r="A77" s="26" t="str">
        <f t="shared" si="3"/>
        <v/>
      </c>
      <c r="B77" s="27" t="str">
        <f t="shared" si="4"/>
        <v/>
      </c>
      <c r="C77" s="28"/>
      <c r="D77" s="29"/>
      <c r="E77" s="29"/>
      <c r="F77" s="29"/>
      <c r="G77" s="29"/>
      <c r="H77" s="30"/>
      <c r="I77" s="30"/>
      <c r="J77" s="31"/>
      <c r="K77" s="29"/>
      <c r="L77" s="31"/>
      <c r="M77" s="29"/>
      <c r="N77" s="32" t="str">
        <f t="shared" si="5"/>
        <v/>
      </c>
      <c r="O77" s="32" t="str">
        <f>IF(OR(C77="",F77=""),"",COUNTIFS(F$6:F77,F77,C$6:C77,"&lt;&gt;"))</f>
        <v/>
      </c>
      <c r="P77" s="33" t="str">
        <f>IF($O77="","",IFERROR(CHOOSE(MATCH($F77,الإعدادات!$B$4:$B$7,0),INDEX('حضور سوريال'!$C$7:$C$36,$O77),INDEX('حضور غبريال'!$C$7:$C$36,$O77),INDEX('حضور رفائيل'!$C$7:$C$36,$O77),INDEX('حضور ميخائيل'!$C$7:$C$36,$O77)),""))</f>
        <v/>
      </c>
      <c r="Q77" s="33" t="str">
        <f>IF($O77="","",IFERROR(CHOOSE(MATCH($F77,الإعدادات!$B$4:$B$7,0),INDEX('حضور سوريال'!$D$7:$D$36,$O77),INDEX('حضور غبريال'!$D$7:$D$36,$O77),INDEX('حضور رفائيل'!$D$7:$D$36,$O77),INDEX('حضور ميخائيل'!$D$7:$D$36,$O77)),""))</f>
        <v/>
      </c>
      <c r="R77" s="34" t="str">
        <f>IF($O77="","",IFERROR(CHOOSE(MATCH($F77,الإعدادات!$B$4:$B$7,0),INDEX('حضور سوريال'!$F$7:$F$36,$O77),INDEX('حضور غبريال'!$F$7:$F$36,$O77),INDEX('حضور رفائيل'!$F$7:$F$36,$O77),INDEX('حضور ميخائيل'!$F$7:$F$36,$O77)),""))</f>
        <v/>
      </c>
      <c r="S77" s="33" t="str">
        <f>IF($O77="","",IFERROR(CHOOSE(MATCH($F77,الإعدادات!$B$4:$B$7,0),INDEX('حضور سوريال'!$G$7:$G$36,$O77),INDEX('حضور غبريال'!$G$7:$G$36,$O77),INDEX('حضور رفائيل'!$G$7:$G$36,$O77),INDEX('حضور ميخائيل'!$G$7:$G$36,$O77)),""))</f>
        <v/>
      </c>
      <c r="T77" s="35" t="str">
        <f>IF($O77="","",IFERROR(CHOOSE(MATCH($F77,الإعدادات!$B$4:$B$7,0),INDEX('حضور سوريال'!$H$7:$H$36,$O77),INDEX('حضور غبريال'!$H$7:$H$36,$O77),INDEX('حضور رفائيل'!$H$7:$H$36,$O77),INDEX('حضور ميخائيل'!$H$7:$H$36,$O77)),""))</f>
        <v/>
      </c>
      <c r="U77" s="36" t="str">
        <f>IF($O77="","",IFERROR(CHOOSE(MATCH($F77,الإعدادات!$B$4:$B$7,0),INDEX('حضور سوريال'!$I$7:$I$36,$O77),INDEX('حضور غبريال'!$I$7:$I$36,$O77),INDEX('حضور رفائيل'!$I$7:$I$36,$O77),INDEX('حضور ميخائيل'!$I$7:$I$36,$O77)),""))</f>
        <v/>
      </c>
      <c r="V77" t="str">
        <f>IF($O77="","",IFERROR(CHOOSE(MATCH($F77,الإعدادات!$B$4:$B$7,0),INDEX('حضور سوريال'!$BM$7:$BM$36,$O77),INDEX('حضور غبريال'!$BM$7:$BM$36,$O77),INDEX('حضور رفائيل'!$BM$7:$BM$36,$O77),INDEX('حضور ميخائيل'!$BM$7:$BM$36,$O77)),""))</f>
        <v/>
      </c>
      <c r="W77" t="str">
        <f>IF(OR(V77=3,V77=4),COUNTIFS(V$6:V77,3)+COUNTIFS(V$6:V77,4),"")</f>
        <v/>
      </c>
    </row>
    <row r="78" spans="1:23" ht="25.5" customHeight="1">
      <c r="A78" s="26" t="str">
        <f t="shared" si="3"/>
        <v/>
      </c>
      <c r="B78" s="27" t="str">
        <f t="shared" si="4"/>
        <v/>
      </c>
      <c r="C78" s="28"/>
      <c r="D78" s="29"/>
      <c r="E78" s="29"/>
      <c r="F78" s="29"/>
      <c r="G78" s="29"/>
      <c r="H78" s="30"/>
      <c r="I78" s="30"/>
      <c r="J78" s="31"/>
      <c r="K78" s="29"/>
      <c r="L78" s="31"/>
      <c r="M78" s="29"/>
      <c r="N78" s="32" t="str">
        <f t="shared" si="5"/>
        <v/>
      </c>
      <c r="O78" s="32" t="str">
        <f>IF(OR(C78="",F78=""),"",COUNTIFS(F$6:F78,F78,C$6:C78,"&lt;&gt;"))</f>
        <v/>
      </c>
      <c r="P78" s="33" t="str">
        <f>IF($O78="","",IFERROR(CHOOSE(MATCH($F78,الإعدادات!$B$4:$B$7,0),INDEX('حضور سوريال'!$C$7:$C$36,$O78),INDEX('حضور غبريال'!$C$7:$C$36,$O78),INDEX('حضور رفائيل'!$C$7:$C$36,$O78),INDEX('حضور ميخائيل'!$C$7:$C$36,$O78)),""))</f>
        <v/>
      </c>
      <c r="Q78" s="33" t="str">
        <f>IF($O78="","",IFERROR(CHOOSE(MATCH($F78,الإعدادات!$B$4:$B$7,0),INDEX('حضور سوريال'!$D$7:$D$36,$O78),INDEX('حضور غبريال'!$D$7:$D$36,$O78),INDEX('حضور رفائيل'!$D$7:$D$36,$O78),INDEX('حضور ميخائيل'!$D$7:$D$36,$O78)),""))</f>
        <v/>
      </c>
      <c r="R78" s="34" t="str">
        <f>IF($O78="","",IFERROR(CHOOSE(MATCH($F78,الإعدادات!$B$4:$B$7,0),INDEX('حضور سوريال'!$F$7:$F$36,$O78),INDEX('حضور غبريال'!$F$7:$F$36,$O78),INDEX('حضور رفائيل'!$F$7:$F$36,$O78),INDEX('حضور ميخائيل'!$F$7:$F$36,$O78)),""))</f>
        <v/>
      </c>
      <c r="S78" s="33" t="str">
        <f>IF($O78="","",IFERROR(CHOOSE(MATCH($F78,الإعدادات!$B$4:$B$7,0),INDEX('حضور سوريال'!$G$7:$G$36,$O78),INDEX('حضور غبريال'!$G$7:$G$36,$O78),INDEX('حضور رفائيل'!$G$7:$G$36,$O78),INDEX('حضور ميخائيل'!$G$7:$G$36,$O78)),""))</f>
        <v/>
      </c>
      <c r="T78" s="35" t="str">
        <f>IF($O78="","",IFERROR(CHOOSE(MATCH($F78,الإعدادات!$B$4:$B$7,0),INDEX('حضور سوريال'!$H$7:$H$36,$O78),INDEX('حضور غبريال'!$H$7:$H$36,$O78),INDEX('حضور رفائيل'!$H$7:$H$36,$O78),INDEX('حضور ميخائيل'!$H$7:$H$36,$O78)),""))</f>
        <v/>
      </c>
      <c r="U78" s="36" t="str">
        <f>IF($O78="","",IFERROR(CHOOSE(MATCH($F78,الإعدادات!$B$4:$B$7,0),INDEX('حضور سوريال'!$I$7:$I$36,$O78),INDEX('حضور غبريال'!$I$7:$I$36,$O78),INDEX('حضور رفائيل'!$I$7:$I$36,$O78),INDEX('حضور ميخائيل'!$I$7:$I$36,$O78)),""))</f>
        <v/>
      </c>
      <c r="V78" t="str">
        <f>IF($O78="","",IFERROR(CHOOSE(MATCH($F78,الإعدادات!$B$4:$B$7,0),INDEX('حضور سوريال'!$BM$7:$BM$36,$O78),INDEX('حضور غبريال'!$BM$7:$BM$36,$O78),INDEX('حضور رفائيل'!$BM$7:$BM$36,$O78),INDEX('حضور ميخائيل'!$BM$7:$BM$36,$O78)),""))</f>
        <v/>
      </c>
      <c r="W78" t="str">
        <f>IF(OR(V78=3,V78=4),COUNTIFS(V$6:V78,3)+COUNTIFS(V$6:V78,4),"")</f>
        <v/>
      </c>
    </row>
    <row r="79" spans="1:23" ht="25.5" customHeight="1">
      <c r="A79" s="26" t="str">
        <f t="shared" si="3"/>
        <v/>
      </c>
      <c r="B79" s="27" t="str">
        <f t="shared" si="4"/>
        <v/>
      </c>
      <c r="C79" s="28"/>
      <c r="D79" s="29"/>
      <c r="E79" s="29"/>
      <c r="F79" s="29"/>
      <c r="G79" s="29"/>
      <c r="H79" s="30"/>
      <c r="I79" s="30"/>
      <c r="J79" s="31"/>
      <c r="K79" s="29"/>
      <c r="L79" s="31"/>
      <c r="M79" s="29"/>
      <c r="N79" s="32" t="str">
        <f t="shared" si="5"/>
        <v/>
      </c>
      <c r="O79" s="32" t="str">
        <f>IF(OR(C79="",F79=""),"",COUNTIFS(F$6:F79,F79,C$6:C79,"&lt;&gt;"))</f>
        <v/>
      </c>
      <c r="P79" s="33" t="str">
        <f>IF($O79="","",IFERROR(CHOOSE(MATCH($F79,الإعدادات!$B$4:$B$7,0),INDEX('حضور سوريال'!$C$7:$C$36,$O79),INDEX('حضور غبريال'!$C$7:$C$36,$O79),INDEX('حضور رفائيل'!$C$7:$C$36,$O79),INDEX('حضور ميخائيل'!$C$7:$C$36,$O79)),""))</f>
        <v/>
      </c>
      <c r="Q79" s="33" t="str">
        <f>IF($O79="","",IFERROR(CHOOSE(MATCH($F79,الإعدادات!$B$4:$B$7,0),INDEX('حضور سوريال'!$D$7:$D$36,$O79),INDEX('حضور غبريال'!$D$7:$D$36,$O79),INDEX('حضور رفائيل'!$D$7:$D$36,$O79),INDEX('حضور ميخائيل'!$D$7:$D$36,$O79)),""))</f>
        <v/>
      </c>
      <c r="R79" s="34" t="str">
        <f>IF($O79="","",IFERROR(CHOOSE(MATCH($F79,الإعدادات!$B$4:$B$7,0),INDEX('حضور سوريال'!$F$7:$F$36,$O79),INDEX('حضور غبريال'!$F$7:$F$36,$O79),INDEX('حضور رفائيل'!$F$7:$F$36,$O79),INDEX('حضور ميخائيل'!$F$7:$F$36,$O79)),""))</f>
        <v/>
      </c>
      <c r="S79" s="33" t="str">
        <f>IF($O79="","",IFERROR(CHOOSE(MATCH($F79,الإعدادات!$B$4:$B$7,0),INDEX('حضور سوريال'!$G$7:$G$36,$O79),INDEX('حضور غبريال'!$G$7:$G$36,$O79),INDEX('حضور رفائيل'!$G$7:$G$36,$O79),INDEX('حضور ميخائيل'!$G$7:$G$36,$O79)),""))</f>
        <v/>
      </c>
      <c r="T79" s="35" t="str">
        <f>IF($O79="","",IFERROR(CHOOSE(MATCH($F79,الإعدادات!$B$4:$B$7,0),INDEX('حضور سوريال'!$H$7:$H$36,$O79),INDEX('حضور غبريال'!$H$7:$H$36,$O79),INDEX('حضور رفائيل'!$H$7:$H$36,$O79),INDEX('حضور ميخائيل'!$H$7:$H$36,$O79)),""))</f>
        <v/>
      </c>
      <c r="U79" s="36" t="str">
        <f>IF($O79="","",IFERROR(CHOOSE(MATCH($F79,الإعدادات!$B$4:$B$7,0),INDEX('حضور سوريال'!$I$7:$I$36,$O79),INDEX('حضور غبريال'!$I$7:$I$36,$O79),INDEX('حضور رفائيل'!$I$7:$I$36,$O79),INDEX('حضور ميخائيل'!$I$7:$I$36,$O79)),""))</f>
        <v/>
      </c>
      <c r="V79" t="str">
        <f>IF($O79="","",IFERROR(CHOOSE(MATCH($F79,الإعدادات!$B$4:$B$7,0),INDEX('حضور سوريال'!$BM$7:$BM$36,$O79),INDEX('حضور غبريال'!$BM$7:$BM$36,$O79),INDEX('حضور رفائيل'!$BM$7:$BM$36,$O79),INDEX('حضور ميخائيل'!$BM$7:$BM$36,$O79)),""))</f>
        <v/>
      </c>
      <c r="W79" t="str">
        <f>IF(OR(V79=3,V79=4),COUNTIFS(V$6:V79,3)+COUNTIFS(V$6:V79,4),"")</f>
        <v/>
      </c>
    </row>
    <row r="80" spans="1:23" ht="25.5" customHeight="1">
      <c r="A80" s="26" t="str">
        <f t="shared" si="3"/>
        <v/>
      </c>
      <c r="B80" s="27" t="str">
        <f t="shared" si="4"/>
        <v/>
      </c>
      <c r="C80" s="28"/>
      <c r="D80" s="29"/>
      <c r="E80" s="29"/>
      <c r="F80" s="29"/>
      <c r="G80" s="29"/>
      <c r="H80" s="30"/>
      <c r="I80" s="30"/>
      <c r="J80" s="31"/>
      <c r="K80" s="29"/>
      <c r="L80" s="31"/>
      <c r="M80" s="29"/>
      <c r="N80" s="32" t="str">
        <f t="shared" si="5"/>
        <v/>
      </c>
      <c r="O80" s="32" t="str">
        <f>IF(OR(C80="",F80=""),"",COUNTIFS(F$6:F80,F80,C$6:C80,"&lt;&gt;"))</f>
        <v/>
      </c>
      <c r="P80" s="33" t="str">
        <f>IF($O80="","",IFERROR(CHOOSE(MATCH($F80,الإعدادات!$B$4:$B$7,0),INDEX('حضور سوريال'!$C$7:$C$36,$O80),INDEX('حضور غبريال'!$C$7:$C$36,$O80),INDEX('حضور رفائيل'!$C$7:$C$36,$O80),INDEX('حضور ميخائيل'!$C$7:$C$36,$O80)),""))</f>
        <v/>
      </c>
      <c r="Q80" s="33" t="str">
        <f>IF($O80="","",IFERROR(CHOOSE(MATCH($F80,الإعدادات!$B$4:$B$7,0),INDEX('حضور سوريال'!$D$7:$D$36,$O80),INDEX('حضور غبريال'!$D$7:$D$36,$O80),INDEX('حضور رفائيل'!$D$7:$D$36,$O80),INDEX('حضور ميخائيل'!$D$7:$D$36,$O80)),""))</f>
        <v/>
      </c>
      <c r="R80" s="34" t="str">
        <f>IF($O80="","",IFERROR(CHOOSE(MATCH($F80,الإعدادات!$B$4:$B$7,0),INDEX('حضور سوريال'!$F$7:$F$36,$O80),INDEX('حضور غبريال'!$F$7:$F$36,$O80),INDEX('حضور رفائيل'!$F$7:$F$36,$O80),INDEX('حضور ميخائيل'!$F$7:$F$36,$O80)),""))</f>
        <v/>
      </c>
      <c r="S80" s="33" t="str">
        <f>IF($O80="","",IFERROR(CHOOSE(MATCH($F80,الإعدادات!$B$4:$B$7,0),INDEX('حضور سوريال'!$G$7:$G$36,$O80),INDEX('حضور غبريال'!$G$7:$G$36,$O80),INDEX('حضور رفائيل'!$G$7:$G$36,$O80),INDEX('حضور ميخائيل'!$G$7:$G$36,$O80)),""))</f>
        <v/>
      </c>
      <c r="T80" s="35" t="str">
        <f>IF($O80="","",IFERROR(CHOOSE(MATCH($F80,الإعدادات!$B$4:$B$7,0),INDEX('حضور سوريال'!$H$7:$H$36,$O80),INDEX('حضور غبريال'!$H$7:$H$36,$O80),INDEX('حضور رفائيل'!$H$7:$H$36,$O80),INDEX('حضور ميخائيل'!$H$7:$H$36,$O80)),""))</f>
        <v/>
      </c>
      <c r="U80" s="36" t="str">
        <f>IF($O80="","",IFERROR(CHOOSE(MATCH($F80,الإعدادات!$B$4:$B$7,0),INDEX('حضور سوريال'!$I$7:$I$36,$O80),INDEX('حضور غبريال'!$I$7:$I$36,$O80),INDEX('حضور رفائيل'!$I$7:$I$36,$O80),INDEX('حضور ميخائيل'!$I$7:$I$36,$O80)),""))</f>
        <v/>
      </c>
      <c r="V80" t="str">
        <f>IF($O80="","",IFERROR(CHOOSE(MATCH($F80,الإعدادات!$B$4:$B$7,0),INDEX('حضور سوريال'!$BM$7:$BM$36,$O80),INDEX('حضور غبريال'!$BM$7:$BM$36,$O80),INDEX('حضور رفائيل'!$BM$7:$BM$36,$O80),INDEX('حضور ميخائيل'!$BM$7:$BM$36,$O80)),""))</f>
        <v/>
      </c>
      <c r="W80" t="str">
        <f>IF(OR(V80=3,V80=4),COUNTIFS(V$6:V80,3)+COUNTIFS(V$6:V80,4),"")</f>
        <v/>
      </c>
    </row>
    <row r="81" spans="1:23" ht="25.5" customHeight="1">
      <c r="A81" s="26" t="str">
        <f t="shared" si="3"/>
        <v/>
      </c>
      <c r="B81" s="27" t="str">
        <f t="shared" si="4"/>
        <v/>
      </c>
      <c r="C81" s="28"/>
      <c r="D81" s="29"/>
      <c r="E81" s="29"/>
      <c r="F81" s="29"/>
      <c r="G81" s="29"/>
      <c r="H81" s="30"/>
      <c r="I81" s="30"/>
      <c r="J81" s="31"/>
      <c r="K81" s="29"/>
      <c r="L81" s="31"/>
      <c r="M81" s="29"/>
      <c r="N81" s="32" t="str">
        <f t="shared" si="5"/>
        <v/>
      </c>
      <c r="O81" s="32" t="str">
        <f>IF(OR(C81="",F81=""),"",COUNTIFS(F$6:F81,F81,C$6:C81,"&lt;&gt;"))</f>
        <v/>
      </c>
      <c r="P81" s="33" t="str">
        <f>IF($O81="","",IFERROR(CHOOSE(MATCH($F81,الإعدادات!$B$4:$B$7,0),INDEX('حضور سوريال'!$C$7:$C$36,$O81),INDEX('حضور غبريال'!$C$7:$C$36,$O81),INDEX('حضور رفائيل'!$C$7:$C$36,$O81),INDEX('حضور ميخائيل'!$C$7:$C$36,$O81)),""))</f>
        <v/>
      </c>
      <c r="Q81" s="33" t="str">
        <f>IF($O81="","",IFERROR(CHOOSE(MATCH($F81,الإعدادات!$B$4:$B$7,0),INDEX('حضور سوريال'!$D$7:$D$36,$O81),INDEX('حضور غبريال'!$D$7:$D$36,$O81),INDEX('حضور رفائيل'!$D$7:$D$36,$O81),INDEX('حضور ميخائيل'!$D$7:$D$36,$O81)),""))</f>
        <v/>
      </c>
      <c r="R81" s="34" t="str">
        <f>IF($O81="","",IFERROR(CHOOSE(MATCH($F81,الإعدادات!$B$4:$B$7,0),INDEX('حضور سوريال'!$F$7:$F$36,$O81),INDEX('حضور غبريال'!$F$7:$F$36,$O81),INDEX('حضور رفائيل'!$F$7:$F$36,$O81),INDEX('حضور ميخائيل'!$F$7:$F$36,$O81)),""))</f>
        <v/>
      </c>
      <c r="S81" s="33" t="str">
        <f>IF($O81="","",IFERROR(CHOOSE(MATCH($F81,الإعدادات!$B$4:$B$7,0),INDEX('حضور سوريال'!$G$7:$G$36,$O81),INDEX('حضور غبريال'!$G$7:$G$36,$O81),INDEX('حضور رفائيل'!$G$7:$G$36,$O81),INDEX('حضور ميخائيل'!$G$7:$G$36,$O81)),""))</f>
        <v/>
      </c>
      <c r="T81" s="35" t="str">
        <f>IF($O81="","",IFERROR(CHOOSE(MATCH($F81,الإعدادات!$B$4:$B$7,0),INDEX('حضور سوريال'!$H$7:$H$36,$O81),INDEX('حضور غبريال'!$H$7:$H$36,$O81),INDEX('حضور رفائيل'!$H$7:$H$36,$O81),INDEX('حضور ميخائيل'!$H$7:$H$36,$O81)),""))</f>
        <v/>
      </c>
      <c r="U81" s="36" t="str">
        <f>IF($O81="","",IFERROR(CHOOSE(MATCH($F81,الإعدادات!$B$4:$B$7,0),INDEX('حضور سوريال'!$I$7:$I$36,$O81),INDEX('حضور غبريال'!$I$7:$I$36,$O81),INDEX('حضور رفائيل'!$I$7:$I$36,$O81),INDEX('حضور ميخائيل'!$I$7:$I$36,$O81)),""))</f>
        <v/>
      </c>
      <c r="V81" t="str">
        <f>IF($O81="","",IFERROR(CHOOSE(MATCH($F81,الإعدادات!$B$4:$B$7,0),INDEX('حضور سوريال'!$BM$7:$BM$36,$O81),INDEX('حضور غبريال'!$BM$7:$BM$36,$O81),INDEX('حضور رفائيل'!$BM$7:$BM$36,$O81),INDEX('حضور ميخائيل'!$BM$7:$BM$36,$O81)),""))</f>
        <v/>
      </c>
      <c r="W81" t="str">
        <f>IF(OR(V81=3,V81=4),COUNTIFS(V$6:V81,3)+COUNTIFS(V$6:V81,4),"")</f>
        <v/>
      </c>
    </row>
    <row r="82" spans="1:23" ht="25.5" customHeight="1">
      <c r="A82" s="26" t="str">
        <f t="shared" si="3"/>
        <v/>
      </c>
      <c r="B82" s="27" t="str">
        <f t="shared" si="4"/>
        <v/>
      </c>
      <c r="C82" s="28"/>
      <c r="D82" s="29"/>
      <c r="E82" s="29"/>
      <c r="F82" s="29"/>
      <c r="G82" s="29"/>
      <c r="H82" s="30"/>
      <c r="I82" s="30"/>
      <c r="J82" s="31"/>
      <c r="K82" s="29"/>
      <c r="L82" s="31"/>
      <c r="M82" s="29"/>
      <c r="N82" s="32" t="str">
        <f t="shared" si="5"/>
        <v/>
      </c>
      <c r="O82" s="32" t="str">
        <f>IF(OR(C82="",F82=""),"",COUNTIFS(F$6:F82,F82,C$6:C82,"&lt;&gt;"))</f>
        <v/>
      </c>
      <c r="P82" s="33" t="str">
        <f>IF($O82="","",IFERROR(CHOOSE(MATCH($F82,الإعدادات!$B$4:$B$7,0),INDEX('حضور سوريال'!$C$7:$C$36,$O82),INDEX('حضور غبريال'!$C$7:$C$36,$O82),INDEX('حضور رفائيل'!$C$7:$C$36,$O82),INDEX('حضور ميخائيل'!$C$7:$C$36,$O82)),""))</f>
        <v/>
      </c>
      <c r="Q82" s="33" t="str">
        <f>IF($O82="","",IFERROR(CHOOSE(MATCH($F82,الإعدادات!$B$4:$B$7,0),INDEX('حضور سوريال'!$D$7:$D$36,$O82),INDEX('حضور غبريال'!$D$7:$D$36,$O82),INDEX('حضور رفائيل'!$D$7:$D$36,$O82),INDEX('حضور ميخائيل'!$D$7:$D$36,$O82)),""))</f>
        <v/>
      </c>
      <c r="R82" s="34" t="str">
        <f>IF($O82="","",IFERROR(CHOOSE(MATCH($F82,الإعدادات!$B$4:$B$7,0),INDEX('حضور سوريال'!$F$7:$F$36,$O82),INDEX('حضور غبريال'!$F$7:$F$36,$O82),INDEX('حضور رفائيل'!$F$7:$F$36,$O82),INDEX('حضور ميخائيل'!$F$7:$F$36,$O82)),""))</f>
        <v/>
      </c>
      <c r="S82" s="33" t="str">
        <f>IF($O82="","",IFERROR(CHOOSE(MATCH($F82,الإعدادات!$B$4:$B$7,0),INDEX('حضور سوريال'!$G$7:$G$36,$O82),INDEX('حضور غبريال'!$G$7:$G$36,$O82),INDEX('حضور رفائيل'!$G$7:$G$36,$O82),INDEX('حضور ميخائيل'!$G$7:$G$36,$O82)),""))</f>
        <v/>
      </c>
      <c r="T82" s="35" t="str">
        <f>IF($O82="","",IFERROR(CHOOSE(MATCH($F82,الإعدادات!$B$4:$B$7,0),INDEX('حضور سوريال'!$H$7:$H$36,$O82),INDEX('حضور غبريال'!$H$7:$H$36,$O82),INDEX('حضور رفائيل'!$H$7:$H$36,$O82),INDEX('حضور ميخائيل'!$H$7:$H$36,$O82)),""))</f>
        <v/>
      </c>
      <c r="U82" s="36" t="str">
        <f>IF($O82="","",IFERROR(CHOOSE(MATCH($F82,الإعدادات!$B$4:$B$7,0),INDEX('حضور سوريال'!$I$7:$I$36,$O82),INDEX('حضور غبريال'!$I$7:$I$36,$O82),INDEX('حضور رفائيل'!$I$7:$I$36,$O82),INDEX('حضور ميخائيل'!$I$7:$I$36,$O82)),""))</f>
        <v/>
      </c>
      <c r="V82" t="str">
        <f>IF($O82="","",IFERROR(CHOOSE(MATCH($F82,الإعدادات!$B$4:$B$7,0),INDEX('حضور سوريال'!$BM$7:$BM$36,$O82),INDEX('حضور غبريال'!$BM$7:$BM$36,$O82),INDEX('حضور رفائيل'!$BM$7:$BM$36,$O82),INDEX('حضور ميخائيل'!$BM$7:$BM$36,$O82)),""))</f>
        <v/>
      </c>
      <c r="W82" t="str">
        <f>IF(OR(V82=3,V82=4),COUNTIFS(V$6:V82,3)+COUNTIFS(V$6:V82,4),"")</f>
        <v/>
      </c>
    </row>
    <row r="83" spans="1:23" ht="25.5" customHeight="1">
      <c r="A83" s="26" t="str">
        <f t="shared" si="3"/>
        <v/>
      </c>
      <c r="B83" s="27" t="str">
        <f t="shared" si="4"/>
        <v/>
      </c>
      <c r="C83" s="28"/>
      <c r="D83" s="29"/>
      <c r="E83" s="29"/>
      <c r="F83" s="29"/>
      <c r="G83" s="29"/>
      <c r="H83" s="30"/>
      <c r="I83" s="30"/>
      <c r="J83" s="31"/>
      <c r="K83" s="29"/>
      <c r="L83" s="31"/>
      <c r="M83" s="29"/>
      <c r="N83" s="32" t="str">
        <f t="shared" si="5"/>
        <v/>
      </c>
      <c r="O83" s="32" t="str">
        <f>IF(OR(C83="",F83=""),"",COUNTIFS(F$6:F83,F83,C$6:C83,"&lt;&gt;"))</f>
        <v/>
      </c>
      <c r="P83" s="33" t="str">
        <f>IF($O83="","",IFERROR(CHOOSE(MATCH($F83,الإعدادات!$B$4:$B$7,0),INDEX('حضور سوريال'!$C$7:$C$36,$O83),INDEX('حضور غبريال'!$C$7:$C$36,$O83),INDEX('حضور رفائيل'!$C$7:$C$36,$O83),INDEX('حضور ميخائيل'!$C$7:$C$36,$O83)),""))</f>
        <v/>
      </c>
      <c r="Q83" s="33" t="str">
        <f>IF($O83="","",IFERROR(CHOOSE(MATCH($F83,الإعدادات!$B$4:$B$7,0),INDEX('حضور سوريال'!$D$7:$D$36,$O83),INDEX('حضور غبريال'!$D$7:$D$36,$O83),INDEX('حضور رفائيل'!$D$7:$D$36,$O83),INDEX('حضور ميخائيل'!$D$7:$D$36,$O83)),""))</f>
        <v/>
      </c>
      <c r="R83" s="34" t="str">
        <f>IF($O83="","",IFERROR(CHOOSE(MATCH($F83,الإعدادات!$B$4:$B$7,0),INDEX('حضور سوريال'!$F$7:$F$36,$O83),INDEX('حضور غبريال'!$F$7:$F$36,$O83),INDEX('حضور رفائيل'!$F$7:$F$36,$O83),INDEX('حضور ميخائيل'!$F$7:$F$36,$O83)),""))</f>
        <v/>
      </c>
      <c r="S83" s="33" t="str">
        <f>IF($O83="","",IFERROR(CHOOSE(MATCH($F83,الإعدادات!$B$4:$B$7,0),INDEX('حضور سوريال'!$G$7:$G$36,$O83),INDEX('حضور غبريال'!$G$7:$G$36,$O83),INDEX('حضور رفائيل'!$G$7:$G$36,$O83),INDEX('حضور ميخائيل'!$G$7:$G$36,$O83)),""))</f>
        <v/>
      </c>
      <c r="T83" s="35" t="str">
        <f>IF($O83="","",IFERROR(CHOOSE(MATCH($F83,الإعدادات!$B$4:$B$7,0),INDEX('حضور سوريال'!$H$7:$H$36,$O83),INDEX('حضور غبريال'!$H$7:$H$36,$O83),INDEX('حضور رفائيل'!$H$7:$H$36,$O83),INDEX('حضور ميخائيل'!$H$7:$H$36,$O83)),""))</f>
        <v/>
      </c>
      <c r="U83" s="36" t="str">
        <f>IF($O83="","",IFERROR(CHOOSE(MATCH($F83,الإعدادات!$B$4:$B$7,0),INDEX('حضور سوريال'!$I$7:$I$36,$O83),INDEX('حضور غبريال'!$I$7:$I$36,$O83),INDEX('حضور رفائيل'!$I$7:$I$36,$O83),INDEX('حضور ميخائيل'!$I$7:$I$36,$O83)),""))</f>
        <v/>
      </c>
      <c r="V83" t="str">
        <f>IF($O83="","",IFERROR(CHOOSE(MATCH($F83,الإعدادات!$B$4:$B$7,0),INDEX('حضور سوريال'!$BM$7:$BM$36,$O83),INDEX('حضور غبريال'!$BM$7:$BM$36,$O83),INDEX('حضور رفائيل'!$BM$7:$BM$36,$O83),INDEX('حضور ميخائيل'!$BM$7:$BM$36,$O83)),""))</f>
        <v/>
      </c>
      <c r="W83" t="str">
        <f>IF(OR(V83=3,V83=4),COUNTIFS(V$6:V83,3)+COUNTIFS(V$6:V83,4),"")</f>
        <v/>
      </c>
    </row>
    <row r="84" spans="1:23" ht="25.5" customHeight="1">
      <c r="A84" s="26" t="str">
        <f t="shared" si="3"/>
        <v/>
      </c>
      <c r="B84" s="27" t="str">
        <f t="shared" si="4"/>
        <v/>
      </c>
      <c r="C84" s="28"/>
      <c r="D84" s="29"/>
      <c r="E84" s="29"/>
      <c r="F84" s="29"/>
      <c r="G84" s="29"/>
      <c r="H84" s="30"/>
      <c r="I84" s="30"/>
      <c r="J84" s="31"/>
      <c r="K84" s="29"/>
      <c r="L84" s="31"/>
      <c r="M84" s="29"/>
      <c r="N84" s="32" t="str">
        <f t="shared" si="5"/>
        <v/>
      </c>
      <c r="O84" s="32" t="str">
        <f>IF(OR(C84="",F84=""),"",COUNTIFS(F$6:F84,F84,C$6:C84,"&lt;&gt;"))</f>
        <v/>
      </c>
      <c r="P84" s="33" t="str">
        <f>IF($O84="","",IFERROR(CHOOSE(MATCH($F84,الإعدادات!$B$4:$B$7,0),INDEX('حضور سوريال'!$C$7:$C$36,$O84),INDEX('حضور غبريال'!$C$7:$C$36,$O84),INDEX('حضور رفائيل'!$C$7:$C$36,$O84),INDEX('حضور ميخائيل'!$C$7:$C$36,$O84)),""))</f>
        <v/>
      </c>
      <c r="Q84" s="33" t="str">
        <f>IF($O84="","",IFERROR(CHOOSE(MATCH($F84,الإعدادات!$B$4:$B$7,0),INDEX('حضور سوريال'!$D$7:$D$36,$O84),INDEX('حضور غبريال'!$D$7:$D$36,$O84),INDEX('حضور رفائيل'!$D$7:$D$36,$O84),INDEX('حضور ميخائيل'!$D$7:$D$36,$O84)),""))</f>
        <v/>
      </c>
      <c r="R84" s="34" t="str">
        <f>IF($O84="","",IFERROR(CHOOSE(MATCH($F84,الإعدادات!$B$4:$B$7,0),INDEX('حضور سوريال'!$F$7:$F$36,$O84),INDEX('حضور غبريال'!$F$7:$F$36,$O84),INDEX('حضور رفائيل'!$F$7:$F$36,$O84),INDEX('حضور ميخائيل'!$F$7:$F$36,$O84)),""))</f>
        <v/>
      </c>
      <c r="S84" s="33" t="str">
        <f>IF($O84="","",IFERROR(CHOOSE(MATCH($F84,الإعدادات!$B$4:$B$7,0),INDEX('حضور سوريال'!$G$7:$G$36,$O84),INDEX('حضور غبريال'!$G$7:$G$36,$O84),INDEX('حضور رفائيل'!$G$7:$G$36,$O84),INDEX('حضور ميخائيل'!$G$7:$G$36,$O84)),""))</f>
        <v/>
      </c>
      <c r="T84" s="35" t="str">
        <f>IF($O84="","",IFERROR(CHOOSE(MATCH($F84,الإعدادات!$B$4:$B$7,0),INDEX('حضور سوريال'!$H$7:$H$36,$O84),INDEX('حضور غبريال'!$H$7:$H$36,$O84),INDEX('حضور رفائيل'!$H$7:$H$36,$O84),INDEX('حضور ميخائيل'!$H$7:$H$36,$O84)),""))</f>
        <v/>
      </c>
      <c r="U84" s="36" t="str">
        <f>IF($O84="","",IFERROR(CHOOSE(MATCH($F84,الإعدادات!$B$4:$B$7,0),INDEX('حضور سوريال'!$I$7:$I$36,$O84),INDEX('حضور غبريال'!$I$7:$I$36,$O84),INDEX('حضور رفائيل'!$I$7:$I$36,$O84),INDEX('حضور ميخائيل'!$I$7:$I$36,$O84)),""))</f>
        <v/>
      </c>
      <c r="V84" t="str">
        <f>IF($O84="","",IFERROR(CHOOSE(MATCH($F84,الإعدادات!$B$4:$B$7,0),INDEX('حضور سوريال'!$BM$7:$BM$36,$O84),INDEX('حضور غبريال'!$BM$7:$BM$36,$O84),INDEX('حضور رفائيل'!$BM$7:$BM$36,$O84),INDEX('حضور ميخائيل'!$BM$7:$BM$36,$O84)),""))</f>
        <v/>
      </c>
      <c r="W84" t="str">
        <f>IF(OR(V84=3,V84=4),COUNTIFS(V$6:V84,3)+COUNTIFS(V$6:V84,4),"")</f>
        <v/>
      </c>
    </row>
    <row r="85" spans="1:23" ht="25.5" customHeight="1">
      <c r="A85" s="26" t="str">
        <f t="shared" si="3"/>
        <v/>
      </c>
      <c r="B85" s="27" t="str">
        <f t="shared" si="4"/>
        <v/>
      </c>
      <c r="C85" s="28"/>
      <c r="D85" s="29"/>
      <c r="E85" s="29"/>
      <c r="F85" s="29"/>
      <c r="G85" s="29"/>
      <c r="H85" s="30"/>
      <c r="I85" s="30"/>
      <c r="J85" s="31"/>
      <c r="K85" s="29"/>
      <c r="L85" s="31"/>
      <c r="M85" s="29"/>
      <c r="N85" s="32" t="str">
        <f t="shared" si="5"/>
        <v/>
      </c>
      <c r="O85" s="32" t="str">
        <f>IF(OR(C85="",F85=""),"",COUNTIFS(F$6:F85,F85,C$6:C85,"&lt;&gt;"))</f>
        <v/>
      </c>
      <c r="P85" s="33" t="str">
        <f>IF($O85="","",IFERROR(CHOOSE(MATCH($F85,الإعدادات!$B$4:$B$7,0),INDEX('حضور سوريال'!$C$7:$C$36,$O85),INDEX('حضور غبريال'!$C$7:$C$36,$O85),INDEX('حضور رفائيل'!$C$7:$C$36,$O85),INDEX('حضور ميخائيل'!$C$7:$C$36,$O85)),""))</f>
        <v/>
      </c>
      <c r="Q85" s="33" t="str">
        <f>IF($O85="","",IFERROR(CHOOSE(MATCH($F85,الإعدادات!$B$4:$B$7,0),INDEX('حضور سوريال'!$D$7:$D$36,$O85),INDEX('حضور غبريال'!$D$7:$D$36,$O85),INDEX('حضور رفائيل'!$D$7:$D$36,$O85),INDEX('حضور ميخائيل'!$D$7:$D$36,$O85)),""))</f>
        <v/>
      </c>
      <c r="R85" s="34" t="str">
        <f>IF($O85="","",IFERROR(CHOOSE(MATCH($F85,الإعدادات!$B$4:$B$7,0),INDEX('حضور سوريال'!$F$7:$F$36,$O85),INDEX('حضور غبريال'!$F$7:$F$36,$O85),INDEX('حضور رفائيل'!$F$7:$F$36,$O85),INDEX('حضور ميخائيل'!$F$7:$F$36,$O85)),""))</f>
        <v/>
      </c>
      <c r="S85" s="33" t="str">
        <f>IF($O85="","",IFERROR(CHOOSE(MATCH($F85,الإعدادات!$B$4:$B$7,0),INDEX('حضور سوريال'!$G$7:$G$36,$O85),INDEX('حضور غبريال'!$G$7:$G$36,$O85),INDEX('حضور رفائيل'!$G$7:$G$36,$O85),INDEX('حضور ميخائيل'!$G$7:$G$36,$O85)),""))</f>
        <v/>
      </c>
      <c r="T85" s="35" t="str">
        <f>IF($O85="","",IFERROR(CHOOSE(MATCH($F85,الإعدادات!$B$4:$B$7,0),INDEX('حضور سوريال'!$H$7:$H$36,$O85),INDEX('حضور غبريال'!$H$7:$H$36,$O85),INDEX('حضور رفائيل'!$H$7:$H$36,$O85),INDEX('حضور ميخائيل'!$H$7:$H$36,$O85)),""))</f>
        <v/>
      </c>
      <c r="U85" s="36" t="str">
        <f>IF($O85="","",IFERROR(CHOOSE(MATCH($F85,الإعدادات!$B$4:$B$7,0),INDEX('حضور سوريال'!$I$7:$I$36,$O85),INDEX('حضور غبريال'!$I$7:$I$36,$O85),INDEX('حضور رفائيل'!$I$7:$I$36,$O85),INDEX('حضور ميخائيل'!$I$7:$I$36,$O85)),""))</f>
        <v/>
      </c>
      <c r="V85" t="str">
        <f>IF($O85="","",IFERROR(CHOOSE(MATCH($F85,الإعدادات!$B$4:$B$7,0),INDEX('حضور سوريال'!$BM$7:$BM$36,$O85),INDEX('حضور غبريال'!$BM$7:$BM$36,$O85),INDEX('حضور رفائيل'!$BM$7:$BM$36,$O85),INDEX('حضور ميخائيل'!$BM$7:$BM$36,$O85)),""))</f>
        <v/>
      </c>
      <c r="W85" t="str">
        <f>IF(OR(V85=3,V85=4),COUNTIFS(V$6:V85,3)+COUNTIFS(V$6:V85,4),"")</f>
        <v/>
      </c>
    </row>
    <row r="86" spans="1:23" ht="25.5" customHeight="1">
      <c r="A86" s="26" t="str">
        <f t="shared" si="3"/>
        <v/>
      </c>
      <c r="B86" s="27" t="str">
        <f t="shared" si="4"/>
        <v/>
      </c>
      <c r="C86" s="28"/>
      <c r="D86" s="29"/>
      <c r="E86" s="29"/>
      <c r="F86" s="29"/>
      <c r="G86" s="29"/>
      <c r="H86" s="30"/>
      <c r="I86" s="30"/>
      <c r="J86" s="31"/>
      <c r="K86" s="29"/>
      <c r="L86" s="31"/>
      <c r="M86" s="29"/>
      <c r="N86" s="32" t="str">
        <f t="shared" si="5"/>
        <v/>
      </c>
      <c r="O86" s="32" t="str">
        <f>IF(OR(C86="",F86=""),"",COUNTIFS(F$6:F86,F86,C$6:C86,"&lt;&gt;"))</f>
        <v/>
      </c>
      <c r="P86" s="33" t="str">
        <f>IF($O86="","",IFERROR(CHOOSE(MATCH($F86,الإعدادات!$B$4:$B$7,0),INDEX('حضور سوريال'!$C$7:$C$36,$O86),INDEX('حضور غبريال'!$C$7:$C$36,$O86),INDEX('حضور رفائيل'!$C$7:$C$36,$O86),INDEX('حضور ميخائيل'!$C$7:$C$36,$O86)),""))</f>
        <v/>
      </c>
      <c r="Q86" s="33" t="str">
        <f>IF($O86="","",IFERROR(CHOOSE(MATCH($F86,الإعدادات!$B$4:$B$7,0),INDEX('حضور سوريال'!$D$7:$D$36,$O86),INDEX('حضور غبريال'!$D$7:$D$36,$O86),INDEX('حضور رفائيل'!$D$7:$D$36,$O86),INDEX('حضور ميخائيل'!$D$7:$D$36,$O86)),""))</f>
        <v/>
      </c>
      <c r="R86" s="34" t="str">
        <f>IF($O86="","",IFERROR(CHOOSE(MATCH($F86,الإعدادات!$B$4:$B$7,0),INDEX('حضور سوريال'!$F$7:$F$36,$O86),INDEX('حضور غبريال'!$F$7:$F$36,$O86),INDEX('حضور رفائيل'!$F$7:$F$36,$O86),INDEX('حضور ميخائيل'!$F$7:$F$36,$O86)),""))</f>
        <v/>
      </c>
      <c r="S86" s="33" t="str">
        <f>IF($O86="","",IFERROR(CHOOSE(MATCH($F86,الإعدادات!$B$4:$B$7,0),INDEX('حضور سوريال'!$G$7:$G$36,$O86),INDEX('حضور غبريال'!$G$7:$G$36,$O86),INDEX('حضور رفائيل'!$G$7:$G$36,$O86),INDEX('حضور ميخائيل'!$G$7:$G$36,$O86)),""))</f>
        <v/>
      </c>
      <c r="T86" s="35" t="str">
        <f>IF($O86="","",IFERROR(CHOOSE(MATCH($F86,الإعدادات!$B$4:$B$7,0),INDEX('حضور سوريال'!$H$7:$H$36,$O86),INDEX('حضور غبريال'!$H$7:$H$36,$O86),INDEX('حضور رفائيل'!$H$7:$H$36,$O86),INDEX('حضور ميخائيل'!$H$7:$H$36,$O86)),""))</f>
        <v/>
      </c>
      <c r="U86" s="36" t="str">
        <f>IF($O86="","",IFERROR(CHOOSE(MATCH($F86,الإعدادات!$B$4:$B$7,0),INDEX('حضور سوريال'!$I$7:$I$36,$O86),INDEX('حضور غبريال'!$I$7:$I$36,$O86),INDEX('حضور رفائيل'!$I$7:$I$36,$O86),INDEX('حضور ميخائيل'!$I$7:$I$36,$O86)),""))</f>
        <v/>
      </c>
      <c r="V86" t="str">
        <f>IF($O86="","",IFERROR(CHOOSE(MATCH($F86,الإعدادات!$B$4:$B$7,0),INDEX('حضور سوريال'!$BM$7:$BM$36,$O86),INDEX('حضور غبريال'!$BM$7:$BM$36,$O86),INDEX('حضور رفائيل'!$BM$7:$BM$36,$O86),INDEX('حضور ميخائيل'!$BM$7:$BM$36,$O86)),""))</f>
        <v/>
      </c>
      <c r="W86" t="str">
        <f>IF(OR(V86=3,V86=4),COUNTIFS(V$6:V86,3)+COUNTIFS(V$6:V86,4),"")</f>
        <v/>
      </c>
    </row>
    <row r="87" spans="1:23" ht="25.5" customHeight="1">
      <c r="A87" s="26" t="str">
        <f t="shared" si="3"/>
        <v/>
      </c>
      <c r="B87" s="27" t="str">
        <f t="shared" si="4"/>
        <v/>
      </c>
      <c r="C87" s="28"/>
      <c r="D87" s="29"/>
      <c r="E87" s="29"/>
      <c r="F87" s="29"/>
      <c r="G87" s="29"/>
      <c r="H87" s="30"/>
      <c r="I87" s="30"/>
      <c r="J87" s="31"/>
      <c r="K87" s="29"/>
      <c r="L87" s="31"/>
      <c r="M87" s="29"/>
      <c r="N87" s="32" t="str">
        <f t="shared" si="5"/>
        <v/>
      </c>
      <c r="O87" s="32" t="str">
        <f>IF(OR(C87="",F87=""),"",COUNTIFS(F$6:F87,F87,C$6:C87,"&lt;&gt;"))</f>
        <v/>
      </c>
      <c r="P87" s="33" t="str">
        <f>IF($O87="","",IFERROR(CHOOSE(MATCH($F87,الإعدادات!$B$4:$B$7,0),INDEX('حضور سوريال'!$C$7:$C$36,$O87),INDEX('حضور غبريال'!$C$7:$C$36,$O87),INDEX('حضور رفائيل'!$C$7:$C$36,$O87),INDEX('حضور ميخائيل'!$C$7:$C$36,$O87)),""))</f>
        <v/>
      </c>
      <c r="Q87" s="33" t="str">
        <f>IF($O87="","",IFERROR(CHOOSE(MATCH($F87,الإعدادات!$B$4:$B$7,0),INDEX('حضور سوريال'!$D$7:$D$36,$O87),INDEX('حضور غبريال'!$D$7:$D$36,$O87),INDEX('حضور رفائيل'!$D$7:$D$36,$O87),INDEX('حضور ميخائيل'!$D$7:$D$36,$O87)),""))</f>
        <v/>
      </c>
      <c r="R87" s="34" t="str">
        <f>IF($O87="","",IFERROR(CHOOSE(MATCH($F87,الإعدادات!$B$4:$B$7,0),INDEX('حضور سوريال'!$F$7:$F$36,$O87),INDEX('حضور غبريال'!$F$7:$F$36,$O87),INDEX('حضور رفائيل'!$F$7:$F$36,$O87),INDEX('حضور ميخائيل'!$F$7:$F$36,$O87)),""))</f>
        <v/>
      </c>
      <c r="S87" s="33" t="str">
        <f>IF($O87="","",IFERROR(CHOOSE(MATCH($F87,الإعدادات!$B$4:$B$7,0),INDEX('حضور سوريال'!$G$7:$G$36,$O87),INDEX('حضور غبريال'!$G$7:$G$36,$O87),INDEX('حضور رفائيل'!$G$7:$G$36,$O87),INDEX('حضور ميخائيل'!$G$7:$G$36,$O87)),""))</f>
        <v/>
      </c>
      <c r="T87" s="35" t="str">
        <f>IF($O87="","",IFERROR(CHOOSE(MATCH($F87,الإعدادات!$B$4:$B$7,0),INDEX('حضور سوريال'!$H$7:$H$36,$O87),INDEX('حضور غبريال'!$H$7:$H$36,$O87),INDEX('حضور رفائيل'!$H$7:$H$36,$O87),INDEX('حضور ميخائيل'!$H$7:$H$36,$O87)),""))</f>
        <v/>
      </c>
      <c r="U87" s="36" t="str">
        <f>IF($O87="","",IFERROR(CHOOSE(MATCH($F87,الإعدادات!$B$4:$B$7,0),INDEX('حضور سوريال'!$I$7:$I$36,$O87),INDEX('حضور غبريال'!$I$7:$I$36,$O87),INDEX('حضور رفائيل'!$I$7:$I$36,$O87),INDEX('حضور ميخائيل'!$I$7:$I$36,$O87)),""))</f>
        <v/>
      </c>
      <c r="V87" t="str">
        <f>IF($O87="","",IFERROR(CHOOSE(MATCH($F87,الإعدادات!$B$4:$B$7,0),INDEX('حضور سوريال'!$BM$7:$BM$36,$O87),INDEX('حضور غبريال'!$BM$7:$BM$36,$O87),INDEX('حضور رفائيل'!$BM$7:$BM$36,$O87),INDEX('حضور ميخائيل'!$BM$7:$BM$36,$O87)),""))</f>
        <v/>
      </c>
      <c r="W87" t="str">
        <f>IF(OR(V87=3,V87=4),COUNTIFS(V$6:V87,3)+COUNTIFS(V$6:V87,4),"")</f>
        <v/>
      </c>
    </row>
    <row r="88" spans="1:23" ht="25.5" customHeight="1">
      <c r="A88" s="26" t="str">
        <f t="shared" si="3"/>
        <v/>
      </c>
      <c r="B88" s="27" t="str">
        <f t="shared" si="4"/>
        <v/>
      </c>
      <c r="C88" s="28"/>
      <c r="D88" s="29"/>
      <c r="E88" s="29"/>
      <c r="F88" s="29"/>
      <c r="G88" s="29"/>
      <c r="H88" s="30"/>
      <c r="I88" s="30"/>
      <c r="J88" s="31"/>
      <c r="K88" s="29"/>
      <c r="L88" s="31"/>
      <c r="M88" s="29"/>
      <c r="N88" s="32" t="str">
        <f t="shared" si="5"/>
        <v/>
      </c>
      <c r="O88" s="32" t="str">
        <f>IF(OR(C88="",F88=""),"",COUNTIFS(F$6:F88,F88,C$6:C88,"&lt;&gt;"))</f>
        <v/>
      </c>
      <c r="P88" s="33" t="str">
        <f>IF($O88="","",IFERROR(CHOOSE(MATCH($F88,الإعدادات!$B$4:$B$7,0),INDEX('حضور سوريال'!$C$7:$C$36,$O88),INDEX('حضور غبريال'!$C$7:$C$36,$O88),INDEX('حضور رفائيل'!$C$7:$C$36,$O88),INDEX('حضور ميخائيل'!$C$7:$C$36,$O88)),""))</f>
        <v/>
      </c>
      <c r="Q88" s="33" t="str">
        <f>IF($O88="","",IFERROR(CHOOSE(MATCH($F88,الإعدادات!$B$4:$B$7,0),INDEX('حضور سوريال'!$D$7:$D$36,$O88),INDEX('حضور غبريال'!$D$7:$D$36,$O88),INDEX('حضور رفائيل'!$D$7:$D$36,$O88),INDEX('حضور ميخائيل'!$D$7:$D$36,$O88)),""))</f>
        <v/>
      </c>
      <c r="R88" s="34" t="str">
        <f>IF($O88="","",IFERROR(CHOOSE(MATCH($F88,الإعدادات!$B$4:$B$7,0),INDEX('حضور سوريال'!$F$7:$F$36,$O88),INDEX('حضور غبريال'!$F$7:$F$36,$O88),INDEX('حضور رفائيل'!$F$7:$F$36,$O88),INDEX('حضور ميخائيل'!$F$7:$F$36,$O88)),""))</f>
        <v/>
      </c>
      <c r="S88" s="33" t="str">
        <f>IF($O88="","",IFERROR(CHOOSE(MATCH($F88,الإعدادات!$B$4:$B$7,0),INDEX('حضور سوريال'!$G$7:$G$36,$O88),INDEX('حضور غبريال'!$G$7:$G$36,$O88),INDEX('حضور رفائيل'!$G$7:$G$36,$O88),INDEX('حضور ميخائيل'!$G$7:$G$36,$O88)),""))</f>
        <v/>
      </c>
      <c r="T88" s="35" t="str">
        <f>IF($O88="","",IFERROR(CHOOSE(MATCH($F88,الإعدادات!$B$4:$B$7,0),INDEX('حضور سوريال'!$H$7:$H$36,$O88),INDEX('حضور غبريال'!$H$7:$H$36,$O88),INDEX('حضور رفائيل'!$H$7:$H$36,$O88),INDEX('حضور ميخائيل'!$H$7:$H$36,$O88)),""))</f>
        <v/>
      </c>
      <c r="U88" s="36" t="str">
        <f>IF($O88="","",IFERROR(CHOOSE(MATCH($F88,الإعدادات!$B$4:$B$7,0),INDEX('حضور سوريال'!$I$7:$I$36,$O88),INDEX('حضور غبريال'!$I$7:$I$36,$O88),INDEX('حضور رفائيل'!$I$7:$I$36,$O88),INDEX('حضور ميخائيل'!$I$7:$I$36,$O88)),""))</f>
        <v/>
      </c>
      <c r="V88" t="str">
        <f>IF($O88="","",IFERROR(CHOOSE(MATCH($F88,الإعدادات!$B$4:$B$7,0),INDEX('حضور سوريال'!$BM$7:$BM$36,$O88),INDEX('حضور غبريال'!$BM$7:$BM$36,$O88),INDEX('حضور رفائيل'!$BM$7:$BM$36,$O88),INDEX('حضور ميخائيل'!$BM$7:$BM$36,$O88)),""))</f>
        <v/>
      </c>
      <c r="W88" t="str">
        <f>IF(OR(V88=3,V88=4),COUNTIFS(V$6:V88,3)+COUNTIFS(V$6:V88,4),"")</f>
        <v/>
      </c>
    </row>
    <row r="89" spans="1:23" ht="25.5" customHeight="1">
      <c r="A89" s="26" t="str">
        <f t="shared" si="3"/>
        <v/>
      </c>
      <c r="B89" s="27" t="str">
        <f t="shared" si="4"/>
        <v/>
      </c>
      <c r="C89" s="28"/>
      <c r="D89" s="29"/>
      <c r="E89" s="29"/>
      <c r="F89" s="29"/>
      <c r="G89" s="29"/>
      <c r="H89" s="30"/>
      <c r="I89" s="30"/>
      <c r="J89" s="31"/>
      <c r="K89" s="29"/>
      <c r="L89" s="31"/>
      <c r="M89" s="29"/>
      <c r="N89" s="32" t="str">
        <f t="shared" si="5"/>
        <v/>
      </c>
      <c r="O89" s="32" t="str">
        <f>IF(OR(C89="",F89=""),"",COUNTIFS(F$6:F89,F89,C$6:C89,"&lt;&gt;"))</f>
        <v/>
      </c>
      <c r="P89" s="33" t="str">
        <f>IF($O89="","",IFERROR(CHOOSE(MATCH($F89,الإعدادات!$B$4:$B$7,0),INDEX('حضور سوريال'!$C$7:$C$36,$O89),INDEX('حضور غبريال'!$C$7:$C$36,$O89),INDEX('حضور رفائيل'!$C$7:$C$36,$O89),INDEX('حضور ميخائيل'!$C$7:$C$36,$O89)),""))</f>
        <v/>
      </c>
      <c r="Q89" s="33" t="str">
        <f>IF($O89="","",IFERROR(CHOOSE(MATCH($F89,الإعدادات!$B$4:$B$7,0),INDEX('حضور سوريال'!$D$7:$D$36,$O89),INDEX('حضور غبريال'!$D$7:$D$36,$O89),INDEX('حضور رفائيل'!$D$7:$D$36,$O89),INDEX('حضور ميخائيل'!$D$7:$D$36,$O89)),""))</f>
        <v/>
      </c>
      <c r="R89" s="34" t="str">
        <f>IF($O89="","",IFERROR(CHOOSE(MATCH($F89,الإعدادات!$B$4:$B$7,0),INDEX('حضور سوريال'!$F$7:$F$36,$O89),INDEX('حضور غبريال'!$F$7:$F$36,$O89),INDEX('حضور رفائيل'!$F$7:$F$36,$O89),INDEX('حضور ميخائيل'!$F$7:$F$36,$O89)),""))</f>
        <v/>
      </c>
      <c r="S89" s="33" t="str">
        <f>IF($O89="","",IFERROR(CHOOSE(MATCH($F89,الإعدادات!$B$4:$B$7,0),INDEX('حضور سوريال'!$G$7:$G$36,$O89),INDEX('حضور غبريال'!$G$7:$G$36,$O89),INDEX('حضور رفائيل'!$G$7:$G$36,$O89),INDEX('حضور ميخائيل'!$G$7:$G$36,$O89)),""))</f>
        <v/>
      </c>
      <c r="T89" s="35" t="str">
        <f>IF($O89="","",IFERROR(CHOOSE(MATCH($F89,الإعدادات!$B$4:$B$7,0),INDEX('حضور سوريال'!$H$7:$H$36,$O89),INDEX('حضور غبريال'!$H$7:$H$36,$O89),INDEX('حضور رفائيل'!$H$7:$H$36,$O89),INDEX('حضور ميخائيل'!$H$7:$H$36,$O89)),""))</f>
        <v/>
      </c>
      <c r="U89" s="36" t="str">
        <f>IF($O89="","",IFERROR(CHOOSE(MATCH($F89,الإعدادات!$B$4:$B$7,0),INDEX('حضور سوريال'!$I$7:$I$36,$O89),INDEX('حضور غبريال'!$I$7:$I$36,$O89),INDEX('حضور رفائيل'!$I$7:$I$36,$O89),INDEX('حضور ميخائيل'!$I$7:$I$36,$O89)),""))</f>
        <v/>
      </c>
      <c r="V89" t="str">
        <f>IF($O89="","",IFERROR(CHOOSE(MATCH($F89,الإعدادات!$B$4:$B$7,0),INDEX('حضور سوريال'!$BM$7:$BM$36,$O89),INDEX('حضور غبريال'!$BM$7:$BM$36,$O89),INDEX('حضور رفائيل'!$BM$7:$BM$36,$O89),INDEX('حضور ميخائيل'!$BM$7:$BM$36,$O89)),""))</f>
        <v/>
      </c>
      <c r="W89" t="str">
        <f>IF(OR(V89=3,V89=4),COUNTIFS(V$6:V89,3)+COUNTIFS(V$6:V89,4),"")</f>
        <v/>
      </c>
    </row>
    <row r="90" spans="1:23" ht="25.5" customHeight="1">
      <c r="A90" s="26" t="str">
        <f t="shared" si="3"/>
        <v/>
      </c>
      <c r="B90" s="27" t="str">
        <f t="shared" si="4"/>
        <v/>
      </c>
      <c r="C90" s="28"/>
      <c r="D90" s="29"/>
      <c r="E90" s="29"/>
      <c r="F90" s="29"/>
      <c r="G90" s="29"/>
      <c r="H90" s="30"/>
      <c r="I90" s="30"/>
      <c r="J90" s="31"/>
      <c r="K90" s="29"/>
      <c r="L90" s="31"/>
      <c r="M90" s="29"/>
      <c r="N90" s="32" t="str">
        <f t="shared" si="5"/>
        <v/>
      </c>
      <c r="O90" s="32" t="str">
        <f>IF(OR(C90="",F90=""),"",COUNTIFS(F$6:F90,F90,C$6:C90,"&lt;&gt;"))</f>
        <v/>
      </c>
      <c r="P90" s="33" t="str">
        <f>IF($O90="","",IFERROR(CHOOSE(MATCH($F90,الإعدادات!$B$4:$B$7,0),INDEX('حضور سوريال'!$C$7:$C$36,$O90),INDEX('حضور غبريال'!$C$7:$C$36,$O90),INDEX('حضور رفائيل'!$C$7:$C$36,$O90),INDEX('حضور ميخائيل'!$C$7:$C$36,$O90)),""))</f>
        <v/>
      </c>
      <c r="Q90" s="33" t="str">
        <f>IF($O90="","",IFERROR(CHOOSE(MATCH($F90,الإعدادات!$B$4:$B$7,0),INDEX('حضور سوريال'!$D$7:$D$36,$O90),INDEX('حضور غبريال'!$D$7:$D$36,$O90),INDEX('حضور رفائيل'!$D$7:$D$36,$O90),INDEX('حضور ميخائيل'!$D$7:$D$36,$O90)),""))</f>
        <v/>
      </c>
      <c r="R90" s="34" t="str">
        <f>IF($O90="","",IFERROR(CHOOSE(MATCH($F90,الإعدادات!$B$4:$B$7,0),INDEX('حضور سوريال'!$F$7:$F$36,$O90),INDEX('حضور غبريال'!$F$7:$F$36,$O90),INDEX('حضور رفائيل'!$F$7:$F$36,$O90),INDEX('حضور ميخائيل'!$F$7:$F$36,$O90)),""))</f>
        <v/>
      </c>
      <c r="S90" s="33" t="str">
        <f>IF($O90="","",IFERROR(CHOOSE(MATCH($F90,الإعدادات!$B$4:$B$7,0),INDEX('حضور سوريال'!$G$7:$G$36,$O90),INDEX('حضور غبريال'!$G$7:$G$36,$O90),INDEX('حضور رفائيل'!$G$7:$G$36,$O90),INDEX('حضور ميخائيل'!$G$7:$G$36,$O90)),""))</f>
        <v/>
      </c>
      <c r="T90" s="35" t="str">
        <f>IF($O90="","",IFERROR(CHOOSE(MATCH($F90,الإعدادات!$B$4:$B$7,0),INDEX('حضور سوريال'!$H$7:$H$36,$O90),INDEX('حضور غبريال'!$H$7:$H$36,$O90),INDEX('حضور رفائيل'!$H$7:$H$36,$O90),INDEX('حضور ميخائيل'!$H$7:$H$36,$O90)),""))</f>
        <v/>
      </c>
      <c r="U90" s="36" t="str">
        <f>IF($O90="","",IFERROR(CHOOSE(MATCH($F90,الإعدادات!$B$4:$B$7,0),INDEX('حضور سوريال'!$I$7:$I$36,$O90),INDEX('حضور غبريال'!$I$7:$I$36,$O90),INDEX('حضور رفائيل'!$I$7:$I$36,$O90),INDEX('حضور ميخائيل'!$I$7:$I$36,$O90)),""))</f>
        <v/>
      </c>
      <c r="V90" t="str">
        <f>IF($O90="","",IFERROR(CHOOSE(MATCH($F90,الإعدادات!$B$4:$B$7,0),INDEX('حضور سوريال'!$BM$7:$BM$36,$O90),INDEX('حضور غبريال'!$BM$7:$BM$36,$O90),INDEX('حضور رفائيل'!$BM$7:$BM$36,$O90),INDEX('حضور ميخائيل'!$BM$7:$BM$36,$O90)),""))</f>
        <v/>
      </c>
      <c r="W90" t="str">
        <f>IF(OR(V90=3,V90=4),COUNTIFS(V$6:V90,3)+COUNTIFS(V$6:V90,4),"")</f>
        <v/>
      </c>
    </row>
    <row r="91" spans="1:23" ht="25.5" customHeight="1">
      <c r="A91" s="26" t="str">
        <f t="shared" si="3"/>
        <v/>
      </c>
      <c r="B91" s="27" t="str">
        <f t="shared" si="4"/>
        <v/>
      </c>
      <c r="C91" s="28"/>
      <c r="D91" s="29"/>
      <c r="E91" s="29"/>
      <c r="F91" s="29"/>
      <c r="G91" s="29"/>
      <c r="H91" s="30"/>
      <c r="I91" s="30"/>
      <c r="J91" s="31"/>
      <c r="K91" s="29"/>
      <c r="L91" s="31"/>
      <c r="M91" s="29"/>
      <c r="N91" s="32" t="str">
        <f t="shared" si="5"/>
        <v/>
      </c>
      <c r="O91" s="32" t="str">
        <f>IF(OR(C91="",F91=""),"",COUNTIFS(F$6:F91,F91,C$6:C91,"&lt;&gt;"))</f>
        <v/>
      </c>
      <c r="P91" s="33" t="str">
        <f>IF($O91="","",IFERROR(CHOOSE(MATCH($F91,الإعدادات!$B$4:$B$7,0),INDEX('حضور سوريال'!$C$7:$C$36,$O91),INDEX('حضور غبريال'!$C$7:$C$36,$O91),INDEX('حضور رفائيل'!$C$7:$C$36,$O91),INDEX('حضور ميخائيل'!$C$7:$C$36,$O91)),""))</f>
        <v/>
      </c>
      <c r="Q91" s="33" t="str">
        <f>IF($O91="","",IFERROR(CHOOSE(MATCH($F91,الإعدادات!$B$4:$B$7,0),INDEX('حضور سوريال'!$D$7:$D$36,$O91),INDEX('حضور غبريال'!$D$7:$D$36,$O91),INDEX('حضور رفائيل'!$D$7:$D$36,$O91),INDEX('حضور ميخائيل'!$D$7:$D$36,$O91)),""))</f>
        <v/>
      </c>
      <c r="R91" s="34" t="str">
        <f>IF($O91="","",IFERROR(CHOOSE(MATCH($F91,الإعدادات!$B$4:$B$7,0),INDEX('حضور سوريال'!$F$7:$F$36,$O91),INDEX('حضور غبريال'!$F$7:$F$36,$O91),INDEX('حضور رفائيل'!$F$7:$F$36,$O91),INDEX('حضور ميخائيل'!$F$7:$F$36,$O91)),""))</f>
        <v/>
      </c>
      <c r="S91" s="33" t="str">
        <f>IF($O91="","",IFERROR(CHOOSE(MATCH($F91,الإعدادات!$B$4:$B$7,0),INDEX('حضور سوريال'!$G$7:$G$36,$O91),INDEX('حضور غبريال'!$G$7:$G$36,$O91),INDEX('حضور رفائيل'!$G$7:$G$36,$O91),INDEX('حضور ميخائيل'!$G$7:$G$36,$O91)),""))</f>
        <v/>
      </c>
      <c r="T91" s="35" t="str">
        <f>IF($O91="","",IFERROR(CHOOSE(MATCH($F91,الإعدادات!$B$4:$B$7,0),INDEX('حضور سوريال'!$H$7:$H$36,$O91),INDEX('حضور غبريال'!$H$7:$H$36,$O91),INDEX('حضور رفائيل'!$H$7:$H$36,$O91),INDEX('حضور ميخائيل'!$H$7:$H$36,$O91)),""))</f>
        <v/>
      </c>
      <c r="U91" s="36" t="str">
        <f>IF($O91="","",IFERROR(CHOOSE(MATCH($F91,الإعدادات!$B$4:$B$7,0),INDEX('حضور سوريال'!$I$7:$I$36,$O91),INDEX('حضور غبريال'!$I$7:$I$36,$O91),INDEX('حضور رفائيل'!$I$7:$I$36,$O91),INDEX('حضور ميخائيل'!$I$7:$I$36,$O91)),""))</f>
        <v/>
      </c>
      <c r="V91" t="str">
        <f>IF($O91="","",IFERROR(CHOOSE(MATCH($F91,الإعدادات!$B$4:$B$7,0),INDEX('حضور سوريال'!$BM$7:$BM$36,$O91),INDEX('حضور غبريال'!$BM$7:$BM$36,$O91),INDEX('حضور رفائيل'!$BM$7:$BM$36,$O91),INDEX('حضور ميخائيل'!$BM$7:$BM$36,$O91)),""))</f>
        <v/>
      </c>
      <c r="W91" t="str">
        <f>IF(OR(V91=3,V91=4),COUNTIFS(V$6:V91,3)+COUNTIFS(V$6:V91,4),"")</f>
        <v/>
      </c>
    </row>
    <row r="92" spans="1:23" ht="25.5" customHeight="1">
      <c r="A92" s="26" t="str">
        <f t="shared" si="3"/>
        <v/>
      </c>
      <c r="B92" s="27" t="str">
        <f t="shared" si="4"/>
        <v/>
      </c>
      <c r="C92" s="28"/>
      <c r="D92" s="29"/>
      <c r="E92" s="29"/>
      <c r="F92" s="29"/>
      <c r="G92" s="29"/>
      <c r="H92" s="30"/>
      <c r="I92" s="30"/>
      <c r="J92" s="31"/>
      <c r="K92" s="29"/>
      <c r="L92" s="31"/>
      <c r="M92" s="29"/>
      <c r="N92" s="32" t="str">
        <f t="shared" si="5"/>
        <v/>
      </c>
      <c r="O92" s="32" t="str">
        <f>IF(OR(C92="",F92=""),"",COUNTIFS(F$6:F92,F92,C$6:C92,"&lt;&gt;"))</f>
        <v/>
      </c>
      <c r="P92" s="33" t="str">
        <f>IF($O92="","",IFERROR(CHOOSE(MATCH($F92,الإعدادات!$B$4:$B$7,0),INDEX('حضور سوريال'!$C$7:$C$36,$O92),INDEX('حضور غبريال'!$C$7:$C$36,$O92),INDEX('حضور رفائيل'!$C$7:$C$36,$O92),INDEX('حضور ميخائيل'!$C$7:$C$36,$O92)),""))</f>
        <v/>
      </c>
      <c r="Q92" s="33" t="str">
        <f>IF($O92="","",IFERROR(CHOOSE(MATCH($F92,الإعدادات!$B$4:$B$7,0),INDEX('حضور سوريال'!$D$7:$D$36,$O92),INDEX('حضور غبريال'!$D$7:$D$36,$O92),INDEX('حضور رفائيل'!$D$7:$D$36,$O92),INDEX('حضور ميخائيل'!$D$7:$D$36,$O92)),""))</f>
        <v/>
      </c>
      <c r="R92" s="34" t="str">
        <f>IF($O92="","",IFERROR(CHOOSE(MATCH($F92,الإعدادات!$B$4:$B$7,0),INDEX('حضور سوريال'!$F$7:$F$36,$O92),INDEX('حضور غبريال'!$F$7:$F$36,$O92),INDEX('حضور رفائيل'!$F$7:$F$36,$O92),INDEX('حضور ميخائيل'!$F$7:$F$36,$O92)),""))</f>
        <v/>
      </c>
      <c r="S92" s="33" t="str">
        <f>IF($O92="","",IFERROR(CHOOSE(MATCH($F92,الإعدادات!$B$4:$B$7,0),INDEX('حضور سوريال'!$G$7:$G$36,$O92),INDEX('حضور غبريال'!$G$7:$G$36,$O92),INDEX('حضور رفائيل'!$G$7:$G$36,$O92),INDEX('حضور ميخائيل'!$G$7:$G$36,$O92)),""))</f>
        <v/>
      </c>
      <c r="T92" s="35" t="str">
        <f>IF($O92="","",IFERROR(CHOOSE(MATCH($F92,الإعدادات!$B$4:$B$7,0),INDEX('حضور سوريال'!$H$7:$H$36,$O92),INDEX('حضور غبريال'!$H$7:$H$36,$O92),INDEX('حضور رفائيل'!$H$7:$H$36,$O92),INDEX('حضور ميخائيل'!$H$7:$H$36,$O92)),""))</f>
        <v/>
      </c>
      <c r="U92" s="36" t="str">
        <f>IF($O92="","",IFERROR(CHOOSE(MATCH($F92,الإعدادات!$B$4:$B$7,0),INDEX('حضور سوريال'!$I$7:$I$36,$O92),INDEX('حضور غبريال'!$I$7:$I$36,$O92),INDEX('حضور رفائيل'!$I$7:$I$36,$O92),INDEX('حضور ميخائيل'!$I$7:$I$36,$O92)),""))</f>
        <v/>
      </c>
      <c r="V92" t="str">
        <f>IF($O92="","",IFERROR(CHOOSE(MATCH($F92,الإعدادات!$B$4:$B$7,0),INDEX('حضور سوريال'!$BM$7:$BM$36,$O92),INDEX('حضور غبريال'!$BM$7:$BM$36,$O92),INDEX('حضور رفائيل'!$BM$7:$BM$36,$O92),INDEX('حضور ميخائيل'!$BM$7:$BM$36,$O92)),""))</f>
        <v/>
      </c>
      <c r="W92" t="str">
        <f>IF(OR(V92=3,V92=4),COUNTIFS(V$6:V92,3)+COUNTIFS(V$6:V92,4),"")</f>
        <v/>
      </c>
    </row>
    <row r="93" spans="1:23" ht="25.5" customHeight="1">
      <c r="A93" s="26" t="str">
        <f t="shared" si="3"/>
        <v/>
      </c>
      <c r="B93" s="27" t="str">
        <f t="shared" si="4"/>
        <v/>
      </c>
      <c r="C93" s="28"/>
      <c r="D93" s="29"/>
      <c r="E93" s="29"/>
      <c r="F93" s="29"/>
      <c r="G93" s="29"/>
      <c r="H93" s="30"/>
      <c r="I93" s="30"/>
      <c r="J93" s="31"/>
      <c r="K93" s="29"/>
      <c r="L93" s="31"/>
      <c r="M93" s="29"/>
      <c r="N93" s="32" t="str">
        <f t="shared" si="5"/>
        <v/>
      </c>
      <c r="O93" s="32" t="str">
        <f>IF(OR(C93="",F93=""),"",COUNTIFS(F$6:F93,F93,C$6:C93,"&lt;&gt;"))</f>
        <v/>
      </c>
      <c r="P93" s="33" t="str">
        <f>IF($O93="","",IFERROR(CHOOSE(MATCH($F93,الإعدادات!$B$4:$B$7,0),INDEX('حضور سوريال'!$C$7:$C$36,$O93),INDEX('حضور غبريال'!$C$7:$C$36,$O93),INDEX('حضور رفائيل'!$C$7:$C$36,$O93),INDEX('حضور ميخائيل'!$C$7:$C$36,$O93)),""))</f>
        <v/>
      </c>
      <c r="Q93" s="33" t="str">
        <f>IF($O93="","",IFERROR(CHOOSE(MATCH($F93,الإعدادات!$B$4:$B$7,0),INDEX('حضور سوريال'!$D$7:$D$36,$O93),INDEX('حضور غبريال'!$D$7:$D$36,$O93),INDEX('حضور رفائيل'!$D$7:$D$36,$O93),INDEX('حضور ميخائيل'!$D$7:$D$36,$O93)),""))</f>
        <v/>
      </c>
      <c r="R93" s="34" t="str">
        <f>IF($O93="","",IFERROR(CHOOSE(MATCH($F93,الإعدادات!$B$4:$B$7,0),INDEX('حضور سوريال'!$F$7:$F$36,$O93),INDEX('حضور غبريال'!$F$7:$F$36,$O93),INDEX('حضور رفائيل'!$F$7:$F$36,$O93),INDEX('حضور ميخائيل'!$F$7:$F$36,$O93)),""))</f>
        <v/>
      </c>
      <c r="S93" s="33" t="str">
        <f>IF($O93="","",IFERROR(CHOOSE(MATCH($F93,الإعدادات!$B$4:$B$7,0),INDEX('حضور سوريال'!$G$7:$G$36,$O93),INDEX('حضور غبريال'!$G$7:$G$36,$O93),INDEX('حضور رفائيل'!$G$7:$G$36,$O93),INDEX('حضور ميخائيل'!$G$7:$G$36,$O93)),""))</f>
        <v/>
      </c>
      <c r="T93" s="35" t="str">
        <f>IF($O93="","",IFERROR(CHOOSE(MATCH($F93,الإعدادات!$B$4:$B$7,0),INDEX('حضور سوريال'!$H$7:$H$36,$O93),INDEX('حضور غبريال'!$H$7:$H$36,$O93),INDEX('حضور رفائيل'!$H$7:$H$36,$O93),INDEX('حضور ميخائيل'!$H$7:$H$36,$O93)),""))</f>
        <v/>
      </c>
      <c r="U93" s="36" t="str">
        <f>IF($O93="","",IFERROR(CHOOSE(MATCH($F93,الإعدادات!$B$4:$B$7,0),INDEX('حضور سوريال'!$I$7:$I$36,$O93),INDEX('حضور غبريال'!$I$7:$I$36,$O93),INDEX('حضور رفائيل'!$I$7:$I$36,$O93),INDEX('حضور ميخائيل'!$I$7:$I$36,$O93)),""))</f>
        <v/>
      </c>
      <c r="V93" t="str">
        <f>IF($O93="","",IFERROR(CHOOSE(MATCH($F93,الإعدادات!$B$4:$B$7,0),INDEX('حضور سوريال'!$BM$7:$BM$36,$O93),INDEX('حضور غبريال'!$BM$7:$BM$36,$O93),INDEX('حضور رفائيل'!$BM$7:$BM$36,$O93),INDEX('حضور ميخائيل'!$BM$7:$BM$36,$O93)),""))</f>
        <v/>
      </c>
      <c r="W93" t="str">
        <f>IF(OR(V93=3,V93=4),COUNTIFS(V$6:V93,3)+COUNTIFS(V$6:V93,4),"")</f>
        <v/>
      </c>
    </row>
    <row r="94" spans="1:23" ht="25.5" customHeight="1">
      <c r="A94" s="26" t="str">
        <f t="shared" si="3"/>
        <v/>
      </c>
      <c r="B94" s="27" t="str">
        <f t="shared" si="4"/>
        <v/>
      </c>
      <c r="C94" s="28"/>
      <c r="D94" s="29"/>
      <c r="E94" s="29"/>
      <c r="F94" s="29"/>
      <c r="G94" s="29"/>
      <c r="H94" s="30"/>
      <c r="I94" s="30"/>
      <c r="J94" s="31"/>
      <c r="K94" s="29"/>
      <c r="L94" s="31"/>
      <c r="M94" s="29"/>
      <c r="N94" s="32" t="str">
        <f t="shared" si="5"/>
        <v/>
      </c>
      <c r="O94" s="32" t="str">
        <f>IF(OR(C94="",F94=""),"",COUNTIFS(F$6:F94,F94,C$6:C94,"&lt;&gt;"))</f>
        <v/>
      </c>
      <c r="P94" s="33" t="str">
        <f>IF($O94="","",IFERROR(CHOOSE(MATCH($F94,الإعدادات!$B$4:$B$7,0),INDEX('حضور سوريال'!$C$7:$C$36,$O94),INDEX('حضور غبريال'!$C$7:$C$36,$O94),INDEX('حضور رفائيل'!$C$7:$C$36,$O94),INDEX('حضور ميخائيل'!$C$7:$C$36,$O94)),""))</f>
        <v/>
      </c>
      <c r="Q94" s="33" t="str">
        <f>IF($O94="","",IFERROR(CHOOSE(MATCH($F94,الإعدادات!$B$4:$B$7,0),INDEX('حضور سوريال'!$D$7:$D$36,$O94),INDEX('حضور غبريال'!$D$7:$D$36,$O94),INDEX('حضور رفائيل'!$D$7:$D$36,$O94),INDEX('حضور ميخائيل'!$D$7:$D$36,$O94)),""))</f>
        <v/>
      </c>
      <c r="R94" s="34" t="str">
        <f>IF($O94="","",IFERROR(CHOOSE(MATCH($F94,الإعدادات!$B$4:$B$7,0),INDEX('حضور سوريال'!$F$7:$F$36,$O94),INDEX('حضور غبريال'!$F$7:$F$36,$O94),INDEX('حضور رفائيل'!$F$7:$F$36,$O94),INDEX('حضور ميخائيل'!$F$7:$F$36,$O94)),""))</f>
        <v/>
      </c>
      <c r="S94" s="33" t="str">
        <f>IF($O94="","",IFERROR(CHOOSE(MATCH($F94,الإعدادات!$B$4:$B$7,0),INDEX('حضور سوريال'!$G$7:$G$36,$O94),INDEX('حضور غبريال'!$G$7:$G$36,$O94),INDEX('حضور رفائيل'!$G$7:$G$36,$O94),INDEX('حضور ميخائيل'!$G$7:$G$36,$O94)),""))</f>
        <v/>
      </c>
      <c r="T94" s="35" t="str">
        <f>IF($O94="","",IFERROR(CHOOSE(MATCH($F94,الإعدادات!$B$4:$B$7,0),INDEX('حضور سوريال'!$H$7:$H$36,$O94),INDEX('حضور غبريال'!$H$7:$H$36,$O94),INDEX('حضور رفائيل'!$H$7:$H$36,$O94),INDEX('حضور ميخائيل'!$H$7:$H$36,$O94)),""))</f>
        <v/>
      </c>
      <c r="U94" s="36" t="str">
        <f>IF($O94="","",IFERROR(CHOOSE(MATCH($F94,الإعدادات!$B$4:$B$7,0),INDEX('حضور سوريال'!$I$7:$I$36,$O94),INDEX('حضور غبريال'!$I$7:$I$36,$O94),INDEX('حضور رفائيل'!$I$7:$I$36,$O94),INDEX('حضور ميخائيل'!$I$7:$I$36,$O94)),""))</f>
        <v/>
      </c>
      <c r="V94" t="str">
        <f>IF($O94="","",IFERROR(CHOOSE(MATCH($F94,الإعدادات!$B$4:$B$7,0),INDEX('حضور سوريال'!$BM$7:$BM$36,$O94),INDEX('حضور غبريال'!$BM$7:$BM$36,$O94),INDEX('حضور رفائيل'!$BM$7:$BM$36,$O94),INDEX('حضور ميخائيل'!$BM$7:$BM$36,$O94)),""))</f>
        <v/>
      </c>
      <c r="W94" t="str">
        <f>IF(OR(V94=3,V94=4),COUNTIFS(V$6:V94,3)+COUNTIFS(V$6:V94,4),"")</f>
        <v/>
      </c>
    </row>
    <row r="95" spans="1:23" ht="25.5" customHeight="1">
      <c r="A95" s="26" t="str">
        <f t="shared" si="3"/>
        <v/>
      </c>
      <c r="B95" s="27" t="str">
        <f t="shared" si="4"/>
        <v/>
      </c>
      <c r="C95" s="28"/>
      <c r="D95" s="29"/>
      <c r="E95" s="29"/>
      <c r="F95" s="29"/>
      <c r="G95" s="29"/>
      <c r="H95" s="30"/>
      <c r="I95" s="30"/>
      <c r="J95" s="31"/>
      <c r="K95" s="29"/>
      <c r="L95" s="31"/>
      <c r="M95" s="29"/>
      <c r="N95" s="32" t="str">
        <f t="shared" si="5"/>
        <v/>
      </c>
      <c r="O95" s="32" t="str">
        <f>IF(OR(C95="",F95=""),"",COUNTIFS(F$6:F95,F95,C$6:C95,"&lt;&gt;"))</f>
        <v/>
      </c>
      <c r="P95" s="33" t="str">
        <f>IF($O95="","",IFERROR(CHOOSE(MATCH($F95,الإعدادات!$B$4:$B$7,0),INDEX('حضور سوريال'!$C$7:$C$36,$O95),INDEX('حضور غبريال'!$C$7:$C$36,$O95),INDEX('حضور رفائيل'!$C$7:$C$36,$O95),INDEX('حضور ميخائيل'!$C$7:$C$36,$O95)),""))</f>
        <v/>
      </c>
      <c r="Q95" s="33" t="str">
        <f>IF($O95="","",IFERROR(CHOOSE(MATCH($F95,الإعدادات!$B$4:$B$7,0),INDEX('حضور سوريال'!$D$7:$D$36,$O95),INDEX('حضور غبريال'!$D$7:$D$36,$O95),INDEX('حضور رفائيل'!$D$7:$D$36,$O95),INDEX('حضور ميخائيل'!$D$7:$D$36,$O95)),""))</f>
        <v/>
      </c>
      <c r="R95" s="34" t="str">
        <f>IF($O95="","",IFERROR(CHOOSE(MATCH($F95,الإعدادات!$B$4:$B$7,0),INDEX('حضور سوريال'!$F$7:$F$36,$O95),INDEX('حضور غبريال'!$F$7:$F$36,$O95),INDEX('حضور رفائيل'!$F$7:$F$36,$O95),INDEX('حضور ميخائيل'!$F$7:$F$36,$O95)),""))</f>
        <v/>
      </c>
      <c r="S95" s="33" t="str">
        <f>IF($O95="","",IFERROR(CHOOSE(MATCH($F95,الإعدادات!$B$4:$B$7,0),INDEX('حضور سوريال'!$G$7:$G$36,$O95),INDEX('حضور غبريال'!$G$7:$G$36,$O95),INDEX('حضور رفائيل'!$G$7:$G$36,$O95),INDEX('حضور ميخائيل'!$G$7:$G$36,$O95)),""))</f>
        <v/>
      </c>
      <c r="T95" s="35" t="str">
        <f>IF($O95="","",IFERROR(CHOOSE(MATCH($F95,الإعدادات!$B$4:$B$7,0),INDEX('حضور سوريال'!$H$7:$H$36,$O95),INDEX('حضور غبريال'!$H$7:$H$36,$O95),INDEX('حضور رفائيل'!$H$7:$H$36,$O95),INDEX('حضور ميخائيل'!$H$7:$H$36,$O95)),""))</f>
        <v/>
      </c>
      <c r="U95" s="36" t="str">
        <f>IF($O95="","",IFERROR(CHOOSE(MATCH($F95,الإعدادات!$B$4:$B$7,0),INDEX('حضور سوريال'!$I$7:$I$36,$O95),INDEX('حضور غبريال'!$I$7:$I$36,$O95),INDEX('حضور رفائيل'!$I$7:$I$36,$O95),INDEX('حضور ميخائيل'!$I$7:$I$36,$O95)),""))</f>
        <v/>
      </c>
      <c r="V95" t="str">
        <f>IF($O95="","",IFERROR(CHOOSE(MATCH($F95,الإعدادات!$B$4:$B$7,0),INDEX('حضور سوريال'!$BM$7:$BM$36,$O95),INDEX('حضور غبريال'!$BM$7:$BM$36,$O95),INDEX('حضور رفائيل'!$BM$7:$BM$36,$O95),INDEX('حضور ميخائيل'!$BM$7:$BM$36,$O95)),""))</f>
        <v/>
      </c>
      <c r="W95" t="str">
        <f>IF(OR(V95=3,V95=4),COUNTIFS(V$6:V95,3)+COUNTIFS(V$6:V95,4),"")</f>
        <v/>
      </c>
    </row>
    <row r="96" spans="1:23" ht="25.5" customHeight="1">
      <c r="A96" s="26" t="str">
        <f t="shared" si="3"/>
        <v/>
      </c>
      <c r="B96" s="27" t="str">
        <f t="shared" si="4"/>
        <v/>
      </c>
      <c r="C96" s="28"/>
      <c r="D96" s="29"/>
      <c r="E96" s="29"/>
      <c r="F96" s="29"/>
      <c r="G96" s="29"/>
      <c r="H96" s="30"/>
      <c r="I96" s="30"/>
      <c r="J96" s="31"/>
      <c r="K96" s="29"/>
      <c r="L96" s="31"/>
      <c r="M96" s="29"/>
      <c r="N96" s="32" t="str">
        <f t="shared" si="5"/>
        <v/>
      </c>
      <c r="O96" s="32" t="str">
        <f>IF(OR(C96="",F96=""),"",COUNTIFS(F$6:F96,F96,C$6:C96,"&lt;&gt;"))</f>
        <v/>
      </c>
      <c r="P96" s="33" t="str">
        <f>IF($O96="","",IFERROR(CHOOSE(MATCH($F96,الإعدادات!$B$4:$B$7,0),INDEX('حضور سوريال'!$C$7:$C$36,$O96),INDEX('حضور غبريال'!$C$7:$C$36,$O96),INDEX('حضور رفائيل'!$C$7:$C$36,$O96),INDEX('حضور ميخائيل'!$C$7:$C$36,$O96)),""))</f>
        <v/>
      </c>
      <c r="Q96" s="33" t="str">
        <f>IF($O96="","",IFERROR(CHOOSE(MATCH($F96,الإعدادات!$B$4:$B$7,0),INDEX('حضور سوريال'!$D$7:$D$36,$O96),INDEX('حضور غبريال'!$D$7:$D$36,$O96),INDEX('حضور رفائيل'!$D$7:$D$36,$O96),INDEX('حضور ميخائيل'!$D$7:$D$36,$O96)),""))</f>
        <v/>
      </c>
      <c r="R96" s="34" t="str">
        <f>IF($O96="","",IFERROR(CHOOSE(MATCH($F96,الإعدادات!$B$4:$B$7,0),INDEX('حضور سوريال'!$F$7:$F$36,$O96),INDEX('حضور غبريال'!$F$7:$F$36,$O96),INDEX('حضور رفائيل'!$F$7:$F$36,$O96),INDEX('حضور ميخائيل'!$F$7:$F$36,$O96)),""))</f>
        <v/>
      </c>
      <c r="S96" s="33" t="str">
        <f>IF($O96="","",IFERROR(CHOOSE(MATCH($F96,الإعدادات!$B$4:$B$7,0),INDEX('حضور سوريال'!$G$7:$G$36,$O96),INDEX('حضور غبريال'!$G$7:$G$36,$O96),INDEX('حضور رفائيل'!$G$7:$G$36,$O96),INDEX('حضور ميخائيل'!$G$7:$G$36,$O96)),""))</f>
        <v/>
      </c>
      <c r="T96" s="35" t="str">
        <f>IF($O96="","",IFERROR(CHOOSE(MATCH($F96,الإعدادات!$B$4:$B$7,0),INDEX('حضور سوريال'!$H$7:$H$36,$O96),INDEX('حضور غبريال'!$H$7:$H$36,$O96),INDEX('حضور رفائيل'!$H$7:$H$36,$O96),INDEX('حضور ميخائيل'!$H$7:$H$36,$O96)),""))</f>
        <v/>
      </c>
      <c r="U96" s="36" t="str">
        <f>IF($O96="","",IFERROR(CHOOSE(MATCH($F96,الإعدادات!$B$4:$B$7,0),INDEX('حضور سوريال'!$I$7:$I$36,$O96),INDEX('حضور غبريال'!$I$7:$I$36,$O96),INDEX('حضور رفائيل'!$I$7:$I$36,$O96),INDEX('حضور ميخائيل'!$I$7:$I$36,$O96)),""))</f>
        <v/>
      </c>
      <c r="V96" t="str">
        <f>IF($O96="","",IFERROR(CHOOSE(MATCH($F96,الإعدادات!$B$4:$B$7,0),INDEX('حضور سوريال'!$BM$7:$BM$36,$O96),INDEX('حضور غبريال'!$BM$7:$BM$36,$O96),INDEX('حضور رفائيل'!$BM$7:$BM$36,$O96),INDEX('حضور ميخائيل'!$BM$7:$BM$36,$O96)),""))</f>
        <v/>
      </c>
      <c r="W96" t="str">
        <f>IF(OR(V96=3,V96=4),COUNTIFS(V$6:V96,3)+COUNTIFS(V$6:V96,4),"")</f>
        <v/>
      </c>
    </row>
    <row r="97" spans="1:23" ht="25.5" customHeight="1">
      <c r="A97" s="26" t="str">
        <f t="shared" si="3"/>
        <v/>
      </c>
      <c r="B97" s="27" t="str">
        <f t="shared" si="4"/>
        <v/>
      </c>
      <c r="C97" s="28"/>
      <c r="D97" s="29"/>
      <c r="E97" s="29"/>
      <c r="F97" s="29"/>
      <c r="G97" s="29"/>
      <c r="H97" s="30"/>
      <c r="I97" s="30"/>
      <c r="J97" s="31"/>
      <c r="K97" s="29"/>
      <c r="L97" s="31"/>
      <c r="M97" s="29"/>
      <c r="N97" s="32" t="str">
        <f t="shared" si="5"/>
        <v/>
      </c>
      <c r="O97" s="32" t="str">
        <f>IF(OR(C97="",F97=""),"",COUNTIFS(F$6:F97,F97,C$6:C97,"&lt;&gt;"))</f>
        <v/>
      </c>
      <c r="P97" s="33" t="str">
        <f>IF($O97="","",IFERROR(CHOOSE(MATCH($F97,الإعدادات!$B$4:$B$7,0),INDEX('حضور سوريال'!$C$7:$C$36,$O97),INDEX('حضور غبريال'!$C$7:$C$36,$O97),INDEX('حضور رفائيل'!$C$7:$C$36,$O97),INDEX('حضور ميخائيل'!$C$7:$C$36,$O97)),""))</f>
        <v/>
      </c>
      <c r="Q97" s="33" t="str">
        <f>IF($O97="","",IFERROR(CHOOSE(MATCH($F97,الإعدادات!$B$4:$B$7,0),INDEX('حضور سوريال'!$D$7:$D$36,$O97),INDEX('حضور غبريال'!$D$7:$D$36,$O97),INDEX('حضور رفائيل'!$D$7:$D$36,$O97),INDEX('حضور ميخائيل'!$D$7:$D$36,$O97)),""))</f>
        <v/>
      </c>
      <c r="R97" s="34" t="str">
        <f>IF($O97="","",IFERROR(CHOOSE(MATCH($F97,الإعدادات!$B$4:$B$7,0),INDEX('حضور سوريال'!$F$7:$F$36,$O97),INDEX('حضور غبريال'!$F$7:$F$36,$O97),INDEX('حضور رفائيل'!$F$7:$F$36,$O97),INDEX('حضور ميخائيل'!$F$7:$F$36,$O97)),""))</f>
        <v/>
      </c>
      <c r="S97" s="33" t="str">
        <f>IF($O97="","",IFERROR(CHOOSE(MATCH($F97,الإعدادات!$B$4:$B$7,0),INDEX('حضور سوريال'!$G$7:$G$36,$O97),INDEX('حضور غبريال'!$G$7:$G$36,$O97),INDEX('حضور رفائيل'!$G$7:$G$36,$O97),INDEX('حضور ميخائيل'!$G$7:$G$36,$O97)),""))</f>
        <v/>
      </c>
      <c r="T97" s="35" t="str">
        <f>IF($O97="","",IFERROR(CHOOSE(MATCH($F97,الإعدادات!$B$4:$B$7,0),INDEX('حضور سوريال'!$H$7:$H$36,$O97),INDEX('حضور غبريال'!$H$7:$H$36,$O97),INDEX('حضور رفائيل'!$H$7:$H$36,$O97),INDEX('حضور ميخائيل'!$H$7:$H$36,$O97)),""))</f>
        <v/>
      </c>
      <c r="U97" s="36" t="str">
        <f>IF($O97="","",IFERROR(CHOOSE(MATCH($F97,الإعدادات!$B$4:$B$7,0),INDEX('حضور سوريال'!$I$7:$I$36,$O97),INDEX('حضور غبريال'!$I$7:$I$36,$O97),INDEX('حضور رفائيل'!$I$7:$I$36,$O97),INDEX('حضور ميخائيل'!$I$7:$I$36,$O97)),""))</f>
        <v/>
      </c>
      <c r="V97" t="str">
        <f>IF($O97="","",IFERROR(CHOOSE(MATCH($F97,الإعدادات!$B$4:$B$7,0),INDEX('حضور سوريال'!$BM$7:$BM$36,$O97),INDEX('حضور غبريال'!$BM$7:$BM$36,$O97),INDEX('حضور رفائيل'!$BM$7:$BM$36,$O97),INDEX('حضور ميخائيل'!$BM$7:$BM$36,$O97)),""))</f>
        <v/>
      </c>
      <c r="W97" t="str">
        <f>IF(OR(V97=3,V97=4),COUNTIFS(V$6:V97,3)+COUNTIFS(V$6:V97,4),"")</f>
        <v/>
      </c>
    </row>
    <row r="98" spans="1:23" ht="25.5" customHeight="1">
      <c r="A98" s="26" t="str">
        <f t="shared" si="3"/>
        <v/>
      </c>
      <c r="B98" s="27" t="str">
        <f t="shared" si="4"/>
        <v/>
      </c>
      <c r="C98" s="28"/>
      <c r="D98" s="29"/>
      <c r="E98" s="29"/>
      <c r="F98" s="29"/>
      <c r="G98" s="29"/>
      <c r="H98" s="30"/>
      <c r="I98" s="30"/>
      <c r="J98" s="31"/>
      <c r="K98" s="29"/>
      <c r="L98" s="31"/>
      <c r="M98" s="29"/>
      <c r="N98" s="32" t="str">
        <f t="shared" si="5"/>
        <v/>
      </c>
      <c r="O98" s="32" t="str">
        <f>IF(OR(C98="",F98=""),"",COUNTIFS(F$6:F98,F98,C$6:C98,"&lt;&gt;"))</f>
        <v/>
      </c>
      <c r="P98" s="33" t="str">
        <f>IF($O98="","",IFERROR(CHOOSE(MATCH($F98,الإعدادات!$B$4:$B$7,0),INDEX('حضور سوريال'!$C$7:$C$36,$O98),INDEX('حضور غبريال'!$C$7:$C$36,$O98),INDEX('حضور رفائيل'!$C$7:$C$36,$O98),INDEX('حضور ميخائيل'!$C$7:$C$36,$O98)),""))</f>
        <v/>
      </c>
      <c r="Q98" s="33" t="str">
        <f>IF($O98="","",IFERROR(CHOOSE(MATCH($F98,الإعدادات!$B$4:$B$7,0),INDEX('حضور سوريال'!$D$7:$D$36,$O98),INDEX('حضور غبريال'!$D$7:$D$36,$O98),INDEX('حضور رفائيل'!$D$7:$D$36,$O98),INDEX('حضور ميخائيل'!$D$7:$D$36,$O98)),""))</f>
        <v/>
      </c>
      <c r="R98" s="34" t="str">
        <f>IF($O98="","",IFERROR(CHOOSE(MATCH($F98,الإعدادات!$B$4:$B$7,0),INDEX('حضور سوريال'!$F$7:$F$36,$O98),INDEX('حضور غبريال'!$F$7:$F$36,$O98),INDEX('حضور رفائيل'!$F$7:$F$36,$O98),INDEX('حضور ميخائيل'!$F$7:$F$36,$O98)),""))</f>
        <v/>
      </c>
      <c r="S98" s="33" t="str">
        <f>IF($O98="","",IFERROR(CHOOSE(MATCH($F98,الإعدادات!$B$4:$B$7,0),INDEX('حضور سوريال'!$G$7:$G$36,$O98),INDEX('حضور غبريال'!$G$7:$G$36,$O98),INDEX('حضور رفائيل'!$G$7:$G$36,$O98),INDEX('حضور ميخائيل'!$G$7:$G$36,$O98)),""))</f>
        <v/>
      </c>
      <c r="T98" s="35" t="str">
        <f>IF($O98="","",IFERROR(CHOOSE(MATCH($F98,الإعدادات!$B$4:$B$7,0),INDEX('حضور سوريال'!$H$7:$H$36,$O98),INDEX('حضور غبريال'!$H$7:$H$36,$O98),INDEX('حضور رفائيل'!$H$7:$H$36,$O98),INDEX('حضور ميخائيل'!$H$7:$H$36,$O98)),""))</f>
        <v/>
      </c>
      <c r="U98" s="36" t="str">
        <f>IF($O98="","",IFERROR(CHOOSE(MATCH($F98,الإعدادات!$B$4:$B$7,0),INDEX('حضور سوريال'!$I$7:$I$36,$O98),INDEX('حضور غبريال'!$I$7:$I$36,$O98),INDEX('حضور رفائيل'!$I$7:$I$36,$O98),INDEX('حضور ميخائيل'!$I$7:$I$36,$O98)),""))</f>
        <v/>
      </c>
      <c r="V98" t="str">
        <f>IF($O98="","",IFERROR(CHOOSE(MATCH($F98,الإعدادات!$B$4:$B$7,0),INDEX('حضور سوريال'!$BM$7:$BM$36,$O98),INDEX('حضور غبريال'!$BM$7:$BM$36,$O98),INDEX('حضور رفائيل'!$BM$7:$BM$36,$O98),INDEX('حضور ميخائيل'!$BM$7:$BM$36,$O98)),""))</f>
        <v/>
      </c>
      <c r="W98" t="str">
        <f>IF(OR(V98=3,V98=4),COUNTIFS(V$6:V98,3)+COUNTIFS(V$6:V98,4),"")</f>
        <v/>
      </c>
    </row>
    <row r="99" spans="1:23" ht="25.5" customHeight="1">
      <c r="A99" s="26" t="str">
        <f t="shared" si="3"/>
        <v/>
      </c>
      <c r="B99" s="27" t="str">
        <f t="shared" si="4"/>
        <v/>
      </c>
      <c r="C99" s="28"/>
      <c r="D99" s="29"/>
      <c r="E99" s="29"/>
      <c r="F99" s="29"/>
      <c r="G99" s="29"/>
      <c r="H99" s="30"/>
      <c r="I99" s="30"/>
      <c r="J99" s="31"/>
      <c r="K99" s="29"/>
      <c r="L99" s="31"/>
      <c r="M99" s="29"/>
      <c r="N99" s="32" t="str">
        <f t="shared" si="5"/>
        <v/>
      </c>
      <c r="O99" s="32" t="str">
        <f>IF(OR(C99="",F99=""),"",COUNTIFS(F$6:F99,F99,C$6:C99,"&lt;&gt;"))</f>
        <v/>
      </c>
      <c r="P99" s="33" t="str">
        <f>IF($O99="","",IFERROR(CHOOSE(MATCH($F99,الإعدادات!$B$4:$B$7,0),INDEX('حضور سوريال'!$C$7:$C$36,$O99),INDEX('حضور غبريال'!$C$7:$C$36,$O99),INDEX('حضور رفائيل'!$C$7:$C$36,$O99),INDEX('حضور ميخائيل'!$C$7:$C$36,$O99)),""))</f>
        <v/>
      </c>
      <c r="Q99" s="33" t="str">
        <f>IF($O99="","",IFERROR(CHOOSE(MATCH($F99,الإعدادات!$B$4:$B$7,0),INDEX('حضور سوريال'!$D$7:$D$36,$O99),INDEX('حضور غبريال'!$D$7:$D$36,$O99),INDEX('حضور رفائيل'!$D$7:$D$36,$O99),INDEX('حضور ميخائيل'!$D$7:$D$36,$O99)),""))</f>
        <v/>
      </c>
      <c r="R99" s="34" t="str">
        <f>IF($O99="","",IFERROR(CHOOSE(MATCH($F99,الإعدادات!$B$4:$B$7,0),INDEX('حضور سوريال'!$F$7:$F$36,$O99),INDEX('حضور غبريال'!$F$7:$F$36,$O99),INDEX('حضور رفائيل'!$F$7:$F$36,$O99),INDEX('حضور ميخائيل'!$F$7:$F$36,$O99)),""))</f>
        <v/>
      </c>
      <c r="S99" s="33" t="str">
        <f>IF($O99="","",IFERROR(CHOOSE(MATCH($F99,الإعدادات!$B$4:$B$7,0),INDEX('حضور سوريال'!$G$7:$G$36,$O99),INDEX('حضور غبريال'!$G$7:$G$36,$O99),INDEX('حضور رفائيل'!$G$7:$G$36,$O99),INDEX('حضور ميخائيل'!$G$7:$G$36,$O99)),""))</f>
        <v/>
      </c>
      <c r="T99" s="35" t="str">
        <f>IF($O99="","",IFERROR(CHOOSE(MATCH($F99,الإعدادات!$B$4:$B$7,0),INDEX('حضور سوريال'!$H$7:$H$36,$O99),INDEX('حضور غبريال'!$H$7:$H$36,$O99),INDEX('حضور رفائيل'!$H$7:$H$36,$O99),INDEX('حضور ميخائيل'!$H$7:$H$36,$O99)),""))</f>
        <v/>
      </c>
      <c r="U99" s="36" t="str">
        <f>IF($O99="","",IFERROR(CHOOSE(MATCH($F99,الإعدادات!$B$4:$B$7,0),INDEX('حضور سوريال'!$I$7:$I$36,$O99),INDEX('حضور غبريال'!$I$7:$I$36,$O99),INDEX('حضور رفائيل'!$I$7:$I$36,$O99),INDEX('حضور ميخائيل'!$I$7:$I$36,$O99)),""))</f>
        <v/>
      </c>
      <c r="V99" t="str">
        <f>IF($O99="","",IFERROR(CHOOSE(MATCH($F99,الإعدادات!$B$4:$B$7,0),INDEX('حضور سوريال'!$BM$7:$BM$36,$O99),INDEX('حضور غبريال'!$BM$7:$BM$36,$O99),INDEX('حضور رفائيل'!$BM$7:$BM$36,$O99),INDEX('حضور ميخائيل'!$BM$7:$BM$36,$O99)),""))</f>
        <v/>
      </c>
      <c r="W99" t="str">
        <f>IF(OR(V99=3,V99=4),COUNTIFS(V$6:V99,3)+COUNTIFS(V$6:V99,4),"")</f>
        <v/>
      </c>
    </row>
    <row r="100" spans="1:23" ht="25.5" customHeight="1">
      <c r="A100" s="26" t="str">
        <f t="shared" si="3"/>
        <v/>
      </c>
      <c r="B100" s="27" t="str">
        <f t="shared" si="4"/>
        <v/>
      </c>
      <c r="C100" s="28"/>
      <c r="D100" s="29"/>
      <c r="E100" s="29"/>
      <c r="F100" s="29"/>
      <c r="G100" s="29"/>
      <c r="H100" s="30"/>
      <c r="I100" s="30"/>
      <c r="J100" s="31"/>
      <c r="K100" s="29"/>
      <c r="L100" s="31"/>
      <c r="M100" s="29"/>
      <c r="N100" s="32" t="str">
        <f t="shared" si="5"/>
        <v/>
      </c>
      <c r="O100" s="32" t="str">
        <f>IF(OR(C100="",F100=""),"",COUNTIFS(F$6:F100,F100,C$6:C100,"&lt;&gt;"))</f>
        <v/>
      </c>
      <c r="P100" s="33" t="str">
        <f>IF($O100="","",IFERROR(CHOOSE(MATCH($F100,الإعدادات!$B$4:$B$7,0),INDEX('حضور سوريال'!$C$7:$C$36,$O100),INDEX('حضور غبريال'!$C$7:$C$36,$O100),INDEX('حضور رفائيل'!$C$7:$C$36,$O100),INDEX('حضور ميخائيل'!$C$7:$C$36,$O100)),""))</f>
        <v/>
      </c>
      <c r="Q100" s="33" t="str">
        <f>IF($O100="","",IFERROR(CHOOSE(MATCH($F100,الإعدادات!$B$4:$B$7,0),INDEX('حضور سوريال'!$D$7:$D$36,$O100),INDEX('حضور غبريال'!$D$7:$D$36,$O100),INDEX('حضور رفائيل'!$D$7:$D$36,$O100),INDEX('حضور ميخائيل'!$D$7:$D$36,$O100)),""))</f>
        <v/>
      </c>
      <c r="R100" s="34" t="str">
        <f>IF($O100="","",IFERROR(CHOOSE(MATCH($F100,الإعدادات!$B$4:$B$7,0),INDEX('حضور سوريال'!$F$7:$F$36,$O100),INDEX('حضور غبريال'!$F$7:$F$36,$O100),INDEX('حضور رفائيل'!$F$7:$F$36,$O100),INDEX('حضور ميخائيل'!$F$7:$F$36,$O100)),""))</f>
        <v/>
      </c>
      <c r="S100" s="33" t="str">
        <f>IF($O100="","",IFERROR(CHOOSE(MATCH($F100,الإعدادات!$B$4:$B$7,0),INDEX('حضور سوريال'!$G$7:$G$36,$O100),INDEX('حضور غبريال'!$G$7:$G$36,$O100),INDEX('حضور رفائيل'!$G$7:$G$36,$O100),INDEX('حضور ميخائيل'!$G$7:$G$36,$O100)),""))</f>
        <v/>
      </c>
      <c r="T100" s="35" t="str">
        <f>IF($O100="","",IFERROR(CHOOSE(MATCH($F100,الإعدادات!$B$4:$B$7,0),INDEX('حضور سوريال'!$H$7:$H$36,$O100),INDEX('حضور غبريال'!$H$7:$H$36,$O100),INDEX('حضور رفائيل'!$H$7:$H$36,$O100),INDEX('حضور ميخائيل'!$H$7:$H$36,$O100)),""))</f>
        <v/>
      </c>
      <c r="U100" s="36" t="str">
        <f>IF($O100="","",IFERROR(CHOOSE(MATCH($F100,الإعدادات!$B$4:$B$7,0),INDEX('حضور سوريال'!$I$7:$I$36,$O100),INDEX('حضور غبريال'!$I$7:$I$36,$O100),INDEX('حضور رفائيل'!$I$7:$I$36,$O100),INDEX('حضور ميخائيل'!$I$7:$I$36,$O100)),""))</f>
        <v/>
      </c>
      <c r="V100" t="str">
        <f>IF($O100="","",IFERROR(CHOOSE(MATCH($F100,الإعدادات!$B$4:$B$7,0),INDEX('حضور سوريال'!$BM$7:$BM$36,$O100),INDEX('حضور غبريال'!$BM$7:$BM$36,$O100),INDEX('حضور رفائيل'!$BM$7:$BM$36,$O100),INDEX('حضور ميخائيل'!$BM$7:$BM$36,$O100)),""))</f>
        <v/>
      </c>
      <c r="W100" t="str">
        <f>IF(OR(V100=3,V100=4),COUNTIFS(V$6:V100,3)+COUNTIFS(V$6:V100,4),"")</f>
        <v/>
      </c>
    </row>
    <row r="101" spans="1:23" ht="25.5" customHeight="1">
      <c r="A101" s="26" t="str">
        <f t="shared" si="3"/>
        <v/>
      </c>
      <c r="B101" s="27" t="str">
        <f t="shared" si="4"/>
        <v/>
      </c>
      <c r="C101" s="28"/>
      <c r="D101" s="29"/>
      <c r="E101" s="29"/>
      <c r="F101" s="29"/>
      <c r="G101" s="29"/>
      <c r="H101" s="30"/>
      <c r="I101" s="30"/>
      <c r="J101" s="31"/>
      <c r="K101" s="29"/>
      <c r="L101" s="31"/>
      <c r="M101" s="29"/>
      <c r="N101" s="32" t="str">
        <f t="shared" si="5"/>
        <v/>
      </c>
      <c r="O101" s="32" t="str">
        <f>IF(OR(C101="",F101=""),"",COUNTIFS(F$6:F101,F101,C$6:C101,"&lt;&gt;"))</f>
        <v/>
      </c>
      <c r="P101" s="33" t="str">
        <f>IF($O101="","",IFERROR(CHOOSE(MATCH($F101,الإعدادات!$B$4:$B$7,0),INDEX('حضور سوريال'!$C$7:$C$36,$O101),INDEX('حضور غبريال'!$C$7:$C$36,$O101),INDEX('حضور رفائيل'!$C$7:$C$36,$O101),INDEX('حضور ميخائيل'!$C$7:$C$36,$O101)),""))</f>
        <v/>
      </c>
      <c r="Q101" s="33" t="str">
        <f>IF($O101="","",IFERROR(CHOOSE(MATCH($F101,الإعدادات!$B$4:$B$7,0),INDEX('حضور سوريال'!$D$7:$D$36,$O101),INDEX('حضور غبريال'!$D$7:$D$36,$O101),INDEX('حضور رفائيل'!$D$7:$D$36,$O101),INDEX('حضور ميخائيل'!$D$7:$D$36,$O101)),""))</f>
        <v/>
      </c>
      <c r="R101" s="34" t="str">
        <f>IF($O101="","",IFERROR(CHOOSE(MATCH($F101,الإعدادات!$B$4:$B$7,0),INDEX('حضور سوريال'!$F$7:$F$36,$O101),INDEX('حضور غبريال'!$F$7:$F$36,$O101),INDEX('حضور رفائيل'!$F$7:$F$36,$O101),INDEX('حضور ميخائيل'!$F$7:$F$36,$O101)),""))</f>
        <v/>
      </c>
      <c r="S101" s="33" t="str">
        <f>IF($O101="","",IFERROR(CHOOSE(MATCH($F101,الإعدادات!$B$4:$B$7,0),INDEX('حضور سوريال'!$G$7:$G$36,$O101),INDEX('حضور غبريال'!$G$7:$G$36,$O101),INDEX('حضور رفائيل'!$G$7:$G$36,$O101),INDEX('حضور ميخائيل'!$G$7:$G$36,$O101)),""))</f>
        <v/>
      </c>
      <c r="T101" s="35" t="str">
        <f>IF($O101="","",IFERROR(CHOOSE(MATCH($F101,الإعدادات!$B$4:$B$7,0),INDEX('حضور سوريال'!$H$7:$H$36,$O101),INDEX('حضور غبريال'!$H$7:$H$36,$O101),INDEX('حضور رفائيل'!$H$7:$H$36,$O101),INDEX('حضور ميخائيل'!$H$7:$H$36,$O101)),""))</f>
        <v/>
      </c>
      <c r="U101" s="36" t="str">
        <f>IF($O101="","",IFERROR(CHOOSE(MATCH($F101,الإعدادات!$B$4:$B$7,0),INDEX('حضور سوريال'!$I$7:$I$36,$O101),INDEX('حضور غبريال'!$I$7:$I$36,$O101),INDEX('حضور رفائيل'!$I$7:$I$36,$O101),INDEX('حضور ميخائيل'!$I$7:$I$36,$O101)),""))</f>
        <v/>
      </c>
      <c r="V101" t="str">
        <f>IF($O101="","",IFERROR(CHOOSE(MATCH($F101,الإعدادات!$B$4:$B$7,0),INDEX('حضور سوريال'!$BM$7:$BM$36,$O101),INDEX('حضور غبريال'!$BM$7:$BM$36,$O101),INDEX('حضور رفائيل'!$BM$7:$BM$36,$O101),INDEX('حضور ميخائيل'!$BM$7:$BM$36,$O101)),""))</f>
        <v/>
      </c>
      <c r="W101" t="str">
        <f>IF(OR(V101=3,V101=4),COUNTIFS(V$6:V101,3)+COUNTIFS(V$6:V101,4),"")</f>
        <v/>
      </c>
    </row>
    <row r="102" spans="1:23" ht="25.5" customHeight="1">
      <c r="A102" s="26" t="str">
        <f t="shared" si="3"/>
        <v/>
      </c>
      <c r="B102" s="27" t="str">
        <f t="shared" si="4"/>
        <v/>
      </c>
      <c r="C102" s="28"/>
      <c r="D102" s="29"/>
      <c r="E102" s="29"/>
      <c r="F102" s="29"/>
      <c r="G102" s="29"/>
      <c r="H102" s="30"/>
      <c r="I102" s="30"/>
      <c r="J102" s="31"/>
      <c r="K102" s="29"/>
      <c r="L102" s="31"/>
      <c r="M102" s="29"/>
      <c r="N102" s="32" t="str">
        <f t="shared" si="5"/>
        <v/>
      </c>
      <c r="O102" s="32" t="str">
        <f>IF(OR(C102="",F102=""),"",COUNTIFS(F$6:F102,F102,C$6:C102,"&lt;&gt;"))</f>
        <v/>
      </c>
      <c r="P102" s="33" t="str">
        <f>IF($O102="","",IFERROR(CHOOSE(MATCH($F102,الإعدادات!$B$4:$B$7,0),INDEX('حضور سوريال'!$C$7:$C$36,$O102),INDEX('حضور غبريال'!$C$7:$C$36,$O102),INDEX('حضور رفائيل'!$C$7:$C$36,$O102),INDEX('حضور ميخائيل'!$C$7:$C$36,$O102)),""))</f>
        <v/>
      </c>
      <c r="Q102" s="33" t="str">
        <f>IF($O102="","",IFERROR(CHOOSE(MATCH($F102,الإعدادات!$B$4:$B$7,0),INDEX('حضور سوريال'!$D$7:$D$36,$O102),INDEX('حضور غبريال'!$D$7:$D$36,$O102),INDEX('حضور رفائيل'!$D$7:$D$36,$O102),INDEX('حضور ميخائيل'!$D$7:$D$36,$O102)),""))</f>
        <v/>
      </c>
      <c r="R102" s="34" t="str">
        <f>IF($O102="","",IFERROR(CHOOSE(MATCH($F102,الإعدادات!$B$4:$B$7,0),INDEX('حضور سوريال'!$F$7:$F$36,$O102),INDEX('حضور غبريال'!$F$7:$F$36,$O102),INDEX('حضور رفائيل'!$F$7:$F$36,$O102),INDEX('حضور ميخائيل'!$F$7:$F$36,$O102)),""))</f>
        <v/>
      </c>
      <c r="S102" s="33" t="str">
        <f>IF($O102="","",IFERROR(CHOOSE(MATCH($F102,الإعدادات!$B$4:$B$7,0),INDEX('حضور سوريال'!$G$7:$G$36,$O102),INDEX('حضور غبريال'!$G$7:$G$36,$O102),INDEX('حضور رفائيل'!$G$7:$G$36,$O102),INDEX('حضور ميخائيل'!$G$7:$G$36,$O102)),""))</f>
        <v/>
      </c>
      <c r="T102" s="35" t="str">
        <f>IF($O102="","",IFERROR(CHOOSE(MATCH($F102,الإعدادات!$B$4:$B$7,0),INDEX('حضور سوريال'!$H$7:$H$36,$O102),INDEX('حضور غبريال'!$H$7:$H$36,$O102),INDEX('حضور رفائيل'!$H$7:$H$36,$O102),INDEX('حضور ميخائيل'!$H$7:$H$36,$O102)),""))</f>
        <v/>
      </c>
      <c r="U102" s="36" t="str">
        <f>IF($O102="","",IFERROR(CHOOSE(MATCH($F102,الإعدادات!$B$4:$B$7,0),INDEX('حضور سوريال'!$I$7:$I$36,$O102),INDEX('حضور غبريال'!$I$7:$I$36,$O102),INDEX('حضور رفائيل'!$I$7:$I$36,$O102),INDEX('حضور ميخائيل'!$I$7:$I$36,$O102)),""))</f>
        <v/>
      </c>
      <c r="V102" t="str">
        <f>IF($O102="","",IFERROR(CHOOSE(MATCH($F102,الإعدادات!$B$4:$B$7,0),INDEX('حضور سوريال'!$BM$7:$BM$36,$O102),INDEX('حضور غبريال'!$BM$7:$BM$36,$O102),INDEX('حضور رفائيل'!$BM$7:$BM$36,$O102),INDEX('حضور ميخائيل'!$BM$7:$BM$36,$O102)),""))</f>
        <v/>
      </c>
      <c r="W102" t="str">
        <f>IF(OR(V102=3,V102=4),COUNTIFS(V$6:V102,3)+COUNTIFS(V$6:V102,4),"")</f>
        <v/>
      </c>
    </row>
    <row r="103" spans="1:23" ht="25.5" customHeight="1">
      <c r="A103" s="26" t="str">
        <f t="shared" si="3"/>
        <v/>
      </c>
      <c r="B103" s="27" t="str">
        <f t="shared" si="4"/>
        <v/>
      </c>
      <c r="C103" s="28"/>
      <c r="D103" s="29"/>
      <c r="E103" s="29"/>
      <c r="F103" s="29"/>
      <c r="G103" s="29"/>
      <c r="H103" s="30"/>
      <c r="I103" s="30"/>
      <c r="J103" s="31"/>
      <c r="K103" s="29"/>
      <c r="L103" s="31"/>
      <c r="M103" s="29"/>
      <c r="N103" s="32" t="str">
        <f t="shared" si="5"/>
        <v/>
      </c>
      <c r="O103" s="32" t="str">
        <f>IF(OR(C103="",F103=""),"",COUNTIFS(F$6:F103,F103,C$6:C103,"&lt;&gt;"))</f>
        <v/>
      </c>
      <c r="P103" s="33" t="str">
        <f>IF($O103="","",IFERROR(CHOOSE(MATCH($F103,الإعدادات!$B$4:$B$7,0),INDEX('حضور سوريال'!$C$7:$C$36,$O103),INDEX('حضور غبريال'!$C$7:$C$36,$O103),INDEX('حضور رفائيل'!$C$7:$C$36,$O103),INDEX('حضور ميخائيل'!$C$7:$C$36,$O103)),""))</f>
        <v/>
      </c>
      <c r="Q103" s="33" t="str">
        <f>IF($O103="","",IFERROR(CHOOSE(MATCH($F103,الإعدادات!$B$4:$B$7,0),INDEX('حضور سوريال'!$D$7:$D$36,$O103),INDEX('حضور غبريال'!$D$7:$D$36,$O103),INDEX('حضور رفائيل'!$D$7:$D$36,$O103),INDEX('حضور ميخائيل'!$D$7:$D$36,$O103)),""))</f>
        <v/>
      </c>
      <c r="R103" s="34" t="str">
        <f>IF($O103="","",IFERROR(CHOOSE(MATCH($F103,الإعدادات!$B$4:$B$7,0),INDEX('حضور سوريال'!$F$7:$F$36,$O103),INDEX('حضور غبريال'!$F$7:$F$36,$O103),INDEX('حضور رفائيل'!$F$7:$F$36,$O103),INDEX('حضور ميخائيل'!$F$7:$F$36,$O103)),""))</f>
        <v/>
      </c>
      <c r="S103" s="33" t="str">
        <f>IF($O103="","",IFERROR(CHOOSE(MATCH($F103,الإعدادات!$B$4:$B$7,0),INDEX('حضور سوريال'!$G$7:$G$36,$O103),INDEX('حضور غبريال'!$G$7:$G$36,$O103),INDEX('حضور رفائيل'!$G$7:$G$36,$O103),INDEX('حضور ميخائيل'!$G$7:$G$36,$O103)),""))</f>
        <v/>
      </c>
      <c r="T103" s="35" t="str">
        <f>IF($O103="","",IFERROR(CHOOSE(MATCH($F103,الإعدادات!$B$4:$B$7,0),INDEX('حضور سوريال'!$H$7:$H$36,$O103),INDEX('حضور غبريال'!$H$7:$H$36,$O103),INDEX('حضور رفائيل'!$H$7:$H$36,$O103),INDEX('حضور ميخائيل'!$H$7:$H$36,$O103)),""))</f>
        <v/>
      </c>
      <c r="U103" s="36" t="str">
        <f>IF($O103="","",IFERROR(CHOOSE(MATCH($F103,الإعدادات!$B$4:$B$7,0),INDEX('حضور سوريال'!$I$7:$I$36,$O103),INDEX('حضور غبريال'!$I$7:$I$36,$O103),INDEX('حضور رفائيل'!$I$7:$I$36,$O103),INDEX('حضور ميخائيل'!$I$7:$I$36,$O103)),""))</f>
        <v/>
      </c>
      <c r="V103" t="str">
        <f>IF($O103="","",IFERROR(CHOOSE(MATCH($F103,الإعدادات!$B$4:$B$7,0),INDEX('حضور سوريال'!$BM$7:$BM$36,$O103),INDEX('حضور غبريال'!$BM$7:$BM$36,$O103),INDEX('حضور رفائيل'!$BM$7:$BM$36,$O103),INDEX('حضور ميخائيل'!$BM$7:$BM$36,$O103)),""))</f>
        <v/>
      </c>
      <c r="W103" t="str">
        <f>IF(OR(V103=3,V103=4),COUNTIFS(V$6:V103,3)+COUNTIFS(V$6:V103,4),"")</f>
        <v/>
      </c>
    </row>
    <row r="104" spans="1:23" ht="25.5" customHeight="1">
      <c r="A104" s="26" t="str">
        <f t="shared" si="3"/>
        <v/>
      </c>
      <c r="B104" s="27" t="str">
        <f t="shared" si="4"/>
        <v/>
      </c>
      <c r="C104" s="28"/>
      <c r="D104" s="29"/>
      <c r="E104" s="29"/>
      <c r="F104" s="29"/>
      <c r="G104" s="29"/>
      <c r="H104" s="30"/>
      <c r="I104" s="30"/>
      <c r="J104" s="31"/>
      <c r="K104" s="29"/>
      <c r="L104" s="31"/>
      <c r="M104" s="29"/>
      <c r="N104" s="32" t="str">
        <f t="shared" si="5"/>
        <v/>
      </c>
      <c r="O104" s="32" t="str">
        <f>IF(OR(C104="",F104=""),"",COUNTIFS(F$6:F104,F104,C$6:C104,"&lt;&gt;"))</f>
        <v/>
      </c>
      <c r="P104" s="33" t="str">
        <f>IF($O104="","",IFERROR(CHOOSE(MATCH($F104,الإعدادات!$B$4:$B$7,0),INDEX('حضور سوريال'!$C$7:$C$36,$O104),INDEX('حضور غبريال'!$C$7:$C$36,$O104),INDEX('حضور رفائيل'!$C$7:$C$36,$O104),INDEX('حضور ميخائيل'!$C$7:$C$36,$O104)),""))</f>
        <v/>
      </c>
      <c r="Q104" s="33" t="str">
        <f>IF($O104="","",IFERROR(CHOOSE(MATCH($F104,الإعدادات!$B$4:$B$7,0),INDEX('حضور سوريال'!$D$7:$D$36,$O104),INDEX('حضور غبريال'!$D$7:$D$36,$O104),INDEX('حضور رفائيل'!$D$7:$D$36,$O104),INDEX('حضور ميخائيل'!$D$7:$D$36,$O104)),""))</f>
        <v/>
      </c>
      <c r="R104" s="34" t="str">
        <f>IF($O104="","",IFERROR(CHOOSE(MATCH($F104,الإعدادات!$B$4:$B$7,0),INDEX('حضور سوريال'!$F$7:$F$36,$O104),INDEX('حضور غبريال'!$F$7:$F$36,$O104),INDEX('حضور رفائيل'!$F$7:$F$36,$O104),INDEX('حضور ميخائيل'!$F$7:$F$36,$O104)),""))</f>
        <v/>
      </c>
      <c r="S104" s="33" t="str">
        <f>IF($O104="","",IFERROR(CHOOSE(MATCH($F104,الإعدادات!$B$4:$B$7,0),INDEX('حضور سوريال'!$G$7:$G$36,$O104),INDEX('حضور غبريال'!$G$7:$G$36,$O104),INDEX('حضور رفائيل'!$G$7:$G$36,$O104),INDEX('حضور ميخائيل'!$G$7:$G$36,$O104)),""))</f>
        <v/>
      </c>
      <c r="T104" s="35" t="str">
        <f>IF($O104="","",IFERROR(CHOOSE(MATCH($F104,الإعدادات!$B$4:$B$7,0),INDEX('حضور سوريال'!$H$7:$H$36,$O104),INDEX('حضور غبريال'!$H$7:$H$36,$O104),INDEX('حضور رفائيل'!$H$7:$H$36,$O104),INDEX('حضور ميخائيل'!$H$7:$H$36,$O104)),""))</f>
        <v/>
      </c>
      <c r="U104" s="36" t="str">
        <f>IF($O104="","",IFERROR(CHOOSE(MATCH($F104,الإعدادات!$B$4:$B$7,0),INDEX('حضور سوريال'!$I$7:$I$36,$O104),INDEX('حضور غبريال'!$I$7:$I$36,$O104),INDEX('حضور رفائيل'!$I$7:$I$36,$O104),INDEX('حضور ميخائيل'!$I$7:$I$36,$O104)),""))</f>
        <v/>
      </c>
      <c r="V104" t="str">
        <f>IF($O104="","",IFERROR(CHOOSE(MATCH($F104,الإعدادات!$B$4:$B$7,0),INDEX('حضور سوريال'!$BM$7:$BM$36,$O104),INDEX('حضور غبريال'!$BM$7:$BM$36,$O104),INDEX('حضور رفائيل'!$BM$7:$BM$36,$O104),INDEX('حضور ميخائيل'!$BM$7:$BM$36,$O104)),""))</f>
        <v/>
      </c>
      <c r="W104" t="str">
        <f>IF(OR(V104=3,V104=4),COUNTIFS(V$6:V104,3)+COUNTIFS(V$6:V104,4),"")</f>
        <v/>
      </c>
    </row>
    <row r="105" spans="1:23" ht="25.5" customHeight="1">
      <c r="A105" s="26" t="str">
        <f t="shared" si="3"/>
        <v/>
      </c>
      <c r="B105" s="27" t="str">
        <f t="shared" si="4"/>
        <v/>
      </c>
      <c r="C105" s="28"/>
      <c r="D105" s="29"/>
      <c r="E105" s="29"/>
      <c r="F105" s="29"/>
      <c r="G105" s="29"/>
      <c r="H105" s="30"/>
      <c r="I105" s="30"/>
      <c r="J105" s="31"/>
      <c r="K105" s="29"/>
      <c r="L105" s="31"/>
      <c r="M105" s="29"/>
      <c r="N105" s="32" t="str">
        <f t="shared" si="5"/>
        <v/>
      </c>
      <c r="O105" s="32" t="str">
        <f>IF(OR(C105="",F105=""),"",COUNTIFS(F$6:F105,F105,C$6:C105,"&lt;&gt;"))</f>
        <v/>
      </c>
      <c r="P105" s="33" t="str">
        <f>IF($O105="","",IFERROR(CHOOSE(MATCH($F105,الإعدادات!$B$4:$B$7,0),INDEX('حضور سوريال'!$C$7:$C$36,$O105),INDEX('حضور غبريال'!$C$7:$C$36,$O105),INDEX('حضور رفائيل'!$C$7:$C$36,$O105),INDEX('حضور ميخائيل'!$C$7:$C$36,$O105)),""))</f>
        <v/>
      </c>
      <c r="Q105" s="33" t="str">
        <f>IF($O105="","",IFERROR(CHOOSE(MATCH($F105,الإعدادات!$B$4:$B$7,0),INDEX('حضور سوريال'!$D$7:$D$36,$O105),INDEX('حضور غبريال'!$D$7:$D$36,$O105),INDEX('حضور رفائيل'!$D$7:$D$36,$O105),INDEX('حضور ميخائيل'!$D$7:$D$36,$O105)),""))</f>
        <v/>
      </c>
      <c r="R105" s="34" t="str">
        <f>IF($O105="","",IFERROR(CHOOSE(MATCH($F105,الإعدادات!$B$4:$B$7,0),INDEX('حضور سوريال'!$F$7:$F$36,$O105),INDEX('حضور غبريال'!$F$7:$F$36,$O105),INDEX('حضور رفائيل'!$F$7:$F$36,$O105),INDEX('حضور ميخائيل'!$F$7:$F$36,$O105)),""))</f>
        <v/>
      </c>
      <c r="S105" s="33" t="str">
        <f>IF($O105="","",IFERROR(CHOOSE(MATCH($F105,الإعدادات!$B$4:$B$7,0),INDEX('حضور سوريال'!$G$7:$G$36,$O105),INDEX('حضور غبريال'!$G$7:$G$36,$O105),INDEX('حضور رفائيل'!$G$7:$G$36,$O105),INDEX('حضور ميخائيل'!$G$7:$G$36,$O105)),""))</f>
        <v/>
      </c>
      <c r="T105" s="35" t="str">
        <f>IF($O105="","",IFERROR(CHOOSE(MATCH($F105,الإعدادات!$B$4:$B$7,0),INDEX('حضور سوريال'!$H$7:$H$36,$O105),INDEX('حضور غبريال'!$H$7:$H$36,$O105),INDEX('حضور رفائيل'!$H$7:$H$36,$O105),INDEX('حضور ميخائيل'!$H$7:$H$36,$O105)),""))</f>
        <v/>
      </c>
      <c r="U105" s="36" t="str">
        <f>IF($O105="","",IFERROR(CHOOSE(MATCH($F105,الإعدادات!$B$4:$B$7,0),INDEX('حضور سوريال'!$I$7:$I$36,$O105),INDEX('حضور غبريال'!$I$7:$I$36,$O105),INDEX('حضور رفائيل'!$I$7:$I$36,$O105),INDEX('حضور ميخائيل'!$I$7:$I$36,$O105)),""))</f>
        <v/>
      </c>
      <c r="V105" t="str">
        <f>IF($O105="","",IFERROR(CHOOSE(MATCH($F105,الإعدادات!$B$4:$B$7,0),INDEX('حضور سوريال'!$BM$7:$BM$36,$O105),INDEX('حضور غبريال'!$BM$7:$BM$36,$O105),INDEX('حضور رفائيل'!$BM$7:$BM$36,$O105),INDEX('حضور ميخائيل'!$BM$7:$BM$36,$O105)),""))</f>
        <v/>
      </c>
      <c r="W105" t="str">
        <f>IF(OR(V105=3,V105=4),COUNTIFS(V$6:V105,3)+COUNTIFS(V$6:V105,4),"")</f>
        <v/>
      </c>
    </row>
    <row r="106" spans="1:23" ht="25.5" customHeight="1">
      <c r="A106" s="26" t="str">
        <f t="shared" si="3"/>
        <v/>
      </c>
      <c r="B106" s="27" t="str">
        <f t="shared" si="4"/>
        <v/>
      </c>
      <c r="C106" s="28"/>
      <c r="D106" s="29"/>
      <c r="E106" s="29"/>
      <c r="F106" s="29"/>
      <c r="G106" s="29"/>
      <c r="H106" s="30"/>
      <c r="I106" s="30"/>
      <c r="J106" s="31"/>
      <c r="K106" s="29"/>
      <c r="L106" s="31"/>
      <c r="M106" s="29"/>
      <c r="N106" s="32" t="str">
        <f t="shared" si="5"/>
        <v/>
      </c>
      <c r="O106" s="32" t="str">
        <f>IF(OR(C106="",F106=""),"",COUNTIFS(F$6:F106,F106,C$6:C106,"&lt;&gt;"))</f>
        <v/>
      </c>
      <c r="P106" s="33" t="str">
        <f>IF($O106="","",IFERROR(CHOOSE(MATCH($F106,الإعدادات!$B$4:$B$7,0),INDEX('حضور سوريال'!$C$7:$C$36,$O106),INDEX('حضور غبريال'!$C$7:$C$36,$O106),INDEX('حضور رفائيل'!$C$7:$C$36,$O106),INDEX('حضور ميخائيل'!$C$7:$C$36,$O106)),""))</f>
        <v/>
      </c>
      <c r="Q106" s="33" t="str">
        <f>IF($O106="","",IFERROR(CHOOSE(MATCH($F106,الإعدادات!$B$4:$B$7,0),INDEX('حضور سوريال'!$D$7:$D$36,$O106),INDEX('حضور غبريال'!$D$7:$D$36,$O106),INDEX('حضور رفائيل'!$D$7:$D$36,$O106),INDEX('حضور ميخائيل'!$D$7:$D$36,$O106)),""))</f>
        <v/>
      </c>
      <c r="R106" s="34" t="str">
        <f>IF($O106="","",IFERROR(CHOOSE(MATCH($F106,الإعدادات!$B$4:$B$7,0),INDEX('حضور سوريال'!$F$7:$F$36,$O106),INDEX('حضور غبريال'!$F$7:$F$36,$O106),INDEX('حضور رفائيل'!$F$7:$F$36,$O106),INDEX('حضور ميخائيل'!$F$7:$F$36,$O106)),""))</f>
        <v/>
      </c>
      <c r="S106" s="33" t="str">
        <f>IF($O106="","",IFERROR(CHOOSE(MATCH($F106,الإعدادات!$B$4:$B$7,0),INDEX('حضور سوريال'!$G$7:$G$36,$O106),INDEX('حضور غبريال'!$G$7:$G$36,$O106),INDEX('حضور رفائيل'!$G$7:$G$36,$O106),INDEX('حضور ميخائيل'!$G$7:$G$36,$O106)),""))</f>
        <v/>
      </c>
      <c r="T106" s="35" t="str">
        <f>IF($O106="","",IFERROR(CHOOSE(MATCH($F106,الإعدادات!$B$4:$B$7,0),INDEX('حضور سوريال'!$H$7:$H$36,$O106),INDEX('حضور غبريال'!$H$7:$H$36,$O106),INDEX('حضور رفائيل'!$H$7:$H$36,$O106),INDEX('حضور ميخائيل'!$H$7:$H$36,$O106)),""))</f>
        <v/>
      </c>
      <c r="U106" s="36" t="str">
        <f>IF($O106="","",IFERROR(CHOOSE(MATCH($F106,الإعدادات!$B$4:$B$7,0),INDEX('حضور سوريال'!$I$7:$I$36,$O106),INDEX('حضور غبريال'!$I$7:$I$36,$O106),INDEX('حضور رفائيل'!$I$7:$I$36,$O106),INDEX('حضور ميخائيل'!$I$7:$I$36,$O106)),""))</f>
        <v/>
      </c>
      <c r="V106" t="str">
        <f>IF($O106="","",IFERROR(CHOOSE(MATCH($F106,الإعدادات!$B$4:$B$7,0),INDEX('حضور سوريال'!$BM$7:$BM$36,$O106),INDEX('حضور غبريال'!$BM$7:$BM$36,$O106),INDEX('حضور رفائيل'!$BM$7:$BM$36,$O106),INDEX('حضور ميخائيل'!$BM$7:$BM$36,$O106)),""))</f>
        <v/>
      </c>
      <c r="W106" t="str">
        <f>IF(OR(V106=3,V106=4),COUNTIFS(V$6:V106,3)+COUNTIFS(V$6:V106,4),"")</f>
        <v/>
      </c>
    </row>
    <row r="107" spans="1:23" ht="25.5" customHeight="1">
      <c r="A107" s="26" t="str">
        <f t="shared" si="3"/>
        <v/>
      </c>
      <c r="B107" s="27" t="str">
        <f t="shared" si="4"/>
        <v/>
      </c>
      <c r="C107" s="28"/>
      <c r="D107" s="29"/>
      <c r="E107" s="29"/>
      <c r="F107" s="29"/>
      <c r="G107" s="29"/>
      <c r="H107" s="30"/>
      <c r="I107" s="30"/>
      <c r="J107" s="31"/>
      <c r="K107" s="29"/>
      <c r="L107" s="31"/>
      <c r="M107" s="29"/>
      <c r="N107" s="32" t="str">
        <f t="shared" si="5"/>
        <v/>
      </c>
      <c r="O107" s="32" t="str">
        <f>IF(OR(C107="",F107=""),"",COUNTIFS(F$6:F107,F107,C$6:C107,"&lt;&gt;"))</f>
        <v/>
      </c>
      <c r="P107" s="33" t="str">
        <f>IF($O107="","",IFERROR(CHOOSE(MATCH($F107,الإعدادات!$B$4:$B$7,0),INDEX('حضور سوريال'!$C$7:$C$36,$O107),INDEX('حضور غبريال'!$C$7:$C$36,$O107),INDEX('حضور رفائيل'!$C$7:$C$36,$O107),INDEX('حضور ميخائيل'!$C$7:$C$36,$O107)),""))</f>
        <v/>
      </c>
      <c r="Q107" s="33" t="str">
        <f>IF($O107="","",IFERROR(CHOOSE(MATCH($F107,الإعدادات!$B$4:$B$7,0),INDEX('حضور سوريال'!$D$7:$D$36,$O107),INDEX('حضور غبريال'!$D$7:$D$36,$O107),INDEX('حضور رفائيل'!$D$7:$D$36,$O107),INDEX('حضور ميخائيل'!$D$7:$D$36,$O107)),""))</f>
        <v/>
      </c>
      <c r="R107" s="34" t="str">
        <f>IF($O107="","",IFERROR(CHOOSE(MATCH($F107,الإعدادات!$B$4:$B$7,0),INDEX('حضور سوريال'!$F$7:$F$36,$O107),INDEX('حضور غبريال'!$F$7:$F$36,$O107),INDEX('حضور رفائيل'!$F$7:$F$36,$O107),INDEX('حضور ميخائيل'!$F$7:$F$36,$O107)),""))</f>
        <v/>
      </c>
      <c r="S107" s="33" t="str">
        <f>IF($O107="","",IFERROR(CHOOSE(MATCH($F107,الإعدادات!$B$4:$B$7,0),INDEX('حضور سوريال'!$G$7:$G$36,$O107),INDEX('حضور غبريال'!$G$7:$G$36,$O107),INDEX('حضور رفائيل'!$G$7:$G$36,$O107),INDEX('حضور ميخائيل'!$G$7:$G$36,$O107)),""))</f>
        <v/>
      </c>
      <c r="T107" s="35" t="str">
        <f>IF($O107="","",IFERROR(CHOOSE(MATCH($F107,الإعدادات!$B$4:$B$7,0),INDEX('حضور سوريال'!$H$7:$H$36,$O107),INDEX('حضور غبريال'!$H$7:$H$36,$O107),INDEX('حضور رفائيل'!$H$7:$H$36,$O107),INDEX('حضور ميخائيل'!$H$7:$H$36,$O107)),""))</f>
        <v/>
      </c>
      <c r="U107" s="36" t="str">
        <f>IF($O107="","",IFERROR(CHOOSE(MATCH($F107,الإعدادات!$B$4:$B$7,0),INDEX('حضور سوريال'!$I$7:$I$36,$O107),INDEX('حضور غبريال'!$I$7:$I$36,$O107),INDEX('حضور رفائيل'!$I$7:$I$36,$O107),INDEX('حضور ميخائيل'!$I$7:$I$36,$O107)),""))</f>
        <v/>
      </c>
      <c r="V107" t="str">
        <f>IF($O107="","",IFERROR(CHOOSE(MATCH($F107,الإعدادات!$B$4:$B$7,0),INDEX('حضور سوريال'!$BM$7:$BM$36,$O107),INDEX('حضور غبريال'!$BM$7:$BM$36,$O107),INDEX('حضور رفائيل'!$BM$7:$BM$36,$O107),INDEX('حضور ميخائيل'!$BM$7:$BM$36,$O107)),""))</f>
        <v/>
      </c>
      <c r="W107" t="str">
        <f>IF(OR(V107=3,V107=4),COUNTIFS(V$6:V107,3)+COUNTIFS(V$6:V107,4),"")</f>
        <v/>
      </c>
    </row>
    <row r="108" spans="1:23" ht="25.5" customHeight="1">
      <c r="A108" s="26" t="str">
        <f t="shared" si="3"/>
        <v/>
      </c>
      <c r="B108" s="27" t="str">
        <f t="shared" si="4"/>
        <v/>
      </c>
      <c r="C108" s="28"/>
      <c r="D108" s="29"/>
      <c r="E108" s="29"/>
      <c r="F108" s="29"/>
      <c r="G108" s="29"/>
      <c r="H108" s="30"/>
      <c r="I108" s="30"/>
      <c r="J108" s="31"/>
      <c r="K108" s="29"/>
      <c r="L108" s="31"/>
      <c r="M108" s="29"/>
      <c r="N108" s="32" t="str">
        <f t="shared" si="5"/>
        <v/>
      </c>
      <c r="O108" s="32" t="str">
        <f>IF(OR(C108="",F108=""),"",COUNTIFS(F$6:F108,F108,C$6:C108,"&lt;&gt;"))</f>
        <v/>
      </c>
      <c r="P108" s="33" t="str">
        <f>IF($O108="","",IFERROR(CHOOSE(MATCH($F108,الإعدادات!$B$4:$B$7,0),INDEX('حضور سوريال'!$C$7:$C$36,$O108),INDEX('حضور غبريال'!$C$7:$C$36,$O108),INDEX('حضور رفائيل'!$C$7:$C$36,$O108),INDEX('حضور ميخائيل'!$C$7:$C$36,$O108)),""))</f>
        <v/>
      </c>
      <c r="Q108" s="33" t="str">
        <f>IF($O108="","",IFERROR(CHOOSE(MATCH($F108,الإعدادات!$B$4:$B$7,0),INDEX('حضور سوريال'!$D$7:$D$36,$O108),INDEX('حضور غبريال'!$D$7:$D$36,$O108),INDEX('حضور رفائيل'!$D$7:$D$36,$O108),INDEX('حضور ميخائيل'!$D$7:$D$36,$O108)),""))</f>
        <v/>
      </c>
      <c r="R108" s="34" t="str">
        <f>IF($O108="","",IFERROR(CHOOSE(MATCH($F108,الإعدادات!$B$4:$B$7,0),INDEX('حضور سوريال'!$F$7:$F$36,$O108),INDEX('حضور غبريال'!$F$7:$F$36,$O108),INDEX('حضور رفائيل'!$F$7:$F$36,$O108),INDEX('حضور ميخائيل'!$F$7:$F$36,$O108)),""))</f>
        <v/>
      </c>
      <c r="S108" s="33" t="str">
        <f>IF($O108="","",IFERROR(CHOOSE(MATCH($F108,الإعدادات!$B$4:$B$7,0),INDEX('حضور سوريال'!$G$7:$G$36,$O108),INDEX('حضور غبريال'!$G$7:$G$36,$O108),INDEX('حضور رفائيل'!$G$7:$G$36,$O108),INDEX('حضور ميخائيل'!$G$7:$G$36,$O108)),""))</f>
        <v/>
      </c>
      <c r="T108" s="35" t="str">
        <f>IF($O108="","",IFERROR(CHOOSE(MATCH($F108,الإعدادات!$B$4:$B$7,0),INDEX('حضور سوريال'!$H$7:$H$36,$O108),INDEX('حضور غبريال'!$H$7:$H$36,$O108),INDEX('حضور رفائيل'!$H$7:$H$36,$O108),INDEX('حضور ميخائيل'!$H$7:$H$36,$O108)),""))</f>
        <v/>
      </c>
      <c r="U108" s="36" t="str">
        <f>IF($O108="","",IFERROR(CHOOSE(MATCH($F108,الإعدادات!$B$4:$B$7,0),INDEX('حضور سوريال'!$I$7:$I$36,$O108),INDEX('حضور غبريال'!$I$7:$I$36,$O108),INDEX('حضور رفائيل'!$I$7:$I$36,$O108),INDEX('حضور ميخائيل'!$I$7:$I$36,$O108)),""))</f>
        <v/>
      </c>
      <c r="V108" t="str">
        <f>IF($O108="","",IFERROR(CHOOSE(MATCH($F108,الإعدادات!$B$4:$B$7,0),INDEX('حضور سوريال'!$BM$7:$BM$36,$O108),INDEX('حضور غبريال'!$BM$7:$BM$36,$O108),INDEX('حضور رفائيل'!$BM$7:$BM$36,$O108),INDEX('حضور ميخائيل'!$BM$7:$BM$36,$O108)),""))</f>
        <v/>
      </c>
      <c r="W108" t="str">
        <f>IF(OR(V108=3,V108=4),COUNTIFS(V$6:V108,3)+COUNTIFS(V$6:V108,4),"")</f>
        <v/>
      </c>
    </row>
    <row r="109" spans="1:23" ht="25.5" customHeight="1">
      <c r="A109" s="26" t="str">
        <f t="shared" si="3"/>
        <v/>
      </c>
      <c r="B109" s="27" t="str">
        <f t="shared" si="4"/>
        <v/>
      </c>
      <c r="C109" s="28"/>
      <c r="D109" s="29"/>
      <c r="E109" s="29"/>
      <c r="F109" s="29"/>
      <c r="G109" s="29"/>
      <c r="H109" s="30"/>
      <c r="I109" s="30"/>
      <c r="J109" s="31"/>
      <c r="K109" s="29"/>
      <c r="L109" s="31"/>
      <c r="M109" s="29"/>
      <c r="N109" s="32" t="str">
        <f t="shared" si="5"/>
        <v/>
      </c>
      <c r="O109" s="32" t="str">
        <f>IF(OR(C109="",F109=""),"",COUNTIFS(F$6:F109,F109,C$6:C109,"&lt;&gt;"))</f>
        <v/>
      </c>
      <c r="P109" s="33" t="str">
        <f>IF($O109="","",IFERROR(CHOOSE(MATCH($F109,الإعدادات!$B$4:$B$7,0),INDEX('حضور سوريال'!$C$7:$C$36,$O109),INDEX('حضور غبريال'!$C$7:$C$36,$O109),INDEX('حضور رفائيل'!$C$7:$C$36,$O109),INDEX('حضور ميخائيل'!$C$7:$C$36,$O109)),""))</f>
        <v/>
      </c>
      <c r="Q109" s="33" t="str">
        <f>IF($O109="","",IFERROR(CHOOSE(MATCH($F109,الإعدادات!$B$4:$B$7,0),INDEX('حضور سوريال'!$D$7:$D$36,$O109),INDEX('حضور غبريال'!$D$7:$D$36,$O109),INDEX('حضور رفائيل'!$D$7:$D$36,$O109),INDEX('حضور ميخائيل'!$D$7:$D$36,$O109)),""))</f>
        <v/>
      </c>
      <c r="R109" s="34" t="str">
        <f>IF($O109="","",IFERROR(CHOOSE(MATCH($F109,الإعدادات!$B$4:$B$7,0),INDEX('حضور سوريال'!$F$7:$F$36,$O109),INDEX('حضور غبريال'!$F$7:$F$36,$O109),INDEX('حضور رفائيل'!$F$7:$F$36,$O109),INDEX('حضور ميخائيل'!$F$7:$F$36,$O109)),""))</f>
        <v/>
      </c>
      <c r="S109" s="33" t="str">
        <f>IF($O109="","",IFERROR(CHOOSE(MATCH($F109,الإعدادات!$B$4:$B$7,0),INDEX('حضور سوريال'!$G$7:$G$36,$O109),INDEX('حضور غبريال'!$G$7:$G$36,$O109),INDEX('حضور رفائيل'!$G$7:$G$36,$O109),INDEX('حضور ميخائيل'!$G$7:$G$36,$O109)),""))</f>
        <v/>
      </c>
      <c r="T109" s="35" t="str">
        <f>IF($O109="","",IFERROR(CHOOSE(MATCH($F109,الإعدادات!$B$4:$B$7,0),INDEX('حضور سوريال'!$H$7:$H$36,$O109),INDEX('حضور غبريال'!$H$7:$H$36,$O109),INDEX('حضور رفائيل'!$H$7:$H$36,$O109),INDEX('حضور ميخائيل'!$H$7:$H$36,$O109)),""))</f>
        <v/>
      </c>
      <c r="U109" s="36" t="str">
        <f>IF($O109="","",IFERROR(CHOOSE(MATCH($F109,الإعدادات!$B$4:$B$7,0),INDEX('حضور سوريال'!$I$7:$I$36,$O109),INDEX('حضور غبريال'!$I$7:$I$36,$O109),INDEX('حضور رفائيل'!$I$7:$I$36,$O109),INDEX('حضور ميخائيل'!$I$7:$I$36,$O109)),""))</f>
        <v/>
      </c>
      <c r="V109" t="str">
        <f>IF($O109="","",IFERROR(CHOOSE(MATCH($F109,الإعدادات!$B$4:$B$7,0),INDEX('حضور سوريال'!$BM$7:$BM$36,$O109),INDEX('حضور غبريال'!$BM$7:$BM$36,$O109),INDEX('حضور رفائيل'!$BM$7:$BM$36,$O109),INDEX('حضور ميخائيل'!$BM$7:$BM$36,$O109)),""))</f>
        <v/>
      </c>
      <c r="W109" t="str">
        <f>IF(OR(V109=3,V109=4),COUNTIFS(V$6:V109,3)+COUNTIFS(V$6:V109,4),"")</f>
        <v/>
      </c>
    </row>
    <row r="110" spans="1:23" ht="25.5" customHeight="1">
      <c r="A110" s="26" t="str">
        <f t="shared" si="3"/>
        <v/>
      </c>
      <c r="B110" s="27" t="str">
        <f t="shared" si="4"/>
        <v/>
      </c>
      <c r="C110" s="28"/>
      <c r="D110" s="29"/>
      <c r="E110" s="29"/>
      <c r="F110" s="29"/>
      <c r="G110" s="29"/>
      <c r="H110" s="30"/>
      <c r="I110" s="30"/>
      <c r="J110" s="31"/>
      <c r="K110" s="29"/>
      <c r="L110" s="31"/>
      <c r="M110" s="29"/>
      <c r="N110" s="32" t="str">
        <f t="shared" si="5"/>
        <v/>
      </c>
      <c r="O110" s="32" t="str">
        <f>IF(OR(C110="",F110=""),"",COUNTIFS(F$6:F110,F110,C$6:C110,"&lt;&gt;"))</f>
        <v/>
      </c>
      <c r="P110" s="33" t="str">
        <f>IF($O110="","",IFERROR(CHOOSE(MATCH($F110,الإعدادات!$B$4:$B$7,0),INDEX('حضور سوريال'!$C$7:$C$36,$O110),INDEX('حضور غبريال'!$C$7:$C$36,$O110),INDEX('حضور رفائيل'!$C$7:$C$36,$O110),INDEX('حضور ميخائيل'!$C$7:$C$36,$O110)),""))</f>
        <v/>
      </c>
      <c r="Q110" s="33" t="str">
        <f>IF($O110="","",IFERROR(CHOOSE(MATCH($F110,الإعدادات!$B$4:$B$7,0),INDEX('حضور سوريال'!$D$7:$D$36,$O110),INDEX('حضور غبريال'!$D$7:$D$36,$O110),INDEX('حضور رفائيل'!$D$7:$D$36,$O110),INDEX('حضور ميخائيل'!$D$7:$D$36,$O110)),""))</f>
        <v/>
      </c>
      <c r="R110" s="34" t="str">
        <f>IF($O110="","",IFERROR(CHOOSE(MATCH($F110,الإعدادات!$B$4:$B$7,0),INDEX('حضور سوريال'!$F$7:$F$36,$O110),INDEX('حضور غبريال'!$F$7:$F$36,$O110),INDEX('حضور رفائيل'!$F$7:$F$36,$O110),INDEX('حضور ميخائيل'!$F$7:$F$36,$O110)),""))</f>
        <v/>
      </c>
      <c r="S110" s="33" t="str">
        <f>IF($O110="","",IFERROR(CHOOSE(MATCH($F110,الإعدادات!$B$4:$B$7,0),INDEX('حضور سوريال'!$G$7:$G$36,$O110),INDEX('حضور غبريال'!$G$7:$G$36,$O110),INDEX('حضور رفائيل'!$G$7:$G$36,$O110),INDEX('حضور ميخائيل'!$G$7:$G$36,$O110)),""))</f>
        <v/>
      </c>
      <c r="T110" s="35" t="str">
        <f>IF($O110="","",IFERROR(CHOOSE(MATCH($F110,الإعدادات!$B$4:$B$7,0),INDEX('حضور سوريال'!$H$7:$H$36,$O110),INDEX('حضور غبريال'!$H$7:$H$36,$O110),INDEX('حضور رفائيل'!$H$7:$H$36,$O110),INDEX('حضور ميخائيل'!$H$7:$H$36,$O110)),""))</f>
        <v/>
      </c>
      <c r="U110" s="36" t="str">
        <f>IF($O110="","",IFERROR(CHOOSE(MATCH($F110,الإعدادات!$B$4:$B$7,0),INDEX('حضور سوريال'!$I$7:$I$36,$O110),INDEX('حضور غبريال'!$I$7:$I$36,$O110),INDEX('حضور رفائيل'!$I$7:$I$36,$O110),INDEX('حضور ميخائيل'!$I$7:$I$36,$O110)),""))</f>
        <v/>
      </c>
      <c r="V110" t="str">
        <f>IF($O110="","",IFERROR(CHOOSE(MATCH($F110,الإعدادات!$B$4:$B$7,0),INDEX('حضور سوريال'!$BM$7:$BM$36,$O110),INDEX('حضور غبريال'!$BM$7:$BM$36,$O110),INDEX('حضور رفائيل'!$BM$7:$BM$36,$O110),INDEX('حضور ميخائيل'!$BM$7:$BM$36,$O110)),""))</f>
        <v/>
      </c>
      <c r="W110" t="str">
        <f>IF(OR(V110=3,V110=4),COUNTIFS(V$6:V110,3)+COUNTIFS(V$6:V110,4),"")</f>
        <v/>
      </c>
    </row>
    <row r="111" spans="1:23" ht="25.5" customHeight="1">
      <c r="A111" s="26" t="str">
        <f t="shared" si="3"/>
        <v/>
      </c>
      <c r="B111" s="27" t="str">
        <f t="shared" si="4"/>
        <v/>
      </c>
      <c r="C111" s="28"/>
      <c r="D111" s="29"/>
      <c r="E111" s="29"/>
      <c r="F111" s="29"/>
      <c r="G111" s="29"/>
      <c r="H111" s="30"/>
      <c r="I111" s="30"/>
      <c r="J111" s="31"/>
      <c r="K111" s="29"/>
      <c r="L111" s="31"/>
      <c r="M111" s="29"/>
      <c r="N111" s="32" t="str">
        <f t="shared" si="5"/>
        <v/>
      </c>
      <c r="O111" s="32" t="str">
        <f>IF(OR(C111="",F111=""),"",COUNTIFS(F$6:F111,F111,C$6:C111,"&lt;&gt;"))</f>
        <v/>
      </c>
      <c r="P111" s="33" t="str">
        <f>IF($O111="","",IFERROR(CHOOSE(MATCH($F111,الإعدادات!$B$4:$B$7,0),INDEX('حضور سوريال'!$C$7:$C$36,$O111),INDEX('حضور غبريال'!$C$7:$C$36,$O111),INDEX('حضور رفائيل'!$C$7:$C$36,$O111),INDEX('حضور ميخائيل'!$C$7:$C$36,$O111)),""))</f>
        <v/>
      </c>
      <c r="Q111" s="33" t="str">
        <f>IF($O111="","",IFERROR(CHOOSE(MATCH($F111,الإعدادات!$B$4:$B$7,0),INDEX('حضور سوريال'!$D$7:$D$36,$O111),INDEX('حضور غبريال'!$D$7:$D$36,$O111),INDEX('حضور رفائيل'!$D$7:$D$36,$O111),INDEX('حضور ميخائيل'!$D$7:$D$36,$O111)),""))</f>
        <v/>
      </c>
      <c r="R111" s="34" t="str">
        <f>IF($O111="","",IFERROR(CHOOSE(MATCH($F111,الإعدادات!$B$4:$B$7,0),INDEX('حضور سوريال'!$F$7:$F$36,$O111),INDEX('حضور غبريال'!$F$7:$F$36,$O111),INDEX('حضور رفائيل'!$F$7:$F$36,$O111),INDEX('حضور ميخائيل'!$F$7:$F$36,$O111)),""))</f>
        <v/>
      </c>
      <c r="S111" s="33" t="str">
        <f>IF($O111="","",IFERROR(CHOOSE(MATCH($F111,الإعدادات!$B$4:$B$7,0),INDEX('حضور سوريال'!$G$7:$G$36,$O111),INDEX('حضور غبريال'!$G$7:$G$36,$O111),INDEX('حضور رفائيل'!$G$7:$G$36,$O111),INDEX('حضور ميخائيل'!$G$7:$G$36,$O111)),""))</f>
        <v/>
      </c>
      <c r="T111" s="35" t="str">
        <f>IF($O111="","",IFERROR(CHOOSE(MATCH($F111,الإعدادات!$B$4:$B$7,0),INDEX('حضور سوريال'!$H$7:$H$36,$O111),INDEX('حضور غبريال'!$H$7:$H$36,$O111),INDEX('حضور رفائيل'!$H$7:$H$36,$O111),INDEX('حضور ميخائيل'!$H$7:$H$36,$O111)),""))</f>
        <v/>
      </c>
      <c r="U111" s="36" t="str">
        <f>IF($O111="","",IFERROR(CHOOSE(MATCH($F111,الإعدادات!$B$4:$B$7,0),INDEX('حضور سوريال'!$I$7:$I$36,$O111),INDEX('حضور غبريال'!$I$7:$I$36,$O111),INDEX('حضور رفائيل'!$I$7:$I$36,$O111),INDEX('حضور ميخائيل'!$I$7:$I$36,$O111)),""))</f>
        <v/>
      </c>
      <c r="V111" t="str">
        <f>IF($O111="","",IFERROR(CHOOSE(MATCH($F111,الإعدادات!$B$4:$B$7,0),INDEX('حضور سوريال'!$BM$7:$BM$36,$O111),INDEX('حضور غبريال'!$BM$7:$BM$36,$O111),INDEX('حضور رفائيل'!$BM$7:$BM$36,$O111),INDEX('حضور ميخائيل'!$BM$7:$BM$36,$O111)),""))</f>
        <v/>
      </c>
      <c r="W111" t="str">
        <f>IF(OR(V111=3,V111=4),COUNTIFS(V$6:V111,3)+COUNTIFS(V$6:V111,4),"")</f>
        <v/>
      </c>
    </row>
    <row r="112" spans="1:23" ht="25.5" customHeight="1">
      <c r="A112" s="26" t="str">
        <f t="shared" si="3"/>
        <v/>
      </c>
      <c r="B112" s="27" t="str">
        <f t="shared" si="4"/>
        <v/>
      </c>
      <c r="C112" s="28"/>
      <c r="D112" s="29"/>
      <c r="E112" s="29"/>
      <c r="F112" s="29"/>
      <c r="G112" s="29"/>
      <c r="H112" s="30"/>
      <c r="I112" s="30"/>
      <c r="J112" s="31"/>
      <c r="K112" s="29"/>
      <c r="L112" s="31"/>
      <c r="M112" s="29"/>
      <c r="N112" s="32" t="str">
        <f t="shared" si="5"/>
        <v/>
      </c>
      <c r="O112" s="32" t="str">
        <f>IF(OR(C112="",F112=""),"",COUNTIFS(F$6:F112,F112,C$6:C112,"&lt;&gt;"))</f>
        <v/>
      </c>
      <c r="P112" s="33" t="str">
        <f>IF($O112="","",IFERROR(CHOOSE(MATCH($F112,الإعدادات!$B$4:$B$7,0),INDEX('حضور سوريال'!$C$7:$C$36,$O112),INDEX('حضور غبريال'!$C$7:$C$36,$O112),INDEX('حضور رفائيل'!$C$7:$C$36,$O112),INDEX('حضور ميخائيل'!$C$7:$C$36,$O112)),""))</f>
        <v/>
      </c>
      <c r="Q112" s="33" t="str">
        <f>IF($O112="","",IFERROR(CHOOSE(MATCH($F112,الإعدادات!$B$4:$B$7,0),INDEX('حضور سوريال'!$D$7:$D$36,$O112),INDEX('حضور غبريال'!$D$7:$D$36,$O112),INDEX('حضور رفائيل'!$D$7:$D$36,$O112),INDEX('حضور ميخائيل'!$D$7:$D$36,$O112)),""))</f>
        <v/>
      </c>
      <c r="R112" s="34" t="str">
        <f>IF($O112="","",IFERROR(CHOOSE(MATCH($F112,الإعدادات!$B$4:$B$7,0),INDEX('حضور سوريال'!$F$7:$F$36,$O112),INDEX('حضور غبريال'!$F$7:$F$36,$O112),INDEX('حضور رفائيل'!$F$7:$F$36,$O112),INDEX('حضور ميخائيل'!$F$7:$F$36,$O112)),""))</f>
        <v/>
      </c>
      <c r="S112" s="33" t="str">
        <f>IF($O112="","",IFERROR(CHOOSE(MATCH($F112,الإعدادات!$B$4:$B$7,0),INDEX('حضور سوريال'!$G$7:$G$36,$O112),INDEX('حضور غبريال'!$G$7:$G$36,$O112),INDEX('حضور رفائيل'!$G$7:$G$36,$O112),INDEX('حضور ميخائيل'!$G$7:$G$36,$O112)),""))</f>
        <v/>
      </c>
      <c r="T112" s="35" t="str">
        <f>IF($O112="","",IFERROR(CHOOSE(MATCH($F112,الإعدادات!$B$4:$B$7,0),INDEX('حضور سوريال'!$H$7:$H$36,$O112),INDEX('حضور غبريال'!$H$7:$H$36,$O112),INDEX('حضور رفائيل'!$H$7:$H$36,$O112),INDEX('حضور ميخائيل'!$H$7:$H$36,$O112)),""))</f>
        <v/>
      </c>
      <c r="U112" s="36" t="str">
        <f>IF($O112="","",IFERROR(CHOOSE(MATCH($F112,الإعدادات!$B$4:$B$7,0),INDEX('حضور سوريال'!$I$7:$I$36,$O112),INDEX('حضور غبريال'!$I$7:$I$36,$O112),INDEX('حضور رفائيل'!$I$7:$I$36,$O112),INDEX('حضور ميخائيل'!$I$7:$I$36,$O112)),""))</f>
        <v/>
      </c>
      <c r="V112" t="str">
        <f>IF($O112="","",IFERROR(CHOOSE(MATCH($F112,الإعدادات!$B$4:$B$7,0),INDEX('حضور سوريال'!$BM$7:$BM$36,$O112),INDEX('حضور غبريال'!$BM$7:$BM$36,$O112),INDEX('حضور رفائيل'!$BM$7:$BM$36,$O112),INDEX('حضور ميخائيل'!$BM$7:$BM$36,$O112)),""))</f>
        <v/>
      </c>
      <c r="W112" t="str">
        <f>IF(OR(V112=3,V112=4),COUNTIFS(V$6:V112,3)+COUNTIFS(V$6:V112,4),"")</f>
        <v/>
      </c>
    </row>
    <row r="113" spans="1:23" ht="25.5" customHeight="1">
      <c r="A113" s="26" t="str">
        <f t="shared" si="3"/>
        <v/>
      </c>
      <c r="B113" s="27" t="str">
        <f t="shared" si="4"/>
        <v/>
      </c>
      <c r="C113" s="28"/>
      <c r="D113" s="29"/>
      <c r="E113" s="29"/>
      <c r="F113" s="29"/>
      <c r="G113" s="29"/>
      <c r="H113" s="30"/>
      <c r="I113" s="30"/>
      <c r="J113" s="31"/>
      <c r="K113" s="29"/>
      <c r="L113" s="31"/>
      <c r="M113" s="29"/>
      <c r="N113" s="32" t="str">
        <f t="shared" si="5"/>
        <v/>
      </c>
      <c r="O113" s="32" t="str">
        <f>IF(OR(C113="",F113=""),"",COUNTIFS(F$6:F113,F113,C$6:C113,"&lt;&gt;"))</f>
        <v/>
      </c>
      <c r="P113" s="33" t="str">
        <f>IF($O113="","",IFERROR(CHOOSE(MATCH($F113,الإعدادات!$B$4:$B$7,0),INDEX('حضور سوريال'!$C$7:$C$36,$O113),INDEX('حضور غبريال'!$C$7:$C$36,$O113),INDEX('حضور رفائيل'!$C$7:$C$36,$O113),INDEX('حضور ميخائيل'!$C$7:$C$36,$O113)),""))</f>
        <v/>
      </c>
      <c r="Q113" s="33" t="str">
        <f>IF($O113="","",IFERROR(CHOOSE(MATCH($F113,الإعدادات!$B$4:$B$7,0),INDEX('حضور سوريال'!$D$7:$D$36,$O113),INDEX('حضور غبريال'!$D$7:$D$36,$O113),INDEX('حضور رفائيل'!$D$7:$D$36,$O113),INDEX('حضور ميخائيل'!$D$7:$D$36,$O113)),""))</f>
        <v/>
      </c>
      <c r="R113" s="34" t="str">
        <f>IF($O113="","",IFERROR(CHOOSE(MATCH($F113,الإعدادات!$B$4:$B$7,0),INDEX('حضور سوريال'!$F$7:$F$36,$O113),INDEX('حضور غبريال'!$F$7:$F$36,$O113),INDEX('حضور رفائيل'!$F$7:$F$36,$O113),INDEX('حضور ميخائيل'!$F$7:$F$36,$O113)),""))</f>
        <v/>
      </c>
      <c r="S113" s="33" t="str">
        <f>IF($O113="","",IFERROR(CHOOSE(MATCH($F113,الإعدادات!$B$4:$B$7,0),INDEX('حضور سوريال'!$G$7:$G$36,$O113),INDEX('حضور غبريال'!$G$7:$G$36,$O113),INDEX('حضور رفائيل'!$G$7:$G$36,$O113),INDEX('حضور ميخائيل'!$G$7:$G$36,$O113)),""))</f>
        <v/>
      </c>
      <c r="T113" s="35" t="str">
        <f>IF($O113="","",IFERROR(CHOOSE(MATCH($F113,الإعدادات!$B$4:$B$7,0),INDEX('حضور سوريال'!$H$7:$H$36,$O113),INDEX('حضور غبريال'!$H$7:$H$36,$O113),INDEX('حضور رفائيل'!$H$7:$H$36,$O113),INDEX('حضور ميخائيل'!$H$7:$H$36,$O113)),""))</f>
        <v/>
      </c>
      <c r="U113" s="36" t="str">
        <f>IF($O113="","",IFERROR(CHOOSE(MATCH($F113,الإعدادات!$B$4:$B$7,0),INDEX('حضور سوريال'!$I$7:$I$36,$O113),INDEX('حضور غبريال'!$I$7:$I$36,$O113),INDEX('حضور رفائيل'!$I$7:$I$36,$O113),INDEX('حضور ميخائيل'!$I$7:$I$36,$O113)),""))</f>
        <v/>
      </c>
      <c r="V113" t="str">
        <f>IF($O113="","",IFERROR(CHOOSE(MATCH($F113,الإعدادات!$B$4:$B$7,0),INDEX('حضور سوريال'!$BM$7:$BM$36,$O113),INDEX('حضور غبريال'!$BM$7:$BM$36,$O113),INDEX('حضور رفائيل'!$BM$7:$BM$36,$O113),INDEX('حضور ميخائيل'!$BM$7:$BM$36,$O113)),""))</f>
        <v/>
      </c>
      <c r="W113" t="str">
        <f>IF(OR(V113=3,V113=4),COUNTIFS(V$6:V113,3)+COUNTIFS(V$6:V113,4),"")</f>
        <v/>
      </c>
    </row>
    <row r="114" spans="1:23" ht="25.5" customHeight="1">
      <c r="A114" s="26" t="str">
        <f t="shared" si="3"/>
        <v/>
      </c>
      <c r="B114" s="27" t="str">
        <f t="shared" si="4"/>
        <v/>
      </c>
      <c r="C114" s="28"/>
      <c r="D114" s="29"/>
      <c r="E114" s="29"/>
      <c r="F114" s="29"/>
      <c r="G114" s="29"/>
      <c r="H114" s="30"/>
      <c r="I114" s="30"/>
      <c r="J114" s="31"/>
      <c r="K114" s="29"/>
      <c r="L114" s="31"/>
      <c r="M114" s="29"/>
      <c r="N114" s="32" t="str">
        <f t="shared" si="5"/>
        <v/>
      </c>
      <c r="O114" s="32" t="str">
        <f>IF(OR(C114="",F114=""),"",COUNTIFS(F$6:F114,F114,C$6:C114,"&lt;&gt;"))</f>
        <v/>
      </c>
      <c r="P114" s="33" t="str">
        <f>IF($O114="","",IFERROR(CHOOSE(MATCH($F114,الإعدادات!$B$4:$B$7,0),INDEX('حضور سوريال'!$C$7:$C$36,$O114),INDEX('حضور غبريال'!$C$7:$C$36,$O114),INDEX('حضور رفائيل'!$C$7:$C$36,$O114),INDEX('حضور ميخائيل'!$C$7:$C$36,$O114)),""))</f>
        <v/>
      </c>
      <c r="Q114" s="33" t="str">
        <f>IF($O114="","",IFERROR(CHOOSE(MATCH($F114,الإعدادات!$B$4:$B$7,0),INDEX('حضور سوريال'!$D$7:$D$36,$O114),INDEX('حضور غبريال'!$D$7:$D$36,$O114),INDEX('حضور رفائيل'!$D$7:$D$36,$O114),INDEX('حضور ميخائيل'!$D$7:$D$36,$O114)),""))</f>
        <v/>
      </c>
      <c r="R114" s="34" t="str">
        <f>IF($O114="","",IFERROR(CHOOSE(MATCH($F114,الإعدادات!$B$4:$B$7,0),INDEX('حضور سوريال'!$F$7:$F$36,$O114),INDEX('حضور غبريال'!$F$7:$F$36,$O114),INDEX('حضور رفائيل'!$F$7:$F$36,$O114),INDEX('حضور ميخائيل'!$F$7:$F$36,$O114)),""))</f>
        <v/>
      </c>
      <c r="S114" s="33" t="str">
        <f>IF($O114="","",IFERROR(CHOOSE(MATCH($F114,الإعدادات!$B$4:$B$7,0),INDEX('حضور سوريال'!$G$7:$G$36,$O114),INDEX('حضور غبريال'!$G$7:$G$36,$O114),INDEX('حضور رفائيل'!$G$7:$G$36,$O114),INDEX('حضور ميخائيل'!$G$7:$G$36,$O114)),""))</f>
        <v/>
      </c>
      <c r="T114" s="35" t="str">
        <f>IF($O114="","",IFERROR(CHOOSE(MATCH($F114,الإعدادات!$B$4:$B$7,0),INDEX('حضور سوريال'!$H$7:$H$36,$O114),INDEX('حضور غبريال'!$H$7:$H$36,$O114),INDEX('حضور رفائيل'!$H$7:$H$36,$O114),INDEX('حضور ميخائيل'!$H$7:$H$36,$O114)),""))</f>
        <v/>
      </c>
      <c r="U114" s="36" t="str">
        <f>IF($O114="","",IFERROR(CHOOSE(MATCH($F114,الإعدادات!$B$4:$B$7,0),INDEX('حضور سوريال'!$I$7:$I$36,$O114),INDEX('حضور غبريال'!$I$7:$I$36,$O114),INDEX('حضور رفائيل'!$I$7:$I$36,$O114),INDEX('حضور ميخائيل'!$I$7:$I$36,$O114)),""))</f>
        <v/>
      </c>
      <c r="V114" t="str">
        <f>IF($O114="","",IFERROR(CHOOSE(MATCH($F114,الإعدادات!$B$4:$B$7,0),INDEX('حضور سوريال'!$BM$7:$BM$36,$O114),INDEX('حضور غبريال'!$BM$7:$BM$36,$O114),INDEX('حضور رفائيل'!$BM$7:$BM$36,$O114),INDEX('حضور ميخائيل'!$BM$7:$BM$36,$O114)),""))</f>
        <v/>
      </c>
      <c r="W114" t="str">
        <f>IF(OR(V114=3,V114=4),COUNTIFS(V$6:V114,3)+COUNTIFS(V$6:V114,4),"")</f>
        <v/>
      </c>
    </row>
    <row r="115" spans="1:23" ht="25.5" customHeight="1">
      <c r="A115" s="26" t="str">
        <f t="shared" si="3"/>
        <v/>
      </c>
      <c r="B115" s="27" t="str">
        <f t="shared" si="4"/>
        <v/>
      </c>
      <c r="C115" s="28"/>
      <c r="D115" s="29"/>
      <c r="E115" s="29"/>
      <c r="F115" s="29"/>
      <c r="G115" s="29"/>
      <c r="H115" s="30"/>
      <c r="I115" s="30"/>
      <c r="J115" s="31"/>
      <c r="K115" s="29"/>
      <c r="L115" s="31"/>
      <c r="M115" s="29"/>
      <c r="N115" s="32" t="str">
        <f t="shared" si="5"/>
        <v/>
      </c>
      <c r="O115" s="32" t="str">
        <f>IF(OR(C115="",F115=""),"",COUNTIFS(F$6:F115,F115,C$6:C115,"&lt;&gt;"))</f>
        <v/>
      </c>
      <c r="P115" s="33" t="str">
        <f>IF($O115="","",IFERROR(CHOOSE(MATCH($F115,الإعدادات!$B$4:$B$7,0),INDEX('حضور سوريال'!$C$7:$C$36,$O115),INDEX('حضور غبريال'!$C$7:$C$36,$O115),INDEX('حضور رفائيل'!$C$7:$C$36,$O115),INDEX('حضور ميخائيل'!$C$7:$C$36,$O115)),""))</f>
        <v/>
      </c>
      <c r="Q115" s="33" t="str">
        <f>IF($O115="","",IFERROR(CHOOSE(MATCH($F115,الإعدادات!$B$4:$B$7,0),INDEX('حضور سوريال'!$D$7:$D$36,$O115),INDEX('حضور غبريال'!$D$7:$D$36,$O115),INDEX('حضور رفائيل'!$D$7:$D$36,$O115),INDEX('حضور ميخائيل'!$D$7:$D$36,$O115)),""))</f>
        <v/>
      </c>
      <c r="R115" s="34" t="str">
        <f>IF($O115="","",IFERROR(CHOOSE(MATCH($F115,الإعدادات!$B$4:$B$7,0),INDEX('حضور سوريال'!$F$7:$F$36,$O115),INDEX('حضور غبريال'!$F$7:$F$36,$O115),INDEX('حضور رفائيل'!$F$7:$F$36,$O115),INDEX('حضور ميخائيل'!$F$7:$F$36,$O115)),""))</f>
        <v/>
      </c>
      <c r="S115" s="33" t="str">
        <f>IF($O115="","",IFERROR(CHOOSE(MATCH($F115,الإعدادات!$B$4:$B$7,0),INDEX('حضور سوريال'!$G$7:$G$36,$O115),INDEX('حضور غبريال'!$G$7:$G$36,$O115),INDEX('حضور رفائيل'!$G$7:$G$36,$O115),INDEX('حضور ميخائيل'!$G$7:$G$36,$O115)),""))</f>
        <v/>
      </c>
      <c r="T115" s="35" t="str">
        <f>IF($O115="","",IFERROR(CHOOSE(MATCH($F115,الإعدادات!$B$4:$B$7,0),INDEX('حضور سوريال'!$H$7:$H$36,$O115),INDEX('حضور غبريال'!$H$7:$H$36,$O115),INDEX('حضور رفائيل'!$H$7:$H$36,$O115),INDEX('حضور ميخائيل'!$H$7:$H$36,$O115)),""))</f>
        <v/>
      </c>
      <c r="U115" s="36" t="str">
        <f>IF($O115="","",IFERROR(CHOOSE(MATCH($F115,الإعدادات!$B$4:$B$7,0),INDEX('حضور سوريال'!$I$7:$I$36,$O115),INDEX('حضور غبريال'!$I$7:$I$36,$O115),INDEX('حضور رفائيل'!$I$7:$I$36,$O115),INDEX('حضور ميخائيل'!$I$7:$I$36,$O115)),""))</f>
        <v/>
      </c>
      <c r="V115" t="str">
        <f>IF($O115="","",IFERROR(CHOOSE(MATCH($F115,الإعدادات!$B$4:$B$7,0),INDEX('حضور سوريال'!$BM$7:$BM$36,$O115),INDEX('حضور غبريال'!$BM$7:$BM$36,$O115),INDEX('حضور رفائيل'!$BM$7:$BM$36,$O115),INDEX('حضور ميخائيل'!$BM$7:$BM$36,$O115)),""))</f>
        <v/>
      </c>
      <c r="W115" t="str">
        <f>IF(OR(V115=3,V115=4),COUNTIFS(V$6:V115,3)+COUNTIFS(V$6:V115,4),"")</f>
        <v/>
      </c>
    </row>
    <row r="116" spans="1:23" ht="25.5" customHeight="1">
      <c r="A116" s="26" t="str">
        <f t="shared" si="3"/>
        <v/>
      </c>
      <c r="B116" s="27" t="str">
        <f t="shared" si="4"/>
        <v/>
      </c>
      <c r="C116" s="28"/>
      <c r="D116" s="29"/>
      <c r="E116" s="29"/>
      <c r="F116" s="29"/>
      <c r="G116" s="29"/>
      <c r="H116" s="30"/>
      <c r="I116" s="30"/>
      <c r="J116" s="31"/>
      <c r="K116" s="29"/>
      <c r="L116" s="31"/>
      <c r="M116" s="29"/>
      <c r="N116" s="32" t="str">
        <f t="shared" si="5"/>
        <v/>
      </c>
      <c r="O116" s="32" t="str">
        <f>IF(OR(C116="",F116=""),"",COUNTIFS(F$6:F116,F116,C$6:C116,"&lt;&gt;"))</f>
        <v/>
      </c>
      <c r="P116" s="33" t="str">
        <f>IF($O116="","",IFERROR(CHOOSE(MATCH($F116,الإعدادات!$B$4:$B$7,0),INDEX('حضور سوريال'!$C$7:$C$36,$O116),INDEX('حضور غبريال'!$C$7:$C$36,$O116),INDEX('حضور رفائيل'!$C$7:$C$36,$O116),INDEX('حضور ميخائيل'!$C$7:$C$36,$O116)),""))</f>
        <v/>
      </c>
      <c r="Q116" s="33" t="str">
        <f>IF($O116="","",IFERROR(CHOOSE(MATCH($F116,الإعدادات!$B$4:$B$7,0),INDEX('حضور سوريال'!$D$7:$D$36,$O116),INDEX('حضور غبريال'!$D$7:$D$36,$O116),INDEX('حضور رفائيل'!$D$7:$D$36,$O116),INDEX('حضور ميخائيل'!$D$7:$D$36,$O116)),""))</f>
        <v/>
      </c>
      <c r="R116" s="34" t="str">
        <f>IF($O116="","",IFERROR(CHOOSE(MATCH($F116,الإعدادات!$B$4:$B$7,0),INDEX('حضور سوريال'!$F$7:$F$36,$O116),INDEX('حضور غبريال'!$F$7:$F$36,$O116),INDEX('حضور رفائيل'!$F$7:$F$36,$O116),INDEX('حضور ميخائيل'!$F$7:$F$36,$O116)),""))</f>
        <v/>
      </c>
      <c r="S116" s="33" t="str">
        <f>IF($O116="","",IFERROR(CHOOSE(MATCH($F116,الإعدادات!$B$4:$B$7,0),INDEX('حضور سوريال'!$G$7:$G$36,$O116),INDEX('حضور غبريال'!$G$7:$G$36,$O116),INDEX('حضور رفائيل'!$G$7:$G$36,$O116),INDEX('حضور ميخائيل'!$G$7:$G$36,$O116)),""))</f>
        <v/>
      </c>
      <c r="T116" s="35" t="str">
        <f>IF($O116="","",IFERROR(CHOOSE(MATCH($F116,الإعدادات!$B$4:$B$7,0),INDEX('حضور سوريال'!$H$7:$H$36,$O116),INDEX('حضور غبريال'!$H$7:$H$36,$O116),INDEX('حضور رفائيل'!$H$7:$H$36,$O116),INDEX('حضور ميخائيل'!$H$7:$H$36,$O116)),""))</f>
        <v/>
      </c>
      <c r="U116" s="36" t="str">
        <f>IF($O116="","",IFERROR(CHOOSE(MATCH($F116,الإعدادات!$B$4:$B$7,0),INDEX('حضور سوريال'!$I$7:$I$36,$O116),INDEX('حضور غبريال'!$I$7:$I$36,$O116),INDEX('حضور رفائيل'!$I$7:$I$36,$O116),INDEX('حضور ميخائيل'!$I$7:$I$36,$O116)),""))</f>
        <v/>
      </c>
      <c r="V116" t="str">
        <f>IF($O116="","",IFERROR(CHOOSE(MATCH($F116,الإعدادات!$B$4:$B$7,0),INDEX('حضور سوريال'!$BM$7:$BM$36,$O116),INDEX('حضور غبريال'!$BM$7:$BM$36,$O116),INDEX('حضور رفائيل'!$BM$7:$BM$36,$O116),INDEX('حضور ميخائيل'!$BM$7:$BM$36,$O116)),""))</f>
        <v/>
      </c>
      <c r="W116" t="str">
        <f>IF(OR(V116=3,V116=4),COUNTIFS(V$6:V116,3)+COUNTIFS(V$6:V116,4),"")</f>
        <v/>
      </c>
    </row>
    <row r="117" spans="1:23" ht="25.5" customHeight="1">
      <c r="A117" s="26" t="str">
        <f t="shared" si="3"/>
        <v/>
      </c>
      <c r="B117" s="27" t="str">
        <f t="shared" si="4"/>
        <v/>
      </c>
      <c r="C117" s="28"/>
      <c r="D117" s="29"/>
      <c r="E117" s="29"/>
      <c r="F117" s="29"/>
      <c r="G117" s="29"/>
      <c r="H117" s="30"/>
      <c r="I117" s="30"/>
      <c r="J117" s="31"/>
      <c r="K117" s="29"/>
      <c r="L117" s="31"/>
      <c r="M117" s="29"/>
      <c r="N117" s="32" t="str">
        <f t="shared" si="5"/>
        <v/>
      </c>
      <c r="O117" s="32" t="str">
        <f>IF(OR(C117="",F117=""),"",COUNTIFS(F$6:F117,F117,C$6:C117,"&lt;&gt;"))</f>
        <v/>
      </c>
      <c r="P117" s="33" t="str">
        <f>IF($O117="","",IFERROR(CHOOSE(MATCH($F117,الإعدادات!$B$4:$B$7,0),INDEX('حضور سوريال'!$C$7:$C$36,$O117),INDEX('حضور غبريال'!$C$7:$C$36,$O117),INDEX('حضور رفائيل'!$C$7:$C$36,$O117),INDEX('حضور ميخائيل'!$C$7:$C$36,$O117)),""))</f>
        <v/>
      </c>
      <c r="Q117" s="33" t="str">
        <f>IF($O117="","",IFERROR(CHOOSE(MATCH($F117,الإعدادات!$B$4:$B$7,0),INDEX('حضور سوريال'!$D$7:$D$36,$O117),INDEX('حضور غبريال'!$D$7:$D$36,$O117),INDEX('حضور رفائيل'!$D$7:$D$36,$O117),INDEX('حضور ميخائيل'!$D$7:$D$36,$O117)),""))</f>
        <v/>
      </c>
      <c r="R117" s="34" t="str">
        <f>IF($O117="","",IFERROR(CHOOSE(MATCH($F117,الإعدادات!$B$4:$B$7,0),INDEX('حضور سوريال'!$F$7:$F$36,$O117),INDEX('حضور غبريال'!$F$7:$F$36,$O117),INDEX('حضور رفائيل'!$F$7:$F$36,$O117),INDEX('حضور ميخائيل'!$F$7:$F$36,$O117)),""))</f>
        <v/>
      </c>
      <c r="S117" s="33" t="str">
        <f>IF($O117="","",IFERROR(CHOOSE(MATCH($F117,الإعدادات!$B$4:$B$7,0),INDEX('حضور سوريال'!$G$7:$G$36,$O117),INDEX('حضور غبريال'!$G$7:$G$36,$O117),INDEX('حضور رفائيل'!$G$7:$G$36,$O117),INDEX('حضور ميخائيل'!$G$7:$G$36,$O117)),""))</f>
        <v/>
      </c>
      <c r="T117" s="35" t="str">
        <f>IF($O117="","",IFERROR(CHOOSE(MATCH($F117,الإعدادات!$B$4:$B$7,0),INDEX('حضور سوريال'!$H$7:$H$36,$O117),INDEX('حضور غبريال'!$H$7:$H$36,$O117),INDEX('حضور رفائيل'!$H$7:$H$36,$O117),INDEX('حضور ميخائيل'!$H$7:$H$36,$O117)),""))</f>
        <v/>
      </c>
      <c r="U117" s="36" t="str">
        <f>IF($O117="","",IFERROR(CHOOSE(MATCH($F117,الإعدادات!$B$4:$B$7,0),INDEX('حضور سوريال'!$I$7:$I$36,$O117),INDEX('حضور غبريال'!$I$7:$I$36,$O117),INDEX('حضور رفائيل'!$I$7:$I$36,$O117),INDEX('حضور ميخائيل'!$I$7:$I$36,$O117)),""))</f>
        <v/>
      </c>
      <c r="V117" t="str">
        <f>IF($O117="","",IFERROR(CHOOSE(MATCH($F117,الإعدادات!$B$4:$B$7,0),INDEX('حضور سوريال'!$BM$7:$BM$36,$O117),INDEX('حضور غبريال'!$BM$7:$BM$36,$O117),INDEX('حضور رفائيل'!$BM$7:$BM$36,$O117),INDEX('حضور ميخائيل'!$BM$7:$BM$36,$O117)),""))</f>
        <v/>
      </c>
      <c r="W117" t="str">
        <f>IF(OR(V117=3,V117=4),COUNTIFS(V$6:V117,3)+COUNTIFS(V$6:V117,4),"")</f>
        <v/>
      </c>
    </row>
    <row r="118" spans="1:23" ht="25.5" customHeight="1">
      <c r="A118" s="26" t="str">
        <f t="shared" si="3"/>
        <v/>
      </c>
      <c r="B118" s="27" t="str">
        <f t="shared" si="4"/>
        <v/>
      </c>
      <c r="C118" s="28"/>
      <c r="D118" s="29"/>
      <c r="E118" s="29"/>
      <c r="F118" s="29"/>
      <c r="G118" s="29"/>
      <c r="H118" s="30"/>
      <c r="I118" s="30"/>
      <c r="J118" s="31"/>
      <c r="K118" s="29"/>
      <c r="L118" s="31"/>
      <c r="M118" s="29"/>
      <c r="N118" s="32" t="str">
        <f t="shared" si="5"/>
        <v/>
      </c>
      <c r="O118" s="32" t="str">
        <f>IF(OR(C118="",F118=""),"",COUNTIFS(F$6:F118,F118,C$6:C118,"&lt;&gt;"))</f>
        <v/>
      </c>
      <c r="P118" s="33" t="str">
        <f>IF($O118="","",IFERROR(CHOOSE(MATCH($F118,الإعدادات!$B$4:$B$7,0),INDEX('حضور سوريال'!$C$7:$C$36,$O118),INDEX('حضور غبريال'!$C$7:$C$36,$O118),INDEX('حضور رفائيل'!$C$7:$C$36,$O118),INDEX('حضور ميخائيل'!$C$7:$C$36,$O118)),""))</f>
        <v/>
      </c>
      <c r="Q118" s="33" t="str">
        <f>IF($O118="","",IFERROR(CHOOSE(MATCH($F118,الإعدادات!$B$4:$B$7,0),INDEX('حضور سوريال'!$D$7:$D$36,$O118),INDEX('حضور غبريال'!$D$7:$D$36,$O118),INDEX('حضور رفائيل'!$D$7:$D$36,$O118),INDEX('حضور ميخائيل'!$D$7:$D$36,$O118)),""))</f>
        <v/>
      </c>
      <c r="R118" s="34" t="str">
        <f>IF($O118="","",IFERROR(CHOOSE(MATCH($F118,الإعدادات!$B$4:$B$7,0),INDEX('حضور سوريال'!$F$7:$F$36,$O118),INDEX('حضور غبريال'!$F$7:$F$36,$O118),INDEX('حضور رفائيل'!$F$7:$F$36,$O118),INDEX('حضور ميخائيل'!$F$7:$F$36,$O118)),""))</f>
        <v/>
      </c>
      <c r="S118" s="33" t="str">
        <f>IF($O118="","",IFERROR(CHOOSE(MATCH($F118,الإعدادات!$B$4:$B$7,0),INDEX('حضور سوريال'!$G$7:$G$36,$O118),INDEX('حضور غبريال'!$G$7:$G$36,$O118),INDEX('حضور رفائيل'!$G$7:$G$36,$O118),INDEX('حضور ميخائيل'!$G$7:$G$36,$O118)),""))</f>
        <v/>
      </c>
      <c r="T118" s="35" t="str">
        <f>IF($O118="","",IFERROR(CHOOSE(MATCH($F118,الإعدادات!$B$4:$B$7,0),INDEX('حضور سوريال'!$H$7:$H$36,$O118),INDEX('حضور غبريال'!$H$7:$H$36,$O118),INDEX('حضور رفائيل'!$H$7:$H$36,$O118),INDEX('حضور ميخائيل'!$H$7:$H$36,$O118)),""))</f>
        <v/>
      </c>
      <c r="U118" s="36" t="str">
        <f>IF($O118="","",IFERROR(CHOOSE(MATCH($F118,الإعدادات!$B$4:$B$7,0),INDEX('حضور سوريال'!$I$7:$I$36,$O118),INDEX('حضور غبريال'!$I$7:$I$36,$O118),INDEX('حضور رفائيل'!$I$7:$I$36,$O118),INDEX('حضور ميخائيل'!$I$7:$I$36,$O118)),""))</f>
        <v/>
      </c>
      <c r="V118" t="str">
        <f>IF($O118="","",IFERROR(CHOOSE(MATCH($F118,الإعدادات!$B$4:$B$7,0),INDEX('حضور سوريال'!$BM$7:$BM$36,$O118),INDEX('حضور غبريال'!$BM$7:$BM$36,$O118),INDEX('حضور رفائيل'!$BM$7:$BM$36,$O118),INDEX('حضور ميخائيل'!$BM$7:$BM$36,$O118)),""))</f>
        <v/>
      </c>
      <c r="W118" t="str">
        <f>IF(OR(V118=3,V118=4),COUNTIFS(V$6:V118,3)+COUNTIFS(V$6:V118,4),"")</f>
        <v/>
      </c>
    </row>
    <row r="119" spans="1:23" ht="25.5" customHeight="1">
      <c r="A119" s="26" t="str">
        <f t="shared" si="3"/>
        <v/>
      </c>
      <c r="B119" s="27" t="str">
        <f t="shared" si="4"/>
        <v/>
      </c>
      <c r="C119" s="28"/>
      <c r="D119" s="29"/>
      <c r="E119" s="29"/>
      <c r="F119" s="29"/>
      <c r="G119" s="29"/>
      <c r="H119" s="30"/>
      <c r="I119" s="30"/>
      <c r="J119" s="31"/>
      <c r="K119" s="29"/>
      <c r="L119" s="31"/>
      <c r="M119" s="29"/>
      <c r="N119" s="32" t="str">
        <f t="shared" si="5"/>
        <v/>
      </c>
      <c r="O119" s="32" t="str">
        <f>IF(OR(C119="",F119=""),"",COUNTIFS(F$6:F119,F119,C$6:C119,"&lt;&gt;"))</f>
        <v/>
      </c>
      <c r="P119" s="33" t="str">
        <f>IF($O119="","",IFERROR(CHOOSE(MATCH($F119,الإعدادات!$B$4:$B$7,0),INDEX('حضور سوريال'!$C$7:$C$36,$O119),INDEX('حضور غبريال'!$C$7:$C$36,$O119),INDEX('حضور رفائيل'!$C$7:$C$36,$O119),INDEX('حضور ميخائيل'!$C$7:$C$36,$O119)),""))</f>
        <v/>
      </c>
      <c r="Q119" s="33" t="str">
        <f>IF($O119="","",IFERROR(CHOOSE(MATCH($F119,الإعدادات!$B$4:$B$7,0),INDEX('حضور سوريال'!$D$7:$D$36,$O119),INDEX('حضور غبريال'!$D$7:$D$36,$O119),INDEX('حضور رفائيل'!$D$7:$D$36,$O119),INDEX('حضور ميخائيل'!$D$7:$D$36,$O119)),""))</f>
        <v/>
      </c>
      <c r="R119" s="34" t="str">
        <f>IF($O119="","",IFERROR(CHOOSE(MATCH($F119,الإعدادات!$B$4:$B$7,0),INDEX('حضور سوريال'!$F$7:$F$36,$O119),INDEX('حضور غبريال'!$F$7:$F$36,$O119),INDEX('حضور رفائيل'!$F$7:$F$36,$O119),INDEX('حضور ميخائيل'!$F$7:$F$36,$O119)),""))</f>
        <v/>
      </c>
      <c r="S119" s="33" t="str">
        <f>IF($O119="","",IFERROR(CHOOSE(MATCH($F119,الإعدادات!$B$4:$B$7,0),INDEX('حضور سوريال'!$G$7:$G$36,$O119),INDEX('حضور غبريال'!$G$7:$G$36,$O119),INDEX('حضور رفائيل'!$G$7:$G$36,$O119),INDEX('حضور ميخائيل'!$G$7:$G$36,$O119)),""))</f>
        <v/>
      </c>
      <c r="T119" s="35" t="str">
        <f>IF($O119="","",IFERROR(CHOOSE(MATCH($F119,الإعدادات!$B$4:$B$7,0),INDEX('حضور سوريال'!$H$7:$H$36,$O119),INDEX('حضور غبريال'!$H$7:$H$36,$O119),INDEX('حضور رفائيل'!$H$7:$H$36,$O119),INDEX('حضور ميخائيل'!$H$7:$H$36,$O119)),""))</f>
        <v/>
      </c>
      <c r="U119" s="36" t="str">
        <f>IF($O119="","",IFERROR(CHOOSE(MATCH($F119,الإعدادات!$B$4:$B$7,0),INDEX('حضور سوريال'!$I$7:$I$36,$O119),INDEX('حضور غبريال'!$I$7:$I$36,$O119),INDEX('حضور رفائيل'!$I$7:$I$36,$O119),INDEX('حضور ميخائيل'!$I$7:$I$36,$O119)),""))</f>
        <v/>
      </c>
      <c r="V119" t="str">
        <f>IF($O119="","",IFERROR(CHOOSE(MATCH($F119,الإعدادات!$B$4:$B$7,0),INDEX('حضور سوريال'!$BM$7:$BM$36,$O119),INDEX('حضور غبريال'!$BM$7:$BM$36,$O119),INDEX('حضور رفائيل'!$BM$7:$BM$36,$O119),INDEX('حضور ميخائيل'!$BM$7:$BM$36,$O119)),""))</f>
        <v/>
      </c>
      <c r="W119" t="str">
        <f>IF(OR(V119=3,V119=4),COUNTIFS(V$6:V119,3)+COUNTIFS(V$6:V119,4),"")</f>
        <v/>
      </c>
    </row>
    <row r="120" spans="1:23" ht="25.5" customHeight="1">
      <c r="A120" s="26" t="str">
        <f t="shared" si="3"/>
        <v/>
      </c>
      <c r="B120" s="27" t="str">
        <f t="shared" si="4"/>
        <v/>
      </c>
      <c r="C120" s="28"/>
      <c r="D120" s="29"/>
      <c r="E120" s="29"/>
      <c r="F120" s="29"/>
      <c r="G120" s="29"/>
      <c r="H120" s="30"/>
      <c r="I120" s="30"/>
      <c r="J120" s="31"/>
      <c r="K120" s="29"/>
      <c r="L120" s="31"/>
      <c r="M120" s="29"/>
      <c r="N120" s="32" t="str">
        <f t="shared" si="5"/>
        <v/>
      </c>
      <c r="O120" s="32" t="str">
        <f>IF(OR(C120="",F120=""),"",COUNTIFS(F$6:F120,F120,C$6:C120,"&lt;&gt;"))</f>
        <v/>
      </c>
      <c r="P120" s="33" t="str">
        <f>IF($O120="","",IFERROR(CHOOSE(MATCH($F120,الإعدادات!$B$4:$B$7,0),INDEX('حضور سوريال'!$C$7:$C$36,$O120),INDEX('حضور غبريال'!$C$7:$C$36,$O120),INDEX('حضور رفائيل'!$C$7:$C$36,$O120),INDEX('حضور ميخائيل'!$C$7:$C$36,$O120)),""))</f>
        <v/>
      </c>
      <c r="Q120" s="33" t="str">
        <f>IF($O120="","",IFERROR(CHOOSE(MATCH($F120,الإعدادات!$B$4:$B$7,0),INDEX('حضور سوريال'!$D$7:$D$36,$O120),INDEX('حضور غبريال'!$D$7:$D$36,$O120),INDEX('حضور رفائيل'!$D$7:$D$36,$O120),INDEX('حضور ميخائيل'!$D$7:$D$36,$O120)),""))</f>
        <v/>
      </c>
      <c r="R120" s="34" t="str">
        <f>IF($O120="","",IFERROR(CHOOSE(MATCH($F120,الإعدادات!$B$4:$B$7,0),INDEX('حضور سوريال'!$F$7:$F$36,$O120),INDEX('حضور غبريال'!$F$7:$F$36,$O120),INDEX('حضور رفائيل'!$F$7:$F$36,$O120),INDEX('حضور ميخائيل'!$F$7:$F$36,$O120)),""))</f>
        <v/>
      </c>
      <c r="S120" s="33" t="str">
        <f>IF($O120="","",IFERROR(CHOOSE(MATCH($F120,الإعدادات!$B$4:$B$7,0),INDEX('حضور سوريال'!$G$7:$G$36,$O120),INDEX('حضور غبريال'!$G$7:$G$36,$O120),INDEX('حضور رفائيل'!$G$7:$G$36,$O120),INDEX('حضور ميخائيل'!$G$7:$G$36,$O120)),""))</f>
        <v/>
      </c>
      <c r="T120" s="35" t="str">
        <f>IF($O120="","",IFERROR(CHOOSE(MATCH($F120,الإعدادات!$B$4:$B$7,0),INDEX('حضور سوريال'!$H$7:$H$36,$O120),INDEX('حضور غبريال'!$H$7:$H$36,$O120),INDEX('حضور رفائيل'!$H$7:$H$36,$O120),INDEX('حضور ميخائيل'!$H$7:$H$36,$O120)),""))</f>
        <v/>
      </c>
      <c r="U120" s="36" t="str">
        <f>IF($O120="","",IFERROR(CHOOSE(MATCH($F120,الإعدادات!$B$4:$B$7,0),INDEX('حضور سوريال'!$I$7:$I$36,$O120),INDEX('حضور غبريال'!$I$7:$I$36,$O120),INDEX('حضور رفائيل'!$I$7:$I$36,$O120),INDEX('حضور ميخائيل'!$I$7:$I$36,$O120)),""))</f>
        <v/>
      </c>
      <c r="V120" t="str">
        <f>IF($O120="","",IFERROR(CHOOSE(MATCH($F120,الإعدادات!$B$4:$B$7,0),INDEX('حضور سوريال'!$BM$7:$BM$36,$O120),INDEX('حضور غبريال'!$BM$7:$BM$36,$O120),INDEX('حضور رفائيل'!$BM$7:$BM$36,$O120),INDEX('حضور ميخائيل'!$BM$7:$BM$36,$O120)),""))</f>
        <v/>
      </c>
      <c r="W120" t="str">
        <f>IF(OR(V120=3,V120=4),COUNTIFS(V$6:V120,3)+COUNTIFS(V$6:V120,4),"")</f>
        <v/>
      </c>
    </row>
    <row r="121" spans="1:23" ht="25.5" customHeight="1">
      <c r="A121" s="26" t="str">
        <f t="shared" si="3"/>
        <v/>
      </c>
      <c r="B121" s="27" t="str">
        <f t="shared" si="4"/>
        <v/>
      </c>
      <c r="C121" s="28"/>
      <c r="D121" s="29"/>
      <c r="E121" s="29"/>
      <c r="F121" s="29"/>
      <c r="G121" s="29"/>
      <c r="H121" s="30"/>
      <c r="I121" s="30"/>
      <c r="J121" s="31"/>
      <c r="K121" s="29"/>
      <c r="L121" s="31"/>
      <c r="M121" s="29"/>
      <c r="N121" s="32" t="str">
        <f t="shared" si="5"/>
        <v/>
      </c>
      <c r="O121" s="32" t="str">
        <f>IF(OR(C121="",F121=""),"",COUNTIFS(F$6:F121,F121,C$6:C121,"&lt;&gt;"))</f>
        <v/>
      </c>
      <c r="P121" s="33" t="str">
        <f>IF($O121="","",IFERROR(CHOOSE(MATCH($F121,الإعدادات!$B$4:$B$7,0),INDEX('حضور سوريال'!$C$7:$C$36,$O121),INDEX('حضور غبريال'!$C$7:$C$36,$O121),INDEX('حضور رفائيل'!$C$7:$C$36,$O121),INDEX('حضور ميخائيل'!$C$7:$C$36,$O121)),""))</f>
        <v/>
      </c>
      <c r="Q121" s="33" t="str">
        <f>IF($O121="","",IFERROR(CHOOSE(MATCH($F121,الإعدادات!$B$4:$B$7,0),INDEX('حضور سوريال'!$D$7:$D$36,$O121),INDEX('حضور غبريال'!$D$7:$D$36,$O121),INDEX('حضور رفائيل'!$D$7:$D$36,$O121),INDEX('حضور ميخائيل'!$D$7:$D$36,$O121)),""))</f>
        <v/>
      </c>
      <c r="R121" s="34" t="str">
        <f>IF($O121="","",IFERROR(CHOOSE(MATCH($F121,الإعدادات!$B$4:$B$7,0),INDEX('حضور سوريال'!$F$7:$F$36,$O121),INDEX('حضور غبريال'!$F$7:$F$36,$O121),INDEX('حضور رفائيل'!$F$7:$F$36,$O121),INDEX('حضور ميخائيل'!$F$7:$F$36,$O121)),""))</f>
        <v/>
      </c>
      <c r="S121" s="33" t="str">
        <f>IF($O121="","",IFERROR(CHOOSE(MATCH($F121,الإعدادات!$B$4:$B$7,0),INDEX('حضور سوريال'!$G$7:$G$36,$O121),INDEX('حضور غبريال'!$G$7:$G$36,$O121),INDEX('حضور رفائيل'!$G$7:$G$36,$O121),INDEX('حضور ميخائيل'!$G$7:$G$36,$O121)),""))</f>
        <v/>
      </c>
      <c r="T121" s="35" t="str">
        <f>IF($O121="","",IFERROR(CHOOSE(MATCH($F121,الإعدادات!$B$4:$B$7,0),INDEX('حضور سوريال'!$H$7:$H$36,$O121),INDEX('حضور غبريال'!$H$7:$H$36,$O121),INDEX('حضور رفائيل'!$H$7:$H$36,$O121),INDEX('حضور ميخائيل'!$H$7:$H$36,$O121)),""))</f>
        <v/>
      </c>
      <c r="U121" s="36" t="str">
        <f>IF($O121="","",IFERROR(CHOOSE(MATCH($F121,الإعدادات!$B$4:$B$7,0),INDEX('حضور سوريال'!$I$7:$I$36,$O121),INDEX('حضور غبريال'!$I$7:$I$36,$O121),INDEX('حضور رفائيل'!$I$7:$I$36,$O121),INDEX('حضور ميخائيل'!$I$7:$I$36,$O121)),""))</f>
        <v/>
      </c>
      <c r="V121" t="str">
        <f>IF($O121="","",IFERROR(CHOOSE(MATCH($F121,الإعدادات!$B$4:$B$7,0),INDEX('حضور سوريال'!$BM$7:$BM$36,$O121),INDEX('حضور غبريال'!$BM$7:$BM$36,$O121),INDEX('حضور رفائيل'!$BM$7:$BM$36,$O121),INDEX('حضور ميخائيل'!$BM$7:$BM$36,$O121)),""))</f>
        <v/>
      </c>
      <c r="W121" t="str">
        <f>IF(OR(V121=3,V121=4),COUNTIFS(V$6:V121,3)+COUNTIFS(V$6:V121,4),"")</f>
        <v/>
      </c>
    </row>
    <row r="122" spans="1:23" ht="25.5" customHeight="1">
      <c r="A122" s="26" t="str">
        <f t="shared" si="3"/>
        <v/>
      </c>
      <c r="B122" s="27" t="str">
        <f t="shared" si="4"/>
        <v/>
      </c>
      <c r="C122" s="28"/>
      <c r="D122" s="29"/>
      <c r="E122" s="29"/>
      <c r="F122" s="29"/>
      <c r="G122" s="29"/>
      <c r="H122" s="30"/>
      <c r="I122" s="30"/>
      <c r="J122" s="31"/>
      <c r="K122" s="29"/>
      <c r="L122" s="31"/>
      <c r="M122" s="29"/>
      <c r="N122" s="32" t="str">
        <f t="shared" si="5"/>
        <v/>
      </c>
      <c r="O122" s="32" t="str">
        <f>IF(OR(C122="",F122=""),"",COUNTIFS(F$6:F122,F122,C$6:C122,"&lt;&gt;"))</f>
        <v/>
      </c>
      <c r="P122" s="33" t="str">
        <f>IF($O122="","",IFERROR(CHOOSE(MATCH($F122,الإعدادات!$B$4:$B$7,0),INDEX('حضور سوريال'!$C$7:$C$36,$O122),INDEX('حضور غبريال'!$C$7:$C$36,$O122),INDEX('حضور رفائيل'!$C$7:$C$36,$O122),INDEX('حضور ميخائيل'!$C$7:$C$36,$O122)),""))</f>
        <v/>
      </c>
      <c r="Q122" s="33" t="str">
        <f>IF($O122="","",IFERROR(CHOOSE(MATCH($F122,الإعدادات!$B$4:$B$7,0),INDEX('حضور سوريال'!$D$7:$D$36,$O122),INDEX('حضور غبريال'!$D$7:$D$36,$O122),INDEX('حضور رفائيل'!$D$7:$D$36,$O122),INDEX('حضور ميخائيل'!$D$7:$D$36,$O122)),""))</f>
        <v/>
      </c>
      <c r="R122" s="34" t="str">
        <f>IF($O122="","",IFERROR(CHOOSE(MATCH($F122,الإعدادات!$B$4:$B$7,0),INDEX('حضور سوريال'!$F$7:$F$36,$O122),INDEX('حضور غبريال'!$F$7:$F$36,$O122),INDEX('حضور رفائيل'!$F$7:$F$36,$O122),INDEX('حضور ميخائيل'!$F$7:$F$36,$O122)),""))</f>
        <v/>
      </c>
      <c r="S122" s="33" t="str">
        <f>IF($O122="","",IFERROR(CHOOSE(MATCH($F122,الإعدادات!$B$4:$B$7,0),INDEX('حضور سوريال'!$G$7:$G$36,$O122),INDEX('حضور غبريال'!$G$7:$G$36,$O122),INDEX('حضور رفائيل'!$G$7:$G$36,$O122),INDEX('حضور ميخائيل'!$G$7:$G$36,$O122)),""))</f>
        <v/>
      </c>
      <c r="T122" s="35" t="str">
        <f>IF($O122="","",IFERROR(CHOOSE(MATCH($F122,الإعدادات!$B$4:$B$7,0),INDEX('حضور سوريال'!$H$7:$H$36,$O122),INDEX('حضور غبريال'!$H$7:$H$36,$O122),INDEX('حضور رفائيل'!$H$7:$H$36,$O122),INDEX('حضور ميخائيل'!$H$7:$H$36,$O122)),""))</f>
        <v/>
      </c>
      <c r="U122" s="36" t="str">
        <f>IF($O122="","",IFERROR(CHOOSE(MATCH($F122,الإعدادات!$B$4:$B$7,0),INDEX('حضور سوريال'!$I$7:$I$36,$O122),INDEX('حضور غبريال'!$I$7:$I$36,$O122),INDEX('حضور رفائيل'!$I$7:$I$36,$O122),INDEX('حضور ميخائيل'!$I$7:$I$36,$O122)),""))</f>
        <v/>
      </c>
      <c r="V122" t="str">
        <f>IF($O122="","",IFERROR(CHOOSE(MATCH($F122,الإعدادات!$B$4:$B$7,0),INDEX('حضور سوريال'!$BM$7:$BM$36,$O122),INDEX('حضور غبريال'!$BM$7:$BM$36,$O122),INDEX('حضور رفائيل'!$BM$7:$BM$36,$O122),INDEX('حضور ميخائيل'!$BM$7:$BM$36,$O122)),""))</f>
        <v/>
      </c>
      <c r="W122" t="str">
        <f>IF(OR(V122=3,V122=4),COUNTIFS(V$6:V122,3)+COUNTIFS(V$6:V122,4),"")</f>
        <v/>
      </c>
    </row>
    <row r="123" spans="1:23" ht="25.5" customHeight="1">
      <c r="A123" s="26" t="str">
        <f t="shared" si="3"/>
        <v/>
      </c>
      <c r="B123" s="27" t="str">
        <f t="shared" si="4"/>
        <v/>
      </c>
      <c r="C123" s="28"/>
      <c r="D123" s="29"/>
      <c r="E123" s="29"/>
      <c r="F123" s="29"/>
      <c r="G123" s="29"/>
      <c r="H123" s="30"/>
      <c r="I123" s="30"/>
      <c r="J123" s="31"/>
      <c r="K123" s="29"/>
      <c r="L123" s="31"/>
      <c r="M123" s="29"/>
      <c r="N123" s="32" t="str">
        <f t="shared" si="5"/>
        <v/>
      </c>
      <c r="O123" s="32" t="str">
        <f>IF(OR(C123="",F123=""),"",COUNTIFS(F$6:F123,F123,C$6:C123,"&lt;&gt;"))</f>
        <v/>
      </c>
      <c r="P123" s="33" t="str">
        <f>IF($O123="","",IFERROR(CHOOSE(MATCH($F123,الإعدادات!$B$4:$B$7,0),INDEX('حضور سوريال'!$C$7:$C$36,$O123),INDEX('حضور غبريال'!$C$7:$C$36,$O123),INDEX('حضور رفائيل'!$C$7:$C$36,$O123),INDEX('حضور ميخائيل'!$C$7:$C$36,$O123)),""))</f>
        <v/>
      </c>
      <c r="Q123" s="33" t="str">
        <f>IF($O123="","",IFERROR(CHOOSE(MATCH($F123,الإعدادات!$B$4:$B$7,0),INDEX('حضور سوريال'!$D$7:$D$36,$O123),INDEX('حضور غبريال'!$D$7:$D$36,$O123),INDEX('حضور رفائيل'!$D$7:$D$36,$O123),INDEX('حضور ميخائيل'!$D$7:$D$36,$O123)),""))</f>
        <v/>
      </c>
      <c r="R123" s="34" t="str">
        <f>IF($O123="","",IFERROR(CHOOSE(MATCH($F123,الإعدادات!$B$4:$B$7,0),INDEX('حضور سوريال'!$F$7:$F$36,$O123),INDEX('حضور غبريال'!$F$7:$F$36,$O123),INDEX('حضور رفائيل'!$F$7:$F$36,$O123),INDEX('حضور ميخائيل'!$F$7:$F$36,$O123)),""))</f>
        <v/>
      </c>
      <c r="S123" s="33" t="str">
        <f>IF($O123="","",IFERROR(CHOOSE(MATCH($F123,الإعدادات!$B$4:$B$7,0),INDEX('حضور سوريال'!$G$7:$G$36,$O123),INDEX('حضور غبريال'!$G$7:$G$36,$O123),INDEX('حضور رفائيل'!$G$7:$G$36,$O123),INDEX('حضور ميخائيل'!$G$7:$G$36,$O123)),""))</f>
        <v/>
      </c>
      <c r="T123" s="35" t="str">
        <f>IF($O123="","",IFERROR(CHOOSE(MATCH($F123,الإعدادات!$B$4:$B$7,0),INDEX('حضور سوريال'!$H$7:$H$36,$O123),INDEX('حضور غبريال'!$H$7:$H$36,$O123),INDEX('حضور رفائيل'!$H$7:$H$36,$O123),INDEX('حضور ميخائيل'!$H$7:$H$36,$O123)),""))</f>
        <v/>
      </c>
      <c r="U123" s="36" t="str">
        <f>IF($O123="","",IFERROR(CHOOSE(MATCH($F123,الإعدادات!$B$4:$B$7,0),INDEX('حضور سوريال'!$I$7:$I$36,$O123),INDEX('حضور غبريال'!$I$7:$I$36,$O123),INDEX('حضور رفائيل'!$I$7:$I$36,$O123),INDEX('حضور ميخائيل'!$I$7:$I$36,$O123)),""))</f>
        <v/>
      </c>
      <c r="V123" t="str">
        <f>IF($O123="","",IFERROR(CHOOSE(MATCH($F123,الإعدادات!$B$4:$B$7,0),INDEX('حضور سوريال'!$BM$7:$BM$36,$O123),INDEX('حضور غبريال'!$BM$7:$BM$36,$O123),INDEX('حضور رفائيل'!$BM$7:$BM$36,$O123),INDEX('حضور ميخائيل'!$BM$7:$BM$36,$O123)),""))</f>
        <v/>
      </c>
      <c r="W123" t="str">
        <f>IF(OR(V123=3,V123=4),COUNTIFS(V$6:V123,3)+COUNTIFS(V$6:V123,4),"")</f>
        <v/>
      </c>
    </row>
    <row r="124" spans="1:23" ht="25.5" customHeight="1">
      <c r="A124" s="26" t="str">
        <f t="shared" si="3"/>
        <v/>
      </c>
      <c r="B124" s="27" t="str">
        <f t="shared" si="4"/>
        <v/>
      </c>
      <c r="C124" s="28"/>
      <c r="D124" s="29"/>
      <c r="E124" s="29"/>
      <c r="F124" s="29"/>
      <c r="G124" s="29"/>
      <c r="H124" s="30"/>
      <c r="I124" s="30"/>
      <c r="J124" s="31"/>
      <c r="K124" s="29"/>
      <c r="L124" s="31"/>
      <c r="M124" s="29"/>
      <c r="N124" s="32" t="str">
        <f t="shared" si="5"/>
        <v/>
      </c>
      <c r="O124" s="32" t="str">
        <f>IF(OR(C124="",F124=""),"",COUNTIFS(F$6:F124,F124,C$6:C124,"&lt;&gt;"))</f>
        <v/>
      </c>
      <c r="P124" s="33" t="str">
        <f>IF($O124="","",IFERROR(CHOOSE(MATCH($F124,الإعدادات!$B$4:$B$7,0),INDEX('حضور سوريال'!$C$7:$C$36,$O124),INDEX('حضور غبريال'!$C$7:$C$36,$O124),INDEX('حضور رفائيل'!$C$7:$C$36,$O124),INDEX('حضور ميخائيل'!$C$7:$C$36,$O124)),""))</f>
        <v/>
      </c>
      <c r="Q124" s="33" t="str">
        <f>IF($O124="","",IFERROR(CHOOSE(MATCH($F124,الإعدادات!$B$4:$B$7,0),INDEX('حضور سوريال'!$D$7:$D$36,$O124),INDEX('حضور غبريال'!$D$7:$D$36,$O124),INDEX('حضور رفائيل'!$D$7:$D$36,$O124),INDEX('حضور ميخائيل'!$D$7:$D$36,$O124)),""))</f>
        <v/>
      </c>
      <c r="R124" s="34" t="str">
        <f>IF($O124="","",IFERROR(CHOOSE(MATCH($F124,الإعدادات!$B$4:$B$7,0),INDEX('حضور سوريال'!$F$7:$F$36,$O124),INDEX('حضور غبريال'!$F$7:$F$36,$O124),INDEX('حضور رفائيل'!$F$7:$F$36,$O124),INDEX('حضور ميخائيل'!$F$7:$F$36,$O124)),""))</f>
        <v/>
      </c>
      <c r="S124" s="33" t="str">
        <f>IF($O124="","",IFERROR(CHOOSE(MATCH($F124,الإعدادات!$B$4:$B$7,0),INDEX('حضور سوريال'!$G$7:$G$36,$O124),INDEX('حضور غبريال'!$G$7:$G$36,$O124),INDEX('حضور رفائيل'!$G$7:$G$36,$O124),INDEX('حضور ميخائيل'!$G$7:$G$36,$O124)),""))</f>
        <v/>
      </c>
      <c r="T124" s="35" t="str">
        <f>IF($O124="","",IFERROR(CHOOSE(MATCH($F124,الإعدادات!$B$4:$B$7,0),INDEX('حضور سوريال'!$H$7:$H$36,$O124),INDEX('حضور غبريال'!$H$7:$H$36,$O124),INDEX('حضور رفائيل'!$H$7:$H$36,$O124),INDEX('حضور ميخائيل'!$H$7:$H$36,$O124)),""))</f>
        <v/>
      </c>
      <c r="U124" s="36" t="str">
        <f>IF($O124="","",IFERROR(CHOOSE(MATCH($F124,الإعدادات!$B$4:$B$7,0),INDEX('حضور سوريال'!$I$7:$I$36,$O124),INDEX('حضور غبريال'!$I$7:$I$36,$O124),INDEX('حضور رفائيل'!$I$7:$I$36,$O124),INDEX('حضور ميخائيل'!$I$7:$I$36,$O124)),""))</f>
        <v/>
      </c>
      <c r="V124" t="str">
        <f>IF($O124="","",IFERROR(CHOOSE(MATCH($F124,الإعدادات!$B$4:$B$7,0),INDEX('حضور سوريال'!$BM$7:$BM$36,$O124),INDEX('حضور غبريال'!$BM$7:$BM$36,$O124),INDEX('حضور رفائيل'!$BM$7:$BM$36,$O124),INDEX('حضور ميخائيل'!$BM$7:$BM$36,$O124)),""))</f>
        <v/>
      </c>
      <c r="W124" t="str">
        <f>IF(OR(V124=3,V124=4),COUNTIFS(V$6:V124,3)+COUNTIFS(V$6:V124,4),"")</f>
        <v/>
      </c>
    </row>
    <row r="125" spans="1:23" ht="25.5" customHeight="1">
      <c r="A125" s="26" t="str">
        <f t="shared" si="3"/>
        <v/>
      </c>
      <c r="B125" s="27" t="str">
        <f t="shared" si="4"/>
        <v/>
      </c>
      <c r="C125" s="28"/>
      <c r="D125" s="29"/>
      <c r="E125" s="29"/>
      <c r="F125" s="29"/>
      <c r="G125" s="29"/>
      <c r="H125" s="30"/>
      <c r="I125" s="30"/>
      <c r="J125" s="31"/>
      <c r="K125" s="29"/>
      <c r="L125" s="31"/>
      <c r="M125" s="29"/>
      <c r="N125" s="32" t="str">
        <f t="shared" si="5"/>
        <v/>
      </c>
      <c r="O125" s="32" t="str">
        <f>IF(OR(C125="",F125=""),"",COUNTIFS(F$6:F125,F125,C$6:C125,"&lt;&gt;"))</f>
        <v/>
      </c>
      <c r="P125" s="33" t="str">
        <f>IF($O125="","",IFERROR(CHOOSE(MATCH($F125,الإعدادات!$B$4:$B$7,0),INDEX('حضور سوريال'!$C$7:$C$36,$O125),INDEX('حضور غبريال'!$C$7:$C$36,$O125),INDEX('حضور رفائيل'!$C$7:$C$36,$O125),INDEX('حضور ميخائيل'!$C$7:$C$36,$O125)),""))</f>
        <v/>
      </c>
      <c r="Q125" s="33" t="str">
        <f>IF($O125="","",IFERROR(CHOOSE(MATCH($F125,الإعدادات!$B$4:$B$7,0),INDEX('حضور سوريال'!$D$7:$D$36,$O125),INDEX('حضور غبريال'!$D$7:$D$36,$O125),INDEX('حضور رفائيل'!$D$7:$D$36,$O125),INDEX('حضور ميخائيل'!$D$7:$D$36,$O125)),""))</f>
        <v/>
      </c>
      <c r="R125" s="34" t="str">
        <f>IF($O125="","",IFERROR(CHOOSE(MATCH($F125,الإعدادات!$B$4:$B$7,0),INDEX('حضور سوريال'!$F$7:$F$36,$O125),INDEX('حضور غبريال'!$F$7:$F$36,$O125),INDEX('حضور رفائيل'!$F$7:$F$36,$O125),INDEX('حضور ميخائيل'!$F$7:$F$36,$O125)),""))</f>
        <v/>
      </c>
      <c r="S125" s="33" t="str">
        <f>IF($O125="","",IFERROR(CHOOSE(MATCH($F125,الإعدادات!$B$4:$B$7,0),INDEX('حضور سوريال'!$G$7:$G$36,$O125),INDEX('حضور غبريال'!$G$7:$G$36,$O125),INDEX('حضور رفائيل'!$G$7:$G$36,$O125),INDEX('حضور ميخائيل'!$G$7:$G$36,$O125)),""))</f>
        <v/>
      </c>
      <c r="T125" s="35" t="str">
        <f>IF($O125="","",IFERROR(CHOOSE(MATCH($F125,الإعدادات!$B$4:$B$7,0),INDEX('حضور سوريال'!$H$7:$H$36,$O125),INDEX('حضور غبريال'!$H$7:$H$36,$O125),INDEX('حضور رفائيل'!$H$7:$H$36,$O125),INDEX('حضور ميخائيل'!$H$7:$H$36,$O125)),""))</f>
        <v/>
      </c>
      <c r="U125" s="36" t="str">
        <f>IF($O125="","",IFERROR(CHOOSE(MATCH($F125,الإعدادات!$B$4:$B$7,0),INDEX('حضور سوريال'!$I$7:$I$36,$O125),INDEX('حضور غبريال'!$I$7:$I$36,$O125),INDEX('حضور رفائيل'!$I$7:$I$36,$O125),INDEX('حضور ميخائيل'!$I$7:$I$36,$O125)),""))</f>
        <v/>
      </c>
      <c r="V125" t="str">
        <f>IF($O125="","",IFERROR(CHOOSE(MATCH($F125,الإعدادات!$B$4:$B$7,0),INDEX('حضور سوريال'!$BM$7:$BM$36,$O125),INDEX('حضور غبريال'!$BM$7:$BM$36,$O125),INDEX('حضور رفائيل'!$BM$7:$BM$36,$O125),INDEX('حضور ميخائيل'!$BM$7:$BM$36,$O125)),""))</f>
        <v/>
      </c>
      <c r="W125" t="str">
        <f>IF(OR(V125=3,V125=4),COUNTIFS(V$6:V125,3)+COUNTIFS(V$6:V125,4),"")</f>
        <v/>
      </c>
    </row>
    <row r="126" spans="1:23" ht="25.5" customHeight="1">
      <c r="A126" s="26" t="str">
        <f t="shared" si="3"/>
        <v/>
      </c>
      <c r="B126" s="27" t="str">
        <f t="shared" si="4"/>
        <v/>
      </c>
      <c r="C126" s="28"/>
      <c r="D126" s="29"/>
      <c r="E126" s="29"/>
      <c r="F126" s="29"/>
      <c r="G126" s="29"/>
      <c r="H126" s="30"/>
      <c r="I126" s="30"/>
      <c r="J126" s="31"/>
      <c r="K126" s="29"/>
      <c r="L126" s="31"/>
      <c r="M126" s="29"/>
      <c r="N126" s="32" t="str">
        <f t="shared" si="5"/>
        <v/>
      </c>
      <c r="O126" s="32" t="str">
        <f>IF(OR(C126="",F126=""),"",COUNTIFS(F$6:F126,F126,C$6:C126,"&lt;&gt;"))</f>
        <v/>
      </c>
      <c r="P126" s="33" t="str">
        <f>IF($O126="","",IFERROR(CHOOSE(MATCH($F126,الإعدادات!$B$4:$B$7,0),INDEX('حضور سوريال'!$C$7:$C$36,$O126),INDEX('حضور غبريال'!$C$7:$C$36,$O126),INDEX('حضور رفائيل'!$C$7:$C$36,$O126),INDEX('حضور ميخائيل'!$C$7:$C$36,$O126)),""))</f>
        <v/>
      </c>
      <c r="Q126" s="33" t="str">
        <f>IF($O126="","",IFERROR(CHOOSE(MATCH($F126,الإعدادات!$B$4:$B$7,0),INDEX('حضور سوريال'!$D$7:$D$36,$O126),INDEX('حضور غبريال'!$D$7:$D$36,$O126),INDEX('حضور رفائيل'!$D$7:$D$36,$O126),INDEX('حضور ميخائيل'!$D$7:$D$36,$O126)),""))</f>
        <v/>
      </c>
      <c r="R126" s="34" t="str">
        <f>IF($O126="","",IFERROR(CHOOSE(MATCH($F126,الإعدادات!$B$4:$B$7,0),INDEX('حضور سوريال'!$F$7:$F$36,$O126),INDEX('حضور غبريال'!$F$7:$F$36,$O126),INDEX('حضور رفائيل'!$F$7:$F$36,$O126),INDEX('حضور ميخائيل'!$F$7:$F$36,$O126)),""))</f>
        <v/>
      </c>
      <c r="S126" s="33" t="str">
        <f>IF($O126="","",IFERROR(CHOOSE(MATCH($F126,الإعدادات!$B$4:$B$7,0),INDEX('حضور سوريال'!$G$7:$G$36,$O126),INDEX('حضور غبريال'!$G$7:$G$36,$O126),INDEX('حضور رفائيل'!$G$7:$G$36,$O126),INDEX('حضور ميخائيل'!$G$7:$G$36,$O126)),""))</f>
        <v/>
      </c>
      <c r="T126" s="35" t="str">
        <f>IF($O126="","",IFERROR(CHOOSE(MATCH($F126,الإعدادات!$B$4:$B$7,0),INDEX('حضور سوريال'!$H$7:$H$36,$O126),INDEX('حضور غبريال'!$H$7:$H$36,$O126),INDEX('حضور رفائيل'!$H$7:$H$36,$O126),INDEX('حضور ميخائيل'!$H$7:$H$36,$O126)),""))</f>
        <v/>
      </c>
      <c r="U126" s="36" t="str">
        <f>IF($O126="","",IFERROR(CHOOSE(MATCH($F126,الإعدادات!$B$4:$B$7,0),INDEX('حضور سوريال'!$I$7:$I$36,$O126),INDEX('حضور غبريال'!$I$7:$I$36,$O126),INDEX('حضور رفائيل'!$I$7:$I$36,$O126),INDEX('حضور ميخائيل'!$I$7:$I$36,$O126)),""))</f>
        <v/>
      </c>
      <c r="V126" t="str">
        <f>IF($O126="","",IFERROR(CHOOSE(MATCH($F126,الإعدادات!$B$4:$B$7,0),INDEX('حضور سوريال'!$BM$7:$BM$36,$O126),INDEX('حضور غبريال'!$BM$7:$BM$36,$O126),INDEX('حضور رفائيل'!$BM$7:$BM$36,$O126),INDEX('حضور ميخائيل'!$BM$7:$BM$36,$O126)),""))</f>
        <v/>
      </c>
      <c r="W126" t="str">
        <f>IF(OR(V126=3,V126=4),COUNTIFS(V$6:V126,3)+COUNTIFS(V$6:V126,4),"")</f>
        <v/>
      </c>
    </row>
    <row r="127" spans="1:23" ht="25.5" customHeight="1">
      <c r="A127" s="26" t="str">
        <f t="shared" si="3"/>
        <v/>
      </c>
      <c r="B127" s="27" t="str">
        <f t="shared" si="4"/>
        <v/>
      </c>
      <c r="C127" s="28"/>
      <c r="D127" s="29"/>
      <c r="E127" s="29"/>
      <c r="F127" s="29"/>
      <c r="G127" s="29"/>
      <c r="H127" s="30"/>
      <c r="I127" s="30"/>
      <c r="J127" s="31"/>
      <c r="K127" s="29"/>
      <c r="L127" s="31"/>
      <c r="M127" s="29"/>
      <c r="N127" s="32" t="str">
        <f t="shared" si="5"/>
        <v/>
      </c>
      <c r="O127" s="32" t="str">
        <f>IF(OR(C127="",F127=""),"",COUNTIFS(F$6:F127,F127,C$6:C127,"&lt;&gt;"))</f>
        <v/>
      </c>
      <c r="P127" s="33" t="str">
        <f>IF($O127="","",IFERROR(CHOOSE(MATCH($F127,الإعدادات!$B$4:$B$7,0),INDEX('حضور سوريال'!$C$7:$C$36,$O127),INDEX('حضور غبريال'!$C$7:$C$36,$O127),INDEX('حضور رفائيل'!$C$7:$C$36,$O127),INDEX('حضور ميخائيل'!$C$7:$C$36,$O127)),""))</f>
        <v/>
      </c>
      <c r="Q127" s="33" t="str">
        <f>IF($O127="","",IFERROR(CHOOSE(MATCH($F127,الإعدادات!$B$4:$B$7,0),INDEX('حضور سوريال'!$D$7:$D$36,$O127),INDEX('حضور غبريال'!$D$7:$D$36,$O127),INDEX('حضور رفائيل'!$D$7:$D$36,$O127),INDEX('حضور ميخائيل'!$D$7:$D$36,$O127)),""))</f>
        <v/>
      </c>
      <c r="R127" s="34" t="str">
        <f>IF($O127="","",IFERROR(CHOOSE(MATCH($F127,الإعدادات!$B$4:$B$7,0),INDEX('حضور سوريال'!$F$7:$F$36,$O127),INDEX('حضور غبريال'!$F$7:$F$36,$O127),INDEX('حضور رفائيل'!$F$7:$F$36,$O127),INDEX('حضور ميخائيل'!$F$7:$F$36,$O127)),""))</f>
        <v/>
      </c>
      <c r="S127" s="33" t="str">
        <f>IF($O127="","",IFERROR(CHOOSE(MATCH($F127,الإعدادات!$B$4:$B$7,0),INDEX('حضور سوريال'!$G$7:$G$36,$O127),INDEX('حضور غبريال'!$G$7:$G$36,$O127),INDEX('حضور رفائيل'!$G$7:$G$36,$O127),INDEX('حضور ميخائيل'!$G$7:$G$36,$O127)),""))</f>
        <v/>
      </c>
      <c r="T127" s="35" t="str">
        <f>IF($O127="","",IFERROR(CHOOSE(MATCH($F127,الإعدادات!$B$4:$B$7,0),INDEX('حضور سوريال'!$H$7:$H$36,$O127),INDEX('حضور غبريال'!$H$7:$H$36,$O127),INDEX('حضور رفائيل'!$H$7:$H$36,$O127),INDEX('حضور ميخائيل'!$H$7:$H$36,$O127)),""))</f>
        <v/>
      </c>
      <c r="U127" s="36" t="str">
        <f>IF($O127="","",IFERROR(CHOOSE(MATCH($F127,الإعدادات!$B$4:$B$7,0),INDEX('حضور سوريال'!$I$7:$I$36,$O127),INDEX('حضور غبريال'!$I$7:$I$36,$O127),INDEX('حضور رفائيل'!$I$7:$I$36,$O127),INDEX('حضور ميخائيل'!$I$7:$I$36,$O127)),""))</f>
        <v/>
      </c>
      <c r="V127" t="str">
        <f>IF($O127="","",IFERROR(CHOOSE(MATCH($F127,الإعدادات!$B$4:$B$7,0),INDEX('حضور سوريال'!$BM$7:$BM$36,$O127),INDEX('حضور غبريال'!$BM$7:$BM$36,$O127),INDEX('حضور رفائيل'!$BM$7:$BM$36,$O127),INDEX('حضور ميخائيل'!$BM$7:$BM$36,$O127)),""))</f>
        <v/>
      </c>
      <c r="W127" t="str">
        <f>IF(OR(V127=3,V127=4),COUNTIFS(V$6:V127,3)+COUNTIFS(V$6:V127,4),"")</f>
        <v/>
      </c>
    </row>
    <row r="128" spans="1:23" ht="25.5" customHeight="1">
      <c r="A128" s="26" t="str">
        <f t="shared" si="3"/>
        <v/>
      </c>
      <c r="B128" s="27" t="str">
        <f t="shared" si="4"/>
        <v/>
      </c>
      <c r="C128" s="28"/>
      <c r="D128" s="29"/>
      <c r="E128" s="29"/>
      <c r="F128" s="29"/>
      <c r="G128" s="29"/>
      <c r="H128" s="30"/>
      <c r="I128" s="30"/>
      <c r="J128" s="31"/>
      <c r="K128" s="29"/>
      <c r="L128" s="31"/>
      <c r="M128" s="29"/>
      <c r="N128" s="32" t="str">
        <f t="shared" si="5"/>
        <v/>
      </c>
      <c r="O128" s="32" t="str">
        <f>IF(OR(C128="",F128=""),"",COUNTIFS(F$6:F128,F128,C$6:C128,"&lt;&gt;"))</f>
        <v/>
      </c>
      <c r="P128" s="33" t="str">
        <f>IF($O128="","",IFERROR(CHOOSE(MATCH($F128,الإعدادات!$B$4:$B$7,0),INDEX('حضور سوريال'!$C$7:$C$36,$O128),INDEX('حضور غبريال'!$C$7:$C$36,$O128),INDEX('حضور رفائيل'!$C$7:$C$36,$O128),INDEX('حضور ميخائيل'!$C$7:$C$36,$O128)),""))</f>
        <v/>
      </c>
      <c r="Q128" s="33" t="str">
        <f>IF($O128="","",IFERROR(CHOOSE(MATCH($F128,الإعدادات!$B$4:$B$7,0),INDEX('حضور سوريال'!$D$7:$D$36,$O128),INDEX('حضور غبريال'!$D$7:$D$36,$O128),INDEX('حضور رفائيل'!$D$7:$D$36,$O128),INDEX('حضور ميخائيل'!$D$7:$D$36,$O128)),""))</f>
        <v/>
      </c>
      <c r="R128" s="34" t="str">
        <f>IF($O128="","",IFERROR(CHOOSE(MATCH($F128,الإعدادات!$B$4:$B$7,0),INDEX('حضور سوريال'!$F$7:$F$36,$O128),INDEX('حضور غبريال'!$F$7:$F$36,$O128),INDEX('حضور رفائيل'!$F$7:$F$36,$O128),INDEX('حضور ميخائيل'!$F$7:$F$36,$O128)),""))</f>
        <v/>
      </c>
      <c r="S128" s="33" t="str">
        <f>IF($O128="","",IFERROR(CHOOSE(MATCH($F128,الإعدادات!$B$4:$B$7,0),INDEX('حضور سوريال'!$G$7:$G$36,$O128),INDEX('حضور غبريال'!$G$7:$G$36,$O128),INDEX('حضور رفائيل'!$G$7:$G$36,$O128),INDEX('حضور ميخائيل'!$G$7:$G$36,$O128)),""))</f>
        <v/>
      </c>
      <c r="T128" s="35" t="str">
        <f>IF($O128="","",IFERROR(CHOOSE(MATCH($F128,الإعدادات!$B$4:$B$7,0),INDEX('حضور سوريال'!$H$7:$H$36,$O128),INDEX('حضور غبريال'!$H$7:$H$36,$O128),INDEX('حضور رفائيل'!$H$7:$H$36,$O128),INDEX('حضور ميخائيل'!$H$7:$H$36,$O128)),""))</f>
        <v/>
      </c>
      <c r="U128" s="36" t="str">
        <f>IF($O128="","",IFERROR(CHOOSE(MATCH($F128,الإعدادات!$B$4:$B$7,0),INDEX('حضور سوريال'!$I$7:$I$36,$O128),INDEX('حضور غبريال'!$I$7:$I$36,$O128),INDEX('حضور رفائيل'!$I$7:$I$36,$O128),INDEX('حضور ميخائيل'!$I$7:$I$36,$O128)),""))</f>
        <v/>
      </c>
      <c r="V128" t="str">
        <f>IF($O128="","",IFERROR(CHOOSE(MATCH($F128,الإعدادات!$B$4:$B$7,0),INDEX('حضور سوريال'!$BM$7:$BM$36,$O128),INDEX('حضور غبريال'!$BM$7:$BM$36,$O128),INDEX('حضور رفائيل'!$BM$7:$BM$36,$O128),INDEX('حضور ميخائيل'!$BM$7:$BM$36,$O128)),""))</f>
        <v/>
      </c>
      <c r="W128" t="str">
        <f>IF(OR(V128=3,V128=4),COUNTIFS(V$6:V128,3)+COUNTIFS(V$6:V128,4),"")</f>
        <v/>
      </c>
    </row>
    <row r="129" spans="1:23" ht="25.5" customHeight="1">
      <c r="A129" s="26" t="str">
        <f t="shared" si="3"/>
        <v/>
      </c>
      <c r="B129" s="27" t="str">
        <f t="shared" si="4"/>
        <v/>
      </c>
      <c r="C129" s="28"/>
      <c r="D129" s="29"/>
      <c r="E129" s="29"/>
      <c r="F129" s="29"/>
      <c r="G129" s="29"/>
      <c r="H129" s="30"/>
      <c r="I129" s="30"/>
      <c r="J129" s="31"/>
      <c r="K129" s="29"/>
      <c r="L129" s="31"/>
      <c r="M129" s="29"/>
      <c r="N129" s="32" t="str">
        <f t="shared" si="5"/>
        <v/>
      </c>
      <c r="O129" s="32" t="str">
        <f>IF(OR(C129="",F129=""),"",COUNTIFS(F$6:F129,F129,C$6:C129,"&lt;&gt;"))</f>
        <v/>
      </c>
      <c r="P129" s="33" t="str">
        <f>IF($O129="","",IFERROR(CHOOSE(MATCH($F129,الإعدادات!$B$4:$B$7,0),INDEX('حضور سوريال'!$C$7:$C$36,$O129),INDEX('حضور غبريال'!$C$7:$C$36,$O129),INDEX('حضور رفائيل'!$C$7:$C$36,$O129),INDEX('حضور ميخائيل'!$C$7:$C$36,$O129)),""))</f>
        <v/>
      </c>
      <c r="Q129" s="33" t="str">
        <f>IF($O129="","",IFERROR(CHOOSE(MATCH($F129,الإعدادات!$B$4:$B$7,0),INDEX('حضور سوريال'!$D$7:$D$36,$O129),INDEX('حضور غبريال'!$D$7:$D$36,$O129),INDEX('حضور رفائيل'!$D$7:$D$36,$O129),INDEX('حضور ميخائيل'!$D$7:$D$36,$O129)),""))</f>
        <v/>
      </c>
      <c r="R129" s="34" t="str">
        <f>IF($O129="","",IFERROR(CHOOSE(MATCH($F129,الإعدادات!$B$4:$B$7,0),INDEX('حضور سوريال'!$F$7:$F$36,$O129),INDEX('حضور غبريال'!$F$7:$F$36,$O129),INDEX('حضور رفائيل'!$F$7:$F$36,$O129),INDEX('حضور ميخائيل'!$F$7:$F$36,$O129)),""))</f>
        <v/>
      </c>
      <c r="S129" s="33" t="str">
        <f>IF($O129="","",IFERROR(CHOOSE(MATCH($F129,الإعدادات!$B$4:$B$7,0),INDEX('حضور سوريال'!$G$7:$G$36,$O129),INDEX('حضور غبريال'!$G$7:$G$36,$O129),INDEX('حضور رفائيل'!$G$7:$G$36,$O129),INDEX('حضور ميخائيل'!$G$7:$G$36,$O129)),""))</f>
        <v/>
      </c>
      <c r="T129" s="35" t="str">
        <f>IF($O129="","",IFERROR(CHOOSE(MATCH($F129,الإعدادات!$B$4:$B$7,0),INDEX('حضور سوريال'!$H$7:$H$36,$O129),INDEX('حضور غبريال'!$H$7:$H$36,$O129),INDEX('حضور رفائيل'!$H$7:$H$36,$O129),INDEX('حضور ميخائيل'!$H$7:$H$36,$O129)),""))</f>
        <v/>
      </c>
      <c r="U129" s="36" t="str">
        <f>IF($O129="","",IFERROR(CHOOSE(MATCH($F129,الإعدادات!$B$4:$B$7,0),INDEX('حضور سوريال'!$I$7:$I$36,$O129),INDEX('حضور غبريال'!$I$7:$I$36,$O129),INDEX('حضور رفائيل'!$I$7:$I$36,$O129),INDEX('حضور ميخائيل'!$I$7:$I$36,$O129)),""))</f>
        <v/>
      </c>
      <c r="V129" t="str">
        <f>IF($O129="","",IFERROR(CHOOSE(MATCH($F129,الإعدادات!$B$4:$B$7,0),INDEX('حضور سوريال'!$BM$7:$BM$36,$O129),INDEX('حضور غبريال'!$BM$7:$BM$36,$O129),INDEX('حضور رفائيل'!$BM$7:$BM$36,$O129),INDEX('حضور ميخائيل'!$BM$7:$BM$36,$O129)),""))</f>
        <v/>
      </c>
      <c r="W129" t="str">
        <f>IF(OR(V129=3,V129=4),COUNTIFS(V$6:V129,3)+COUNTIFS(V$6:V129,4),"")</f>
        <v/>
      </c>
    </row>
    <row r="130" spans="1:23" ht="25.5" customHeight="1">
      <c r="A130" s="26" t="str">
        <f t="shared" si="3"/>
        <v/>
      </c>
      <c r="B130" s="27" t="str">
        <f t="shared" si="4"/>
        <v/>
      </c>
      <c r="C130" s="28"/>
      <c r="D130" s="29"/>
      <c r="E130" s="29"/>
      <c r="F130" s="29"/>
      <c r="G130" s="29"/>
      <c r="H130" s="30"/>
      <c r="I130" s="30"/>
      <c r="J130" s="31"/>
      <c r="K130" s="29"/>
      <c r="L130" s="31"/>
      <c r="M130" s="29"/>
      <c r="N130" s="32" t="str">
        <f t="shared" si="5"/>
        <v/>
      </c>
      <c r="O130" s="32" t="str">
        <f>IF(OR(C130="",F130=""),"",COUNTIFS(F$6:F130,F130,C$6:C130,"&lt;&gt;"))</f>
        <v/>
      </c>
      <c r="P130" s="33" t="str">
        <f>IF($O130="","",IFERROR(CHOOSE(MATCH($F130,الإعدادات!$B$4:$B$7,0),INDEX('حضور سوريال'!$C$7:$C$36,$O130),INDEX('حضور غبريال'!$C$7:$C$36,$O130),INDEX('حضور رفائيل'!$C$7:$C$36,$O130),INDEX('حضور ميخائيل'!$C$7:$C$36,$O130)),""))</f>
        <v/>
      </c>
      <c r="Q130" s="33" t="str">
        <f>IF($O130="","",IFERROR(CHOOSE(MATCH($F130,الإعدادات!$B$4:$B$7,0),INDEX('حضور سوريال'!$D$7:$D$36,$O130),INDEX('حضور غبريال'!$D$7:$D$36,$O130),INDEX('حضور رفائيل'!$D$7:$D$36,$O130),INDEX('حضور ميخائيل'!$D$7:$D$36,$O130)),""))</f>
        <v/>
      </c>
      <c r="R130" s="34" t="str">
        <f>IF($O130="","",IFERROR(CHOOSE(MATCH($F130,الإعدادات!$B$4:$B$7,0),INDEX('حضور سوريال'!$F$7:$F$36,$O130),INDEX('حضور غبريال'!$F$7:$F$36,$O130),INDEX('حضور رفائيل'!$F$7:$F$36,$O130),INDEX('حضور ميخائيل'!$F$7:$F$36,$O130)),""))</f>
        <v/>
      </c>
      <c r="S130" s="33" t="str">
        <f>IF($O130="","",IFERROR(CHOOSE(MATCH($F130,الإعدادات!$B$4:$B$7,0),INDEX('حضور سوريال'!$G$7:$G$36,$O130),INDEX('حضور غبريال'!$G$7:$G$36,$O130),INDEX('حضور رفائيل'!$G$7:$G$36,$O130),INDEX('حضور ميخائيل'!$G$7:$G$36,$O130)),""))</f>
        <v/>
      </c>
      <c r="T130" s="35" t="str">
        <f>IF($O130="","",IFERROR(CHOOSE(MATCH($F130,الإعدادات!$B$4:$B$7,0),INDEX('حضور سوريال'!$H$7:$H$36,$O130),INDEX('حضور غبريال'!$H$7:$H$36,$O130),INDEX('حضور رفائيل'!$H$7:$H$36,$O130),INDEX('حضور ميخائيل'!$H$7:$H$36,$O130)),""))</f>
        <v/>
      </c>
      <c r="U130" s="36" t="str">
        <f>IF($O130="","",IFERROR(CHOOSE(MATCH($F130,الإعدادات!$B$4:$B$7,0),INDEX('حضور سوريال'!$I$7:$I$36,$O130),INDEX('حضور غبريال'!$I$7:$I$36,$O130),INDEX('حضور رفائيل'!$I$7:$I$36,$O130),INDEX('حضور ميخائيل'!$I$7:$I$36,$O130)),""))</f>
        <v/>
      </c>
      <c r="V130" t="str">
        <f>IF($O130="","",IFERROR(CHOOSE(MATCH($F130,الإعدادات!$B$4:$B$7,0),INDEX('حضور سوريال'!$BM$7:$BM$36,$O130),INDEX('حضور غبريال'!$BM$7:$BM$36,$O130),INDEX('حضور رفائيل'!$BM$7:$BM$36,$O130),INDEX('حضور ميخائيل'!$BM$7:$BM$36,$O130)),""))</f>
        <v/>
      </c>
      <c r="W130" t="str">
        <f>IF(OR(V130=3,V130=4),COUNTIFS(V$6:V130,3)+COUNTIFS(V$6:V130,4),"")</f>
        <v/>
      </c>
    </row>
    <row r="131" spans="1:23" ht="25.5" customHeight="1">
      <c r="A131" s="26" t="str">
        <f t="shared" si="3"/>
        <v/>
      </c>
      <c r="B131" s="27" t="str">
        <f t="shared" si="4"/>
        <v/>
      </c>
      <c r="C131" s="28"/>
      <c r="D131" s="29"/>
      <c r="E131" s="29"/>
      <c r="F131" s="29"/>
      <c r="G131" s="29"/>
      <c r="H131" s="30"/>
      <c r="I131" s="30"/>
      <c r="J131" s="31"/>
      <c r="K131" s="29"/>
      <c r="L131" s="31"/>
      <c r="M131" s="29"/>
      <c r="N131" s="32" t="str">
        <f t="shared" si="5"/>
        <v/>
      </c>
      <c r="O131" s="32" t="str">
        <f>IF(OR(C131="",F131=""),"",COUNTIFS(F$6:F131,F131,C$6:C131,"&lt;&gt;"))</f>
        <v/>
      </c>
      <c r="P131" s="33" t="str">
        <f>IF($O131="","",IFERROR(CHOOSE(MATCH($F131,الإعدادات!$B$4:$B$7,0),INDEX('حضور سوريال'!$C$7:$C$36,$O131),INDEX('حضور غبريال'!$C$7:$C$36,$O131),INDEX('حضور رفائيل'!$C$7:$C$36,$O131),INDEX('حضور ميخائيل'!$C$7:$C$36,$O131)),""))</f>
        <v/>
      </c>
      <c r="Q131" s="33" t="str">
        <f>IF($O131="","",IFERROR(CHOOSE(MATCH($F131,الإعدادات!$B$4:$B$7,0),INDEX('حضور سوريال'!$D$7:$D$36,$O131),INDEX('حضور غبريال'!$D$7:$D$36,$O131),INDEX('حضور رفائيل'!$D$7:$D$36,$O131),INDEX('حضور ميخائيل'!$D$7:$D$36,$O131)),""))</f>
        <v/>
      </c>
      <c r="R131" s="34" t="str">
        <f>IF($O131="","",IFERROR(CHOOSE(MATCH($F131,الإعدادات!$B$4:$B$7,0),INDEX('حضور سوريال'!$F$7:$F$36,$O131),INDEX('حضور غبريال'!$F$7:$F$36,$O131),INDEX('حضور رفائيل'!$F$7:$F$36,$O131),INDEX('حضور ميخائيل'!$F$7:$F$36,$O131)),""))</f>
        <v/>
      </c>
      <c r="S131" s="33" t="str">
        <f>IF($O131="","",IFERROR(CHOOSE(MATCH($F131,الإعدادات!$B$4:$B$7,0),INDEX('حضور سوريال'!$G$7:$G$36,$O131),INDEX('حضور غبريال'!$G$7:$G$36,$O131),INDEX('حضور رفائيل'!$G$7:$G$36,$O131),INDEX('حضور ميخائيل'!$G$7:$G$36,$O131)),""))</f>
        <v/>
      </c>
      <c r="T131" s="35" t="str">
        <f>IF($O131="","",IFERROR(CHOOSE(MATCH($F131,الإعدادات!$B$4:$B$7,0),INDEX('حضور سوريال'!$H$7:$H$36,$O131),INDEX('حضور غبريال'!$H$7:$H$36,$O131),INDEX('حضور رفائيل'!$H$7:$H$36,$O131),INDEX('حضور ميخائيل'!$H$7:$H$36,$O131)),""))</f>
        <v/>
      </c>
      <c r="U131" s="36" t="str">
        <f>IF($O131="","",IFERROR(CHOOSE(MATCH($F131,الإعدادات!$B$4:$B$7,0),INDEX('حضور سوريال'!$I$7:$I$36,$O131),INDEX('حضور غبريال'!$I$7:$I$36,$O131),INDEX('حضور رفائيل'!$I$7:$I$36,$O131),INDEX('حضور ميخائيل'!$I$7:$I$36,$O131)),""))</f>
        <v/>
      </c>
      <c r="V131" t="str">
        <f>IF($O131="","",IFERROR(CHOOSE(MATCH($F131,الإعدادات!$B$4:$B$7,0),INDEX('حضور سوريال'!$BM$7:$BM$36,$O131),INDEX('حضور غبريال'!$BM$7:$BM$36,$O131),INDEX('حضور رفائيل'!$BM$7:$BM$36,$O131),INDEX('حضور ميخائيل'!$BM$7:$BM$36,$O131)),""))</f>
        <v/>
      </c>
      <c r="W131" t="str">
        <f>IF(OR(V131=3,V131=4),COUNTIFS(V$6:V131,3)+COUNTIFS(V$6:V131,4),"")</f>
        <v/>
      </c>
    </row>
    <row r="132" spans="1:23" ht="25.5" customHeight="1">
      <c r="A132" s="26" t="str">
        <f t="shared" si="3"/>
        <v/>
      </c>
      <c r="B132" s="27" t="str">
        <f t="shared" si="4"/>
        <v/>
      </c>
      <c r="C132" s="28"/>
      <c r="D132" s="29"/>
      <c r="E132" s="29"/>
      <c r="F132" s="29"/>
      <c r="G132" s="29"/>
      <c r="H132" s="30"/>
      <c r="I132" s="30"/>
      <c r="J132" s="31"/>
      <c r="K132" s="29"/>
      <c r="L132" s="31"/>
      <c r="M132" s="29"/>
      <c r="N132" s="32" t="str">
        <f t="shared" si="5"/>
        <v/>
      </c>
      <c r="O132" s="32" t="str">
        <f>IF(OR(C132="",F132=""),"",COUNTIFS(F$6:F132,F132,C$6:C132,"&lt;&gt;"))</f>
        <v/>
      </c>
      <c r="P132" s="33" t="str">
        <f>IF($O132="","",IFERROR(CHOOSE(MATCH($F132,الإعدادات!$B$4:$B$7,0),INDEX('حضور سوريال'!$C$7:$C$36,$O132),INDEX('حضور غبريال'!$C$7:$C$36,$O132),INDEX('حضور رفائيل'!$C$7:$C$36,$O132),INDEX('حضور ميخائيل'!$C$7:$C$36,$O132)),""))</f>
        <v/>
      </c>
      <c r="Q132" s="33" t="str">
        <f>IF($O132="","",IFERROR(CHOOSE(MATCH($F132,الإعدادات!$B$4:$B$7,0),INDEX('حضور سوريال'!$D$7:$D$36,$O132),INDEX('حضور غبريال'!$D$7:$D$36,$O132),INDEX('حضور رفائيل'!$D$7:$D$36,$O132),INDEX('حضور ميخائيل'!$D$7:$D$36,$O132)),""))</f>
        <v/>
      </c>
      <c r="R132" s="34" t="str">
        <f>IF($O132="","",IFERROR(CHOOSE(MATCH($F132,الإعدادات!$B$4:$B$7,0),INDEX('حضور سوريال'!$F$7:$F$36,$O132),INDEX('حضور غبريال'!$F$7:$F$36,$O132),INDEX('حضور رفائيل'!$F$7:$F$36,$O132),INDEX('حضور ميخائيل'!$F$7:$F$36,$O132)),""))</f>
        <v/>
      </c>
      <c r="S132" s="33" t="str">
        <f>IF($O132="","",IFERROR(CHOOSE(MATCH($F132,الإعدادات!$B$4:$B$7,0),INDEX('حضور سوريال'!$G$7:$G$36,$O132),INDEX('حضور غبريال'!$G$7:$G$36,$O132),INDEX('حضور رفائيل'!$G$7:$G$36,$O132),INDEX('حضور ميخائيل'!$G$7:$G$36,$O132)),""))</f>
        <v/>
      </c>
      <c r="T132" s="35" t="str">
        <f>IF($O132="","",IFERROR(CHOOSE(MATCH($F132,الإعدادات!$B$4:$B$7,0),INDEX('حضور سوريال'!$H$7:$H$36,$O132),INDEX('حضور غبريال'!$H$7:$H$36,$O132),INDEX('حضور رفائيل'!$H$7:$H$36,$O132),INDEX('حضور ميخائيل'!$H$7:$H$36,$O132)),""))</f>
        <v/>
      </c>
      <c r="U132" s="36" t="str">
        <f>IF($O132="","",IFERROR(CHOOSE(MATCH($F132,الإعدادات!$B$4:$B$7,0),INDEX('حضور سوريال'!$I$7:$I$36,$O132),INDEX('حضور غبريال'!$I$7:$I$36,$O132),INDEX('حضور رفائيل'!$I$7:$I$36,$O132),INDEX('حضور ميخائيل'!$I$7:$I$36,$O132)),""))</f>
        <v/>
      </c>
      <c r="V132" t="str">
        <f>IF($O132="","",IFERROR(CHOOSE(MATCH($F132,الإعدادات!$B$4:$B$7,0),INDEX('حضور سوريال'!$BM$7:$BM$36,$O132),INDEX('حضور غبريال'!$BM$7:$BM$36,$O132),INDEX('حضور رفائيل'!$BM$7:$BM$36,$O132),INDEX('حضور ميخائيل'!$BM$7:$BM$36,$O132)),""))</f>
        <v/>
      </c>
      <c r="W132" t="str">
        <f>IF(OR(V132=3,V132=4),COUNTIFS(V$6:V132,3)+COUNTIFS(V$6:V132,4),"")</f>
        <v/>
      </c>
    </row>
    <row r="133" spans="1:23" ht="25.5" customHeight="1">
      <c r="A133" s="26" t="str">
        <f t="shared" si="3"/>
        <v/>
      </c>
      <c r="B133" s="27" t="str">
        <f t="shared" si="4"/>
        <v/>
      </c>
      <c r="C133" s="28"/>
      <c r="D133" s="29"/>
      <c r="E133" s="29"/>
      <c r="F133" s="29"/>
      <c r="G133" s="29"/>
      <c r="H133" s="30"/>
      <c r="I133" s="30"/>
      <c r="J133" s="31"/>
      <c r="K133" s="29"/>
      <c r="L133" s="31"/>
      <c r="M133" s="29"/>
      <c r="N133" s="32" t="str">
        <f t="shared" si="5"/>
        <v/>
      </c>
      <c r="O133" s="32" t="str">
        <f>IF(OR(C133="",F133=""),"",COUNTIFS(F$6:F133,F133,C$6:C133,"&lt;&gt;"))</f>
        <v/>
      </c>
      <c r="P133" s="33" t="str">
        <f>IF($O133="","",IFERROR(CHOOSE(MATCH($F133,الإعدادات!$B$4:$B$7,0),INDEX('حضور سوريال'!$C$7:$C$36,$O133),INDEX('حضور غبريال'!$C$7:$C$36,$O133),INDEX('حضور رفائيل'!$C$7:$C$36,$O133),INDEX('حضور ميخائيل'!$C$7:$C$36,$O133)),""))</f>
        <v/>
      </c>
      <c r="Q133" s="33" t="str">
        <f>IF($O133="","",IFERROR(CHOOSE(MATCH($F133,الإعدادات!$B$4:$B$7,0),INDEX('حضور سوريال'!$D$7:$D$36,$O133),INDEX('حضور غبريال'!$D$7:$D$36,$O133),INDEX('حضور رفائيل'!$D$7:$D$36,$O133),INDEX('حضور ميخائيل'!$D$7:$D$36,$O133)),""))</f>
        <v/>
      </c>
      <c r="R133" s="34" t="str">
        <f>IF($O133="","",IFERROR(CHOOSE(MATCH($F133,الإعدادات!$B$4:$B$7,0),INDEX('حضور سوريال'!$F$7:$F$36,$O133),INDEX('حضور غبريال'!$F$7:$F$36,$O133),INDEX('حضور رفائيل'!$F$7:$F$36,$O133),INDEX('حضور ميخائيل'!$F$7:$F$36,$O133)),""))</f>
        <v/>
      </c>
      <c r="S133" s="33" t="str">
        <f>IF($O133="","",IFERROR(CHOOSE(MATCH($F133,الإعدادات!$B$4:$B$7,0),INDEX('حضور سوريال'!$G$7:$G$36,$O133),INDEX('حضور غبريال'!$G$7:$G$36,$O133),INDEX('حضور رفائيل'!$G$7:$G$36,$O133),INDEX('حضور ميخائيل'!$G$7:$G$36,$O133)),""))</f>
        <v/>
      </c>
      <c r="T133" s="35" t="str">
        <f>IF($O133="","",IFERROR(CHOOSE(MATCH($F133,الإعدادات!$B$4:$B$7,0),INDEX('حضور سوريال'!$H$7:$H$36,$O133),INDEX('حضور غبريال'!$H$7:$H$36,$O133),INDEX('حضور رفائيل'!$H$7:$H$36,$O133),INDEX('حضور ميخائيل'!$H$7:$H$36,$O133)),""))</f>
        <v/>
      </c>
      <c r="U133" s="36" t="str">
        <f>IF($O133="","",IFERROR(CHOOSE(MATCH($F133,الإعدادات!$B$4:$B$7,0),INDEX('حضور سوريال'!$I$7:$I$36,$O133),INDEX('حضور غبريال'!$I$7:$I$36,$O133),INDEX('حضور رفائيل'!$I$7:$I$36,$O133),INDEX('حضور ميخائيل'!$I$7:$I$36,$O133)),""))</f>
        <v/>
      </c>
      <c r="V133" t="str">
        <f>IF($O133="","",IFERROR(CHOOSE(MATCH($F133,الإعدادات!$B$4:$B$7,0),INDEX('حضور سوريال'!$BM$7:$BM$36,$O133),INDEX('حضور غبريال'!$BM$7:$BM$36,$O133),INDEX('حضور رفائيل'!$BM$7:$BM$36,$O133),INDEX('حضور ميخائيل'!$BM$7:$BM$36,$O133)),""))</f>
        <v/>
      </c>
      <c r="W133" t="str">
        <f>IF(OR(V133=3,V133=4),COUNTIFS(V$6:V133,3)+COUNTIFS(V$6:V133,4),"")</f>
        <v/>
      </c>
    </row>
    <row r="134" spans="1:23" ht="25.5" customHeight="1">
      <c r="A134" s="26" t="str">
        <f t="shared" ref="A134:A197" si="6">IF(C134="","",ROW()-5)</f>
        <v/>
      </c>
      <c r="B134" s="27" t="str">
        <f t="shared" ref="B134:B197" si="7">IF(C134="","","B-"&amp;TEXT(ROW()-5,"000"))</f>
        <v/>
      </c>
      <c r="C134" s="28"/>
      <c r="D134" s="29"/>
      <c r="E134" s="29"/>
      <c r="F134" s="29"/>
      <c r="G134" s="29"/>
      <c r="H134" s="30"/>
      <c r="I134" s="30"/>
      <c r="J134" s="31"/>
      <c r="K134" s="29"/>
      <c r="L134" s="31"/>
      <c r="M134" s="29"/>
      <c r="N134" s="32" t="str">
        <f t="shared" ref="N134:N197" si="8">IF(O134="","",F134&amp;"|"&amp;O134)</f>
        <v/>
      </c>
      <c r="O134" s="32" t="str">
        <f>IF(OR(C134="",F134=""),"",COUNTIFS(F$6:F134,F134,C$6:C134,"&lt;&gt;"))</f>
        <v/>
      </c>
      <c r="P134" s="33" t="str">
        <f>IF($O134="","",IFERROR(CHOOSE(MATCH($F134,الإعدادات!$B$4:$B$7,0),INDEX('حضور سوريال'!$C$7:$C$36,$O134),INDEX('حضور غبريال'!$C$7:$C$36,$O134),INDEX('حضور رفائيل'!$C$7:$C$36,$O134),INDEX('حضور ميخائيل'!$C$7:$C$36,$O134)),""))</f>
        <v/>
      </c>
      <c r="Q134" s="33" t="str">
        <f>IF($O134="","",IFERROR(CHOOSE(MATCH($F134,الإعدادات!$B$4:$B$7,0),INDEX('حضور سوريال'!$D$7:$D$36,$O134),INDEX('حضور غبريال'!$D$7:$D$36,$O134),INDEX('حضور رفائيل'!$D$7:$D$36,$O134),INDEX('حضور ميخائيل'!$D$7:$D$36,$O134)),""))</f>
        <v/>
      </c>
      <c r="R134" s="34" t="str">
        <f>IF($O134="","",IFERROR(CHOOSE(MATCH($F134,الإعدادات!$B$4:$B$7,0),INDEX('حضور سوريال'!$F$7:$F$36,$O134),INDEX('حضور غبريال'!$F$7:$F$36,$O134),INDEX('حضور رفائيل'!$F$7:$F$36,$O134),INDEX('حضور ميخائيل'!$F$7:$F$36,$O134)),""))</f>
        <v/>
      </c>
      <c r="S134" s="33" t="str">
        <f>IF($O134="","",IFERROR(CHOOSE(MATCH($F134,الإعدادات!$B$4:$B$7,0),INDEX('حضور سوريال'!$G$7:$G$36,$O134),INDEX('حضور غبريال'!$G$7:$G$36,$O134),INDEX('حضور رفائيل'!$G$7:$G$36,$O134),INDEX('حضور ميخائيل'!$G$7:$G$36,$O134)),""))</f>
        <v/>
      </c>
      <c r="T134" s="35" t="str">
        <f>IF($O134="","",IFERROR(CHOOSE(MATCH($F134,الإعدادات!$B$4:$B$7,0),INDEX('حضور سوريال'!$H$7:$H$36,$O134),INDEX('حضور غبريال'!$H$7:$H$36,$O134),INDEX('حضور رفائيل'!$H$7:$H$36,$O134),INDEX('حضور ميخائيل'!$H$7:$H$36,$O134)),""))</f>
        <v/>
      </c>
      <c r="U134" s="36" t="str">
        <f>IF($O134="","",IFERROR(CHOOSE(MATCH($F134,الإعدادات!$B$4:$B$7,0),INDEX('حضور سوريال'!$I$7:$I$36,$O134),INDEX('حضور غبريال'!$I$7:$I$36,$O134),INDEX('حضور رفائيل'!$I$7:$I$36,$O134),INDEX('حضور ميخائيل'!$I$7:$I$36,$O134)),""))</f>
        <v/>
      </c>
      <c r="V134" t="str">
        <f>IF($O134="","",IFERROR(CHOOSE(MATCH($F134,الإعدادات!$B$4:$B$7,0),INDEX('حضور سوريال'!$BM$7:$BM$36,$O134),INDEX('حضور غبريال'!$BM$7:$BM$36,$O134),INDEX('حضور رفائيل'!$BM$7:$BM$36,$O134),INDEX('حضور ميخائيل'!$BM$7:$BM$36,$O134)),""))</f>
        <v/>
      </c>
      <c r="W134" t="str">
        <f>IF(OR(V134=3,V134=4),COUNTIFS(V$6:V134,3)+COUNTIFS(V$6:V134,4),"")</f>
        <v/>
      </c>
    </row>
    <row r="135" spans="1:23" ht="25.5" customHeight="1">
      <c r="A135" s="26" t="str">
        <f t="shared" si="6"/>
        <v/>
      </c>
      <c r="B135" s="27" t="str">
        <f t="shared" si="7"/>
        <v/>
      </c>
      <c r="C135" s="28"/>
      <c r="D135" s="29"/>
      <c r="E135" s="29"/>
      <c r="F135" s="29"/>
      <c r="G135" s="29"/>
      <c r="H135" s="30"/>
      <c r="I135" s="30"/>
      <c r="J135" s="31"/>
      <c r="K135" s="29"/>
      <c r="L135" s="31"/>
      <c r="M135" s="29"/>
      <c r="N135" s="32" t="str">
        <f t="shared" si="8"/>
        <v/>
      </c>
      <c r="O135" s="32" t="str">
        <f>IF(OR(C135="",F135=""),"",COUNTIFS(F$6:F135,F135,C$6:C135,"&lt;&gt;"))</f>
        <v/>
      </c>
      <c r="P135" s="33" t="str">
        <f>IF($O135="","",IFERROR(CHOOSE(MATCH($F135,الإعدادات!$B$4:$B$7,0),INDEX('حضور سوريال'!$C$7:$C$36,$O135),INDEX('حضور غبريال'!$C$7:$C$36,$O135),INDEX('حضور رفائيل'!$C$7:$C$36,$O135),INDEX('حضور ميخائيل'!$C$7:$C$36,$O135)),""))</f>
        <v/>
      </c>
      <c r="Q135" s="33" t="str">
        <f>IF($O135="","",IFERROR(CHOOSE(MATCH($F135,الإعدادات!$B$4:$B$7,0),INDEX('حضور سوريال'!$D$7:$D$36,$O135),INDEX('حضور غبريال'!$D$7:$D$36,$O135),INDEX('حضور رفائيل'!$D$7:$D$36,$O135),INDEX('حضور ميخائيل'!$D$7:$D$36,$O135)),""))</f>
        <v/>
      </c>
      <c r="R135" s="34" t="str">
        <f>IF($O135="","",IFERROR(CHOOSE(MATCH($F135,الإعدادات!$B$4:$B$7,0),INDEX('حضور سوريال'!$F$7:$F$36,$O135),INDEX('حضور غبريال'!$F$7:$F$36,$O135),INDEX('حضور رفائيل'!$F$7:$F$36,$O135),INDEX('حضور ميخائيل'!$F$7:$F$36,$O135)),""))</f>
        <v/>
      </c>
      <c r="S135" s="33" t="str">
        <f>IF($O135="","",IFERROR(CHOOSE(MATCH($F135,الإعدادات!$B$4:$B$7,0),INDEX('حضور سوريال'!$G$7:$G$36,$O135),INDEX('حضور غبريال'!$G$7:$G$36,$O135),INDEX('حضور رفائيل'!$G$7:$G$36,$O135),INDEX('حضور ميخائيل'!$G$7:$G$36,$O135)),""))</f>
        <v/>
      </c>
      <c r="T135" s="35" t="str">
        <f>IF($O135="","",IFERROR(CHOOSE(MATCH($F135,الإعدادات!$B$4:$B$7,0),INDEX('حضور سوريال'!$H$7:$H$36,$O135),INDEX('حضور غبريال'!$H$7:$H$36,$O135),INDEX('حضور رفائيل'!$H$7:$H$36,$O135),INDEX('حضور ميخائيل'!$H$7:$H$36,$O135)),""))</f>
        <v/>
      </c>
      <c r="U135" s="36" t="str">
        <f>IF($O135="","",IFERROR(CHOOSE(MATCH($F135,الإعدادات!$B$4:$B$7,0),INDEX('حضور سوريال'!$I$7:$I$36,$O135),INDEX('حضور غبريال'!$I$7:$I$36,$O135),INDEX('حضور رفائيل'!$I$7:$I$36,$O135),INDEX('حضور ميخائيل'!$I$7:$I$36,$O135)),""))</f>
        <v/>
      </c>
      <c r="V135" t="str">
        <f>IF($O135="","",IFERROR(CHOOSE(MATCH($F135,الإعدادات!$B$4:$B$7,0),INDEX('حضور سوريال'!$BM$7:$BM$36,$O135),INDEX('حضور غبريال'!$BM$7:$BM$36,$O135),INDEX('حضور رفائيل'!$BM$7:$BM$36,$O135),INDEX('حضور ميخائيل'!$BM$7:$BM$36,$O135)),""))</f>
        <v/>
      </c>
      <c r="W135" t="str">
        <f>IF(OR(V135=3,V135=4),COUNTIFS(V$6:V135,3)+COUNTIFS(V$6:V135,4),"")</f>
        <v/>
      </c>
    </row>
    <row r="136" spans="1:23" ht="25.5" customHeight="1">
      <c r="A136" s="26" t="str">
        <f t="shared" si="6"/>
        <v/>
      </c>
      <c r="B136" s="27" t="str">
        <f t="shared" si="7"/>
        <v/>
      </c>
      <c r="C136" s="28"/>
      <c r="D136" s="29"/>
      <c r="E136" s="29"/>
      <c r="F136" s="29"/>
      <c r="G136" s="29"/>
      <c r="H136" s="30"/>
      <c r="I136" s="30"/>
      <c r="J136" s="31"/>
      <c r="K136" s="29"/>
      <c r="L136" s="31"/>
      <c r="M136" s="29"/>
      <c r="N136" s="32" t="str">
        <f t="shared" si="8"/>
        <v/>
      </c>
      <c r="O136" s="32" t="str">
        <f>IF(OR(C136="",F136=""),"",COUNTIFS(F$6:F136,F136,C$6:C136,"&lt;&gt;"))</f>
        <v/>
      </c>
      <c r="P136" s="33" t="str">
        <f>IF($O136="","",IFERROR(CHOOSE(MATCH($F136,الإعدادات!$B$4:$B$7,0),INDEX('حضور سوريال'!$C$7:$C$36,$O136),INDEX('حضور غبريال'!$C$7:$C$36,$O136),INDEX('حضور رفائيل'!$C$7:$C$36,$O136),INDEX('حضور ميخائيل'!$C$7:$C$36,$O136)),""))</f>
        <v/>
      </c>
      <c r="Q136" s="33" t="str">
        <f>IF($O136="","",IFERROR(CHOOSE(MATCH($F136,الإعدادات!$B$4:$B$7,0),INDEX('حضور سوريال'!$D$7:$D$36,$O136),INDEX('حضور غبريال'!$D$7:$D$36,$O136),INDEX('حضور رفائيل'!$D$7:$D$36,$O136),INDEX('حضور ميخائيل'!$D$7:$D$36,$O136)),""))</f>
        <v/>
      </c>
      <c r="R136" s="34" t="str">
        <f>IF($O136="","",IFERROR(CHOOSE(MATCH($F136,الإعدادات!$B$4:$B$7,0),INDEX('حضور سوريال'!$F$7:$F$36,$O136),INDEX('حضور غبريال'!$F$7:$F$36,$O136),INDEX('حضور رفائيل'!$F$7:$F$36,$O136),INDEX('حضور ميخائيل'!$F$7:$F$36,$O136)),""))</f>
        <v/>
      </c>
      <c r="S136" s="33" t="str">
        <f>IF($O136="","",IFERROR(CHOOSE(MATCH($F136,الإعدادات!$B$4:$B$7,0),INDEX('حضور سوريال'!$G$7:$G$36,$O136),INDEX('حضور غبريال'!$G$7:$G$36,$O136),INDEX('حضور رفائيل'!$G$7:$G$36,$O136),INDEX('حضور ميخائيل'!$G$7:$G$36,$O136)),""))</f>
        <v/>
      </c>
      <c r="T136" s="35" t="str">
        <f>IF($O136="","",IFERROR(CHOOSE(MATCH($F136,الإعدادات!$B$4:$B$7,0),INDEX('حضور سوريال'!$H$7:$H$36,$O136),INDEX('حضور غبريال'!$H$7:$H$36,$O136),INDEX('حضور رفائيل'!$H$7:$H$36,$O136),INDEX('حضور ميخائيل'!$H$7:$H$36,$O136)),""))</f>
        <v/>
      </c>
      <c r="U136" s="36" t="str">
        <f>IF($O136="","",IFERROR(CHOOSE(MATCH($F136,الإعدادات!$B$4:$B$7,0),INDEX('حضور سوريال'!$I$7:$I$36,$O136),INDEX('حضور غبريال'!$I$7:$I$36,$O136),INDEX('حضور رفائيل'!$I$7:$I$36,$O136),INDEX('حضور ميخائيل'!$I$7:$I$36,$O136)),""))</f>
        <v/>
      </c>
      <c r="V136" t="str">
        <f>IF($O136="","",IFERROR(CHOOSE(MATCH($F136,الإعدادات!$B$4:$B$7,0),INDEX('حضور سوريال'!$BM$7:$BM$36,$O136),INDEX('حضور غبريال'!$BM$7:$BM$36,$O136),INDEX('حضور رفائيل'!$BM$7:$BM$36,$O136),INDEX('حضور ميخائيل'!$BM$7:$BM$36,$O136)),""))</f>
        <v/>
      </c>
      <c r="W136" t="str">
        <f>IF(OR(V136=3,V136=4),COUNTIFS(V$6:V136,3)+COUNTIFS(V$6:V136,4),"")</f>
        <v/>
      </c>
    </row>
    <row r="137" spans="1:23" ht="25.5" customHeight="1">
      <c r="A137" s="26" t="str">
        <f t="shared" si="6"/>
        <v/>
      </c>
      <c r="B137" s="27" t="str">
        <f t="shared" si="7"/>
        <v/>
      </c>
      <c r="C137" s="28"/>
      <c r="D137" s="29"/>
      <c r="E137" s="29"/>
      <c r="F137" s="29"/>
      <c r="G137" s="29"/>
      <c r="H137" s="30"/>
      <c r="I137" s="30"/>
      <c r="J137" s="31"/>
      <c r="K137" s="29"/>
      <c r="L137" s="31"/>
      <c r="M137" s="29"/>
      <c r="N137" s="32" t="str">
        <f t="shared" si="8"/>
        <v/>
      </c>
      <c r="O137" s="32" t="str">
        <f>IF(OR(C137="",F137=""),"",COUNTIFS(F$6:F137,F137,C$6:C137,"&lt;&gt;"))</f>
        <v/>
      </c>
      <c r="P137" s="33" t="str">
        <f>IF($O137="","",IFERROR(CHOOSE(MATCH($F137,الإعدادات!$B$4:$B$7,0),INDEX('حضور سوريال'!$C$7:$C$36,$O137),INDEX('حضور غبريال'!$C$7:$C$36,$O137),INDEX('حضور رفائيل'!$C$7:$C$36,$O137),INDEX('حضور ميخائيل'!$C$7:$C$36,$O137)),""))</f>
        <v/>
      </c>
      <c r="Q137" s="33" t="str">
        <f>IF($O137="","",IFERROR(CHOOSE(MATCH($F137,الإعدادات!$B$4:$B$7,0),INDEX('حضور سوريال'!$D$7:$D$36,$O137),INDEX('حضور غبريال'!$D$7:$D$36,$O137),INDEX('حضور رفائيل'!$D$7:$D$36,$O137),INDEX('حضور ميخائيل'!$D$7:$D$36,$O137)),""))</f>
        <v/>
      </c>
      <c r="R137" s="34" t="str">
        <f>IF($O137="","",IFERROR(CHOOSE(MATCH($F137,الإعدادات!$B$4:$B$7,0),INDEX('حضور سوريال'!$F$7:$F$36,$O137),INDEX('حضور غبريال'!$F$7:$F$36,$O137),INDEX('حضور رفائيل'!$F$7:$F$36,$O137),INDEX('حضور ميخائيل'!$F$7:$F$36,$O137)),""))</f>
        <v/>
      </c>
      <c r="S137" s="33" t="str">
        <f>IF($O137="","",IFERROR(CHOOSE(MATCH($F137,الإعدادات!$B$4:$B$7,0),INDEX('حضور سوريال'!$G$7:$G$36,$O137),INDEX('حضور غبريال'!$G$7:$G$36,$O137),INDEX('حضور رفائيل'!$G$7:$G$36,$O137),INDEX('حضور ميخائيل'!$G$7:$G$36,$O137)),""))</f>
        <v/>
      </c>
      <c r="T137" s="35" t="str">
        <f>IF($O137="","",IFERROR(CHOOSE(MATCH($F137,الإعدادات!$B$4:$B$7,0),INDEX('حضور سوريال'!$H$7:$H$36,$O137),INDEX('حضور غبريال'!$H$7:$H$36,$O137),INDEX('حضور رفائيل'!$H$7:$H$36,$O137),INDEX('حضور ميخائيل'!$H$7:$H$36,$O137)),""))</f>
        <v/>
      </c>
      <c r="U137" s="36" t="str">
        <f>IF($O137="","",IFERROR(CHOOSE(MATCH($F137,الإعدادات!$B$4:$B$7,0),INDEX('حضور سوريال'!$I$7:$I$36,$O137),INDEX('حضور غبريال'!$I$7:$I$36,$O137),INDEX('حضور رفائيل'!$I$7:$I$36,$O137),INDEX('حضور ميخائيل'!$I$7:$I$36,$O137)),""))</f>
        <v/>
      </c>
      <c r="V137" t="str">
        <f>IF($O137="","",IFERROR(CHOOSE(MATCH($F137,الإعدادات!$B$4:$B$7,0),INDEX('حضور سوريال'!$BM$7:$BM$36,$O137),INDEX('حضور غبريال'!$BM$7:$BM$36,$O137),INDEX('حضور رفائيل'!$BM$7:$BM$36,$O137),INDEX('حضور ميخائيل'!$BM$7:$BM$36,$O137)),""))</f>
        <v/>
      </c>
      <c r="W137" t="str">
        <f>IF(OR(V137=3,V137=4),COUNTIFS(V$6:V137,3)+COUNTIFS(V$6:V137,4),"")</f>
        <v/>
      </c>
    </row>
    <row r="138" spans="1:23" ht="25.5" customHeight="1">
      <c r="A138" s="26" t="str">
        <f t="shared" si="6"/>
        <v/>
      </c>
      <c r="B138" s="27" t="str">
        <f t="shared" si="7"/>
        <v/>
      </c>
      <c r="C138" s="28"/>
      <c r="D138" s="29"/>
      <c r="E138" s="29"/>
      <c r="F138" s="29"/>
      <c r="G138" s="29"/>
      <c r="H138" s="30"/>
      <c r="I138" s="30"/>
      <c r="J138" s="31"/>
      <c r="K138" s="29"/>
      <c r="L138" s="31"/>
      <c r="M138" s="29"/>
      <c r="N138" s="32" t="str">
        <f t="shared" si="8"/>
        <v/>
      </c>
      <c r="O138" s="32" t="str">
        <f>IF(OR(C138="",F138=""),"",COUNTIFS(F$6:F138,F138,C$6:C138,"&lt;&gt;"))</f>
        <v/>
      </c>
      <c r="P138" s="33" t="str">
        <f>IF($O138="","",IFERROR(CHOOSE(MATCH($F138,الإعدادات!$B$4:$B$7,0),INDEX('حضور سوريال'!$C$7:$C$36,$O138),INDEX('حضور غبريال'!$C$7:$C$36,$O138),INDEX('حضور رفائيل'!$C$7:$C$36,$O138),INDEX('حضور ميخائيل'!$C$7:$C$36,$O138)),""))</f>
        <v/>
      </c>
      <c r="Q138" s="33" t="str">
        <f>IF($O138="","",IFERROR(CHOOSE(MATCH($F138,الإعدادات!$B$4:$B$7,0),INDEX('حضور سوريال'!$D$7:$D$36,$O138),INDEX('حضور غبريال'!$D$7:$D$36,$O138),INDEX('حضور رفائيل'!$D$7:$D$36,$O138),INDEX('حضور ميخائيل'!$D$7:$D$36,$O138)),""))</f>
        <v/>
      </c>
      <c r="R138" s="34" t="str">
        <f>IF($O138="","",IFERROR(CHOOSE(MATCH($F138,الإعدادات!$B$4:$B$7,0),INDEX('حضور سوريال'!$F$7:$F$36,$O138),INDEX('حضور غبريال'!$F$7:$F$36,$O138),INDEX('حضور رفائيل'!$F$7:$F$36,$O138),INDEX('حضور ميخائيل'!$F$7:$F$36,$O138)),""))</f>
        <v/>
      </c>
      <c r="S138" s="33" t="str">
        <f>IF($O138="","",IFERROR(CHOOSE(MATCH($F138,الإعدادات!$B$4:$B$7,0),INDEX('حضور سوريال'!$G$7:$G$36,$O138),INDEX('حضور غبريال'!$G$7:$G$36,$O138),INDEX('حضور رفائيل'!$G$7:$G$36,$O138),INDEX('حضور ميخائيل'!$G$7:$G$36,$O138)),""))</f>
        <v/>
      </c>
      <c r="T138" s="35" t="str">
        <f>IF($O138="","",IFERROR(CHOOSE(MATCH($F138,الإعدادات!$B$4:$B$7,0),INDEX('حضور سوريال'!$H$7:$H$36,$O138),INDEX('حضور غبريال'!$H$7:$H$36,$O138),INDEX('حضور رفائيل'!$H$7:$H$36,$O138),INDEX('حضور ميخائيل'!$H$7:$H$36,$O138)),""))</f>
        <v/>
      </c>
      <c r="U138" s="36" t="str">
        <f>IF($O138="","",IFERROR(CHOOSE(MATCH($F138,الإعدادات!$B$4:$B$7,0),INDEX('حضور سوريال'!$I$7:$I$36,$O138),INDEX('حضور غبريال'!$I$7:$I$36,$O138),INDEX('حضور رفائيل'!$I$7:$I$36,$O138),INDEX('حضور ميخائيل'!$I$7:$I$36,$O138)),""))</f>
        <v/>
      </c>
      <c r="V138" t="str">
        <f>IF($O138="","",IFERROR(CHOOSE(MATCH($F138,الإعدادات!$B$4:$B$7,0),INDEX('حضور سوريال'!$BM$7:$BM$36,$O138),INDEX('حضور غبريال'!$BM$7:$BM$36,$O138),INDEX('حضور رفائيل'!$BM$7:$BM$36,$O138),INDEX('حضور ميخائيل'!$BM$7:$BM$36,$O138)),""))</f>
        <v/>
      </c>
      <c r="W138" t="str">
        <f>IF(OR(V138=3,V138=4),COUNTIFS(V$6:V138,3)+COUNTIFS(V$6:V138,4),"")</f>
        <v/>
      </c>
    </row>
    <row r="139" spans="1:23" ht="25.5" customHeight="1">
      <c r="A139" s="26" t="str">
        <f t="shared" si="6"/>
        <v/>
      </c>
      <c r="B139" s="27" t="str">
        <f t="shared" si="7"/>
        <v/>
      </c>
      <c r="C139" s="28"/>
      <c r="D139" s="29"/>
      <c r="E139" s="29"/>
      <c r="F139" s="29"/>
      <c r="G139" s="29"/>
      <c r="H139" s="30"/>
      <c r="I139" s="30"/>
      <c r="J139" s="31"/>
      <c r="K139" s="29"/>
      <c r="L139" s="31"/>
      <c r="M139" s="29"/>
      <c r="N139" s="32" t="str">
        <f t="shared" si="8"/>
        <v/>
      </c>
      <c r="O139" s="32" t="str">
        <f>IF(OR(C139="",F139=""),"",COUNTIFS(F$6:F139,F139,C$6:C139,"&lt;&gt;"))</f>
        <v/>
      </c>
      <c r="P139" s="33" t="str">
        <f>IF($O139="","",IFERROR(CHOOSE(MATCH($F139,الإعدادات!$B$4:$B$7,0),INDEX('حضور سوريال'!$C$7:$C$36,$O139),INDEX('حضور غبريال'!$C$7:$C$36,$O139),INDEX('حضور رفائيل'!$C$7:$C$36,$O139),INDEX('حضور ميخائيل'!$C$7:$C$36,$O139)),""))</f>
        <v/>
      </c>
      <c r="Q139" s="33" t="str">
        <f>IF($O139="","",IFERROR(CHOOSE(MATCH($F139,الإعدادات!$B$4:$B$7,0),INDEX('حضور سوريال'!$D$7:$D$36,$O139),INDEX('حضور غبريال'!$D$7:$D$36,$O139),INDEX('حضور رفائيل'!$D$7:$D$36,$O139),INDEX('حضور ميخائيل'!$D$7:$D$36,$O139)),""))</f>
        <v/>
      </c>
      <c r="R139" s="34" t="str">
        <f>IF($O139="","",IFERROR(CHOOSE(MATCH($F139,الإعدادات!$B$4:$B$7,0),INDEX('حضور سوريال'!$F$7:$F$36,$O139),INDEX('حضور غبريال'!$F$7:$F$36,$O139),INDEX('حضور رفائيل'!$F$7:$F$36,$O139),INDEX('حضور ميخائيل'!$F$7:$F$36,$O139)),""))</f>
        <v/>
      </c>
      <c r="S139" s="33" t="str">
        <f>IF($O139="","",IFERROR(CHOOSE(MATCH($F139,الإعدادات!$B$4:$B$7,0),INDEX('حضور سوريال'!$G$7:$G$36,$O139),INDEX('حضور غبريال'!$G$7:$G$36,$O139),INDEX('حضور رفائيل'!$G$7:$G$36,$O139),INDEX('حضور ميخائيل'!$G$7:$G$36,$O139)),""))</f>
        <v/>
      </c>
      <c r="T139" s="35" t="str">
        <f>IF($O139="","",IFERROR(CHOOSE(MATCH($F139,الإعدادات!$B$4:$B$7,0),INDEX('حضور سوريال'!$H$7:$H$36,$O139),INDEX('حضور غبريال'!$H$7:$H$36,$O139),INDEX('حضور رفائيل'!$H$7:$H$36,$O139),INDEX('حضور ميخائيل'!$H$7:$H$36,$O139)),""))</f>
        <v/>
      </c>
      <c r="U139" s="36" t="str">
        <f>IF($O139="","",IFERROR(CHOOSE(MATCH($F139,الإعدادات!$B$4:$B$7,0),INDEX('حضور سوريال'!$I$7:$I$36,$O139),INDEX('حضور غبريال'!$I$7:$I$36,$O139),INDEX('حضور رفائيل'!$I$7:$I$36,$O139),INDEX('حضور ميخائيل'!$I$7:$I$36,$O139)),""))</f>
        <v/>
      </c>
      <c r="V139" t="str">
        <f>IF($O139="","",IFERROR(CHOOSE(MATCH($F139,الإعدادات!$B$4:$B$7,0),INDEX('حضور سوريال'!$BM$7:$BM$36,$O139),INDEX('حضور غبريال'!$BM$7:$BM$36,$O139),INDEX('حضور رفائيل'!$BM$7:$BM$36,$O139),INDEX('حضور ميخائيل'!$BM$7:$BM$36,$O139)),""))</f>
        <v/>
      </c>
      <c r="W139" t="str">
        <f>IF(OR(V139=3,V139=4),COUNTIFS(V$6:V139,3)+COUNTIFS(V$6:V139,4),"")</f>
        <v/>
      </c>
    </row>
    <row r="140" spans="1:23" ht="25.5" customHeight="1">
      <c r="A140" s="26" t="str">
        <f t="shared" si="6"/>
        <v/>
      </c>
      <c r="B140" s="27" t="str">
        <f t="shared" si="7"/>
        <v/>
      </c>
      <c r="C140" s="28"/>
      <c r="D140" s="29"/>
      <c r="E140" s="29"/>
      <c r="F140" s="29"/>
      <c r="G140" s="29"/>
      <c r="H140" s="30"/>
      <c r="I140" s="30"/>
      <c r="J140" s="31"/>
      <c r="K140" s="29"/>
      <c r="L140" s="31"/>
      <c r="M140" s="29"/>
      <c r="N140" s="32" t="str">
        <f t="shared" si="8"/>
        <v/>
      </c>
      <c r="O140" s="32" t="str">
        <f>IF(OR(C140="",F140=""),"",COUNTIFS(F$6:F140,F140,C$6:C140,"&lt;&gt;"))</f>
        <v/>
      </c>
      <c r="P140" s="33" t="str">
        <f>IF($O140="","",IFERROR(CHOOSE(MATCH($F140,الإعدادات!$B$4:$B$7,0),INDEX('حضور سوريال'!$C$7:$C$36,$O140),INDEX('حضور غبريال'!$C$7:$C$36,$O140),INDEX('حضور رفائيل'!$C$7:$C$36,$O140),INDEX('حضور ميخائيل'!$C$7:$C$36,$O140)),""))</f>
        <v/>
      </c>
      <c r="Q140" s="33" t="str">
        <f>IF($O140="","",IFERROR(CHOOSE(MATCH($F140,الإعدادات!$B$4:$B$7,0),INDEX('حضور سوريال'!$D$7:$D$36,$O140),INDEX('حضور غبريال'!$D$7:$D$36,$O140),INDEX('حضور رفائيل'!$D$7:$D$36,$O140),INDEX('حضور ميخائيل'!$D$7:$D$36,$O140)),""))</f>
        <v/>
      </c>
      <c r="R140" s="34" t="str">
        <f>IF($O140="","",IFERROR(CHOOSE(MATCH($F140,الإعدادات!$B$4:$B$7,0),INDEX('حضور سوريال'!$F$7:$F$36,$O140),INDEX('حضور غبريال'!$F$7:$F$36,$O140),INDEX('حضور رفائيل'!$F$7:$F$36,$O140),INDEX('حضور ميخائيل'!$F$7:$F$36,$O140)),""))</f>
        <v/>
      </c>
      <c r="S140" s="33" t="str">
        <f>IF($O140="","",IFERROR(CHOOSE(MATCH($F140,الإعدادات!$B$4:$B$7,0),INDEX('حضور سوريال'!$G$7:$G$36,$O140),INDEX('حضور غبريال'!$G$7:$G$36,$O140),INDEX('حضور رفائيل'!$G$7:$G$36,$O140),INDEX('حضور ميخائيل'!$G$7:$G$36,$O140)),""))</f>
        <v/>
      </c>
      <c r="T140" s="35" t="str">
        <f>IF($O140="","",IFERROR(CHOOSE(MATCH($F140,الإعدادات!$B$4:$B$7,0),INDEX('حضور سوريال'!$H$7:$H$36,$O140),INDEX('حضور غبريال'!$H$7:$H$36,$O140),INDEX('حضور رفائيل'!$H$7:$H$36,$O140),INDEX('حضور ميخائيل'!$H$7:$H$36,$O140)),""))</f>
        <v/>
      </c>
      <c r="U140" s="36" t="str">
        <f>IF($O140="","",IFERROR(CHOOSE(MATCH($F140,الإعدادات!$B$4:$B$7,0),INDEX('حضور سوريال'!$I$7:$I$36,$O140),INDEX('حضور غبريال'!$I$7:$I$36,$O140),INDEX('حضور رفائيل'!$I$7:$I$36,$O140),INDEX('حضور ميخائيل'!$I$7:$I$36,$O140)),""))</f>
        <v/>
      </c>
      <c r="V140" t="str">
        <f>IF($O140="","",IFERROR(CHOOSE(MATCH($F140,الإعدادات!$B$4:$B$7,0),INDEX('حضور سوريال'!$BM$7:$BM$36,$O140),INDEX('حضور غبريال'!$BM$7:$BM$36,$O140),INDEX('حضور رفائيل'!$BM$7:$BM$36,$O140),INDEX('حضور ميخائيل'!$BM$7:$BM$36,$O140)),""))</f>
        <v/>
      </c>
      <c r="W140" t="str">
        <f>IF(OR(V140=3,V140=4),COUNTIFS(V$6:V140,3)+COUNTIFS(V$6:V140,4),"")</f>
        <v/>
      </c>
    </row>
    <row r="141" spans="1:23" ht="25.5" customHeight="1">
      <c r="A141" s="26" t="str">
        <f t="shared" si="6"/>
        <v/>
      </c>
      <c r="B141" s="27" t="str">
        <f t="shared" si="7"/>
        <v/>
      </c>
      <c r="C141" s="28"/>
      <c r="D141" s="29"/>
      <c r="E141" s="29"/>
      <c r="F141" s="29"/>
      <c r="G141" s="29"/>
      <c r="H141" s="30"/>
      <c r="I141" s="30"/>
      <c r="J141" s="31"/>
      <c r="K141" s="29"/>
      <c r="L141" s="31"/>
      <c r="M141" s="29"/>
      <c r="N141" s="32" t="str">
        <f t="shared" si="8"/>
        <v/>
      </c>
      <c r="O141" s="32" t="str">
        <f>IF(OR(C141="",F141=""),"",COUNTIFS(F$6:F141,F141,C$6:C141,"&lt;&gt;"))</f>
        <v/>
      </c>
      <c r="P141" s="33" t="str">
        <f>IF($O141="","",IFERROR(CHOOSE(MATCH($F141,الإعدادات!$B$4:$B$7,0),INDEX('حضور سوريال'!$C$7:$C$36,$O141),INDEX('حضور غبريال'!$C$7:$C$36,$O141),INDEX('حضور رفائيل'!$C$7:$C$36,$O141),INDEX('حضور ميخائيل'!$C$7:$C$36,$O141)),""))</f>
        <v/>
      </c>
      <c r="Q141" s="33" t="str">
        <f>IF($O141="","",IFERROR(CHOOSE(MATCH($F141,الإعدادات!$B$4:$B$7,0),INDEX('حضور سوريال'!$D$7:$D$36,$O141),INDEX('حضور غبريال'!$D$7:$D$36,$O141),INDEX('حضور رفائيل'!$D$7:$D$36,$O141),INDEX('حضور ميخائيل'!$D$7:$D$36,$O141)),""))</f>
        <v/>
      </c>
      <c r="R141" s="34" t="str">
        <f>IF($O141="","",IFERROR(CHOOSE(MATCH($F141,الإعدادات!$B$4:$B$7,0),INDEX('حضور سوريال'!$F$7:$F$36,$O141),INDEX('حضور غبريال'!$F$7:$F$36,$O141),INDEX('حضور رفائيل'!$F$7:$F$36,$O141),INDEX('حضور ميخائيل'!$F$7:$F$36,$O141)),""))</f>
        <v/>
      </c>
      <c r="S141" s="33" t="str">
        <f>IF($O141="","",IFERROR(CHOOSE(MATCH($F141,الإعدادات!$B$4:$B$7,0),INDEX('حضور سوريال'!$G$7:$G$36,$O141),INDEX('حضور غبريال'!$G$7:$G$36,$O141),INDEX('حضور رفائيل'!$G$7:$G$36,$O141),INDEX('حضور ميخائيل'!$G$7:$G$36,$O141)),""))</f>
        <v/>
      </c>
      <c r="T141" s="35" t="str">
        <f>IF($O141="","",IFERROR(CHOOSE(MATCH($F141,الإعدادات!$B$4:$B$7,0),INDEX('حضور سوريال'!$H$7:$H$36,$O141),INDEX('حضور غبريال'!$H$7:$H$36,$O141),INDEX('حضور رفائيل'!$H$7:$H$36,$O141),INDEX('حضور ميخائيل'!$H$7:$H$36,$O141)),""))</f>
        <v/>
      </c>
      <c r="U141" s="36" t="str">
        <f>IF($O141="","",IFERROR(CHOOSE(MATCH($F141,الإعدادات!$B$4:$B$7,0),INDEX('حضور سوريال'!$I$7:$I$36,$O141),INDEX('حضور غبريال'!$I$7:$I$36,$O141),INDEX('حضور رفائيل'!$I$7:$I$36,$O141),INDEX('حضور ميخائيل'!$I$7:$I$36,$O141)),""))</f>
        <v/>
      </c>
      <c r="V141" t="str">
        <f>IF($O141="","",IFERROR(CHOOSE(MATCH($F141,الإعدادات!$B$4:$B$7,0),INDEX('حضور سوريال'!$BM$7:$BM$36,$O141),INDEX('حضور غبريال'!$BM$7:$BM$36,$O141),INDEX('حضور رفائيل'!$BM$7:$BM$36,$O141),INDEX('حضور ميخائيل'!$BM$7:$BM$36,$O141)),""))</f>
        <v/>
      </c>
      <c r="W141" t="str">
        <f>IF(OR(V141=3,V141=4),COUNTIFS(V$6:V141,3)+COUNTIFS(V$6:V141,4),"")</f>
        <v/>
      </c>
    </row>
    <row r="142" spans="1:23" ht="25.5" customHeight="1">
      <c r="A142" s="26" t="str">
        <f t="shared" si="6"/>
        <v/>
      </c>
      <c r="B142" s="27" t="str">
        <f t="shared" si="7"/>
        <v/>
      </c>
      <c r="C142" s="28"/>
      <c r="D142" s="29"/>
      <c r="E142" s="29"/>
      <c r="F142" s="29"/>
      <c r="G142" s="29"/>
      <c r="H142" s="30"/>
      <c r="I142" s="30"/>
      <c r="J142" s="31"/>
      <c r="K142" s="29"/>
      <c r="L142" s="31"/>
      <c r="M142" s="29"/>
      <c r="N142" s="32" t="str">
        <f t="shared" si="8"/>
        <v/>
      </c>
      <c r="O142" s="32" t="str">
        <f>IF(OR(C142="",F142=""),"",COUNTIFS(F$6:F142,F142,C$6:C142,"&lt;&gt;"))</f>
        <v/>
      </c>
      <c r="P142" s="33" t="str">
        <f>IF($O142="","",IFERROR(CHOOSE(MATCH($F142,الإعدادات!$B$4:$B$7,0),INDEX('حضور سوريال'!$C$7:$C$36,$O142),INDEX('حضور غبريال'!$C$7:$C$36,$O142),INDEX('حضور رفائيل'!$C$7:$C$36,$O142),INDEX('حضور ميخائيل'!$C$7:$C$36,$O142)),""))</f>
        <v/>
      </c>
      <c r="Q142" s="33" t="str">
        <f>IF($O142="","",IFERROR(CHOOSE(MATCH($F142,الإعدادات!$B$4:$B$7,0),INDEX('حضور سوريال'!$D$7:$D$36,$O142),INDEX('حضور غبريال'!$D$7:$D$36,$O142),INDEX('حضور رفائيل'!$D$7:$D$36,$O142),INDEX('حضور ميخائيل'!$D$7:$D$36,$O142)),""))</f>
        <v/>
      </c>
      <c r="R142" s="34" t="str">
        <f>IF($O142="","",IFERROR(CHOOSE(MATCH($F142,الإعدادات!$B$4:$B$7,0),INDEX('حضور سوريال'!$F$7:$F$36,$O142),INDEX('حضور غبريال'!$F$7:$F$36,$O142),INDEX('حضور رفائيل'!$F$7:$F$36,$O142),INDEX('حضور ميخائيل'!$F$7:$F$36,$O142)),""))</f>
        <v/>
      </c>
      <c r="S142" s="33" t="str">
        <f>IF($O142="","",IFERROR(CHOOSE(MATCH($F142,الإعدادات!$B$4:$B$7,0),INDEX('حضور سوريال'!$G$7:$G$36,$O142),INDEX('حضور غبريال'!$G$7:$G$36,$O142),INDEX('حضور رفائيل'!$G$7:$G$36,$O142),INDEX('حضور ميخائيل'!$G$7:$G$36,$O142)),""))</f>
        <v/>
      </c>
      <c r="T142" s="35" t="str">
        <f>IF($O142="","",IFERROR(CHOOSE(MATCH($F142,الإعدادات!$B$4:$B$7,0),INDEX('حضور سوريال'!$H$7:$H$36,$O142),INDEX('حضور غبريال'!$H$7:$H$36,$O142),INDEX('حضور رفائيل'!$H$7:$H$36,$O142),INDEX('حضور ميخائيل'!$H$7:$H$36,$O142)),""))</f>
        <v/>
      </c>
      <c r="U142" s="36" t="str">
        <f>IF($O142="","",IFERROR(CHOOSE(MATCH($F142,الإعدادات!$B$4:$B$7,0),INDEX('حضور سوريال'!$I$7:$I$36,$O142),INDEX('حضور غبريال'!$I$7:$I$36,$O142),INDEX('حضور رفائيل'!$I$7:$I$36,$O142),INDEX('حضور ميخائيل'!$I$7:$I$36,$O142)),""))</f>
        <v/>
      </c>
      <c r="V142" t="str">
        <f>IF($O142="","",IFERROR(CHOOSE(MATCH($F142,الإعدادات!$B$4:$B$7,0),INDEX('حضور سوريال'!$BM$7:$BM$36,$O142),INDEX('حضور غبريال'!$BM$7:$BM$36,$O142),INDEX('حضور رفائيل'!$BM$7:$BM$36,$O142),INDEX('حضور ميخائيل'!$BM$7:$BM$36,$O142)),""))</f>
        <v/>
      </c>
      <c r="W142" t="str">
        <f>IF(OR(V142=3,V142=4),COUNTIFS(V$6:V142,3)+COUNTIFS(V$6:V142,4),"")</f>
        <v/>
      </c>
    </row>
    <row r="143" spans="1:23" ht="25.5" customHeight="1">
      <c r="A143" s="26" t="str">
        <f t="shared" si="6"/>
        <v/>
      </c>
      <c r="B143" s="27" t="str">
        <f t="shared" si="7"/>
        <v/>
      </c>
      <c r="C143" s="28"/>
      <c r="D143" s="29"/>
      <c r="E143" s="29"/>
      <c r="F143" s="29"/>
      <c r="G143" s="29"/>
      <c r="H143" s="30"/>
      <c r="I143" s="30"/>
      <c r="J143" s="31"/>
      <c r="K143" s="29"/>
      <c r="L143" s="31"/>
      <c r="M143" s="29"/>
      <c r="N143" s="32" t="str">
        <f t="shared" si="8"/>
        <v/>
      </c>
      <c r="O143" s="32" t="str">
        <f>IF(OR(C143="",F143=""),"",COUNTIFS(F$6:F143,F143,C$6:C143,"&lt;&gt;"))</f>
        <v/>
      </c>
      <c r="P143" s="33" t="str">
        <f>IF($O143="","",IFERROR(CHOOSE(MATCH($F143,الإعدادات!$B$4:$B$7,0),INDEX('حضور سوريال'!$C$7:$C$36,$O143),INDEX('حضور غبريال'!$C$7:$C$36,$O143),INDEX('حضور رفائيل'!$C$7:$C$36,$O143),INDEX('حضور ميخائيل'!$C$7:$C$36,$O143)),""))</f>
        <v/>
      </c>
      <c r="Q143" s="33" t="str">
        <f>IF($O143="","",IFERROR(CHOOSE(MATCH($F143,الإعدادات!$B$4:$B$7,0),INDEX('حضور سوريال'!$D$7:$D$36,$O143),INDEX('حضور غبريال'!$D$7:$D$36,$O143),INDEX('حضور رفائيل'!$D$7:$D$36,$O143),INDEX('حضور ميخائيل'!$D$7:$D$36,$O143)),""))</f>
        <v/>
      </c>
      <c r="R143" s="34" t="str">
        <f>IF($O143="","",IFERROR(CHOOSE(MATCH($F143,الإعدادات!$B$4:$B$7,0),INDEX('حضور سوريال'!$F$7:$F$36,$O143),INDEX('حضور غبريال'!$F$7:$F$36,$O143),INDEX('حضور رفائيل'!$F$7:$F$36,$O143),INDEX('حضور ميخائيل'!$F$7:$F$36,$O143)),""))</f>
        <v/>
      </c>
      <c r="S143" s="33" t="str">
        <f>IF($O143="","",IFERROR(CHOOSE(MATCH($F143,الإعدادات!$B$4:$B$7,0),INDEX('حضور سوريال'!$G$7:$G$36,$O143),INDEX('حضور غبريال'!$G$7:$G$36,$O143),INDEX('حضور رفائيل'!$G$7:$G$36,$O143),INDEX('حضور ميخائيل'!$G$7:$G$36,$O143)),""))</f>
        <v/>
      </c>
      <c r="T143" s="35" t="str">
        <f>IF($O143="","",IFERROR(CHOOSE(MATCH($F143,الإعدادات!$B$4:$B$7,0),INDEX('حضور سوريال'!$H$7:$H$36,$O143),INDEX('حضور غبريال'!$H$7:$H$36,$O143),INDEX('حضور رفائيل'!$H$7:$H$36,$O143),INDEX('حضور ميخائيل'!$H$7:$H$36,$O143)),""))</f>
        <v/>
      </c>
      <c r="U143" s="36" t="str">
        <f>IF($O143="","",IFERROR(CHOOSE(MATCH($F143,الإعدادات!$B$4:$B$7,0),INDEX('حضور سوريال'!$I$7:$I$36,$O143),INDEX('حضور غبريال'!$I$7:$I$36,$O143),INDEX('حضور رفائيل'!$I$7:$I$36,$O143),INDEX('حضور ميخائيل'!$I$7:$I$36,$O143)),""))</f>
        <v/>
      </c>
      <c r="V143" t="str">
        <f>IF($O143="","",IFERROR(CHOOSE(MATCH($F143,الإعدادات!$B$4:$B$7,0),INDEX('حضور سوريال'!$BM$7:$BM$36,$O143),INDEX('حضور غبريال'!$BM$7:$BM$36,$O143),INDEX('حضور رفائيل'!$BM$7:$BM$36,$O143),INDEX('حضور ميخائيل'!$BM$7:$BM$36,$O143)),""))</f>
        <v/>
      </c>
      <c r="W143" t="str">
        <f>IF(OR(V143=3,V143=4),COUNTIFS(V$6:V143,3)+COUNTIFS(V$6:V143,4),"")</f>
        <v/>
      </c>
    </row>
    <row r="144" spans="1:23" ht="25.5" customHeight="1">
      <c r="A144" s="26" t="str">
        <f t="shared" si="6"/>
        <v/>
      </c>
      <c r="B144" s="27" t="str">
        <f t="shared" si="7"/>
        <v/>
      </c>
      <c r="C144" s="28"/>
      <c r="D144" s="29"/>
      <c r="E144" s="29"/>
      <c r="F144" s="29"/>
      <c r="G144" s="29"/>
      <c r="H144" s="30"/>
      <c r="I144" s="30"/>
      <c r="J144" s="31"/>
      <c r="K144" s="29"/>
      <c r="L144" s="31"/>
      <c r="M144" s="29"/>
      <c r="N144" s="32" t="str">
        <f t="shared" si="8"/>
        <v/>
      </c>
      <c r="O144" s="32" t="str">
        <f>IF(OR(C144="",F144=""),"",COUNTIFS(F$6:F144,F144,C$6:C144,"&lt;&gt;"))</f>
        <v/>
      </c>
      <c r="P144" s="33" t="str">
        <f>IF($O144="","",IFERROR(CHOOSE(MATCH($F144,الإعدادات!$B$4:$B$7,0),INDEX('حضور سوريال'!$C$7:$C$36,$O144),INDEX('حضور غبريال'!$C$7:$C$36,$O144),INDEX('حضور رفائيل'!$C$7:$C$36,$O144),INDEX('حضور ميخائيل'!$C$7:$C$36,$O144)),""))</f>
        <v/>
      </c>
      <c r="Q144" s="33" t="str">
        <f>IF($O144="","",IFERROR(CHOOSE(MATCH($F144,الإعدادات!$B$4:$B$7,0),INDEX('حضور سوريال'!$D$7:$D$36,$O144),INDEX('حضور غبريال'!$D$7:$D$36,$O144),INDEX('حضور رفائيل'!$D$7:$D$36,$O144),INDEX('حضور ميخائيل'!$D$7:$D$36,$O144)),""))</f>
        <v/>
      </c>
      <c r="R144" s="34" t="str">
        <f>IF($O144="","",IFERROR(CHOOSE(MATCH($F144,الإعدادات!$B$4:$B$7,0),INDEX('حضور سوريال'!$F$7:$F$36,$O144),INDEX('حضور غبريال'!$F$7:$F$36,$O144),INDEX('حضور رفائيل'!$F$7:$F$36,$O144),INDEX('حضور ميخائيل'!$F$7:$F$36,$O144)),""))</f>
        <v/>
      </c>
      <c r="S144" s="33" t="str">
        <f>IF($O144="","",IFERROR(CHOOSE(MATCH($F144,الإعدادات!$B$4:$B$7,0),INDEX('حضور سوريال'!$G$7:$G$36,$O144),INDEX('حضور غبريال'!$G$7:$G$36,$O144),INDEX('حضور رفائيل'!$G$7:$G$36,$O144),INDEX('حضور ميخائيل'!$G$7:$G$36,$O144)),""))</f>
        <v/>
      </c>
      <c r="T144" s="35" t="str">
        <f>IF($O144="","",IFERROR(CHOOSE(MATCH($F144,الإعدادات!$B$4:$B$7,0),INDEX('حضور سوريال'!$H$7:$H$36,$O144),INDEX('حضور غبريال'!$H$7:$H$36,$O144),INDEX('حضور رفائيل'!$H$7:$H$36,$O144),INDEX('حضور ميخائيل'!$H$7:$H$36,$O144)),""))</f>
        <v/>
      </c>
      <c r="U144" s="36" t="str">
        <f>IF($O144="","",IFERROR(CHOOSE(MATCH($F144,الإعدادات!$B$4:$B$7,0),INDEX('حضور سوريال'!$I$7:$I$36,$O144),INDEX('حضور غبريال'!$I$7:$I$36,$O144),INDEX('حضور رفائيل'!$I$7:$I$36,$O144),INDEX('حضور ميخائيل'!$I$7:$I$36,$O144)),""))</f>
        <v/>
      </c>
      <c r="V144" t="str">
        <f>IF($O144="","",IFERROR(CHOOSE(MATCH($F144,الإعدادات!$B$4:$B$7,0),INDEX('حضور سوريال'!$BM$7:$BM$36,$O144),INDEX('حضور غبريال'!$BM$7:$BM$36,$O144),INDEX('حضور رفائيل'!$BM$7:$BM$36,$O144),INDEX('حضور ميخائيل'!$BM$7:$BM$36,$O144)),""))</f>
        <v/>
      </c>
      <c r="W144" t="str">
        <f>IF(OR(V144=3,V144=4),COUNTIFS(V$6:V144,3)+COUNTIFS(V$6:V144,4),"")</f>
        <v/>
      </c>
    </row>
    <row r="145" spans="1:23" ht="25.5" customHeight="1">
      <c r="A145" s="26" t="str">
        <f t="shared" si="6"/>
        <v/>
      </c>
      <c r="B145" s="27" t="str">
        <f t="shared" si="7"/>
        <v/>
      </c>
      <c r="C145" s="28"/>
      <c r="D145" s="29"/>
      <c r="E145" s="29"/>
      <c r="F145" s="29"/>
      <c r="G145" s="29"/>
      <c r="H145" s="30"/>
      <c r="I145" s="30"/>
      <c r="J145" s="31"/>
      <c r="K145" s="29"/>
      <c r="L145" s="31"/>
      <c r="M145" s="29"/>
      <c r="N145" s="32" t="str">
        <f t="shared" si="8"/>
        <v/>
      </c>
      <c r="O145" s="32" t="str">
        <f>IF(OR(C145="",F145=""),"",COUNTIFS(F$6:F145,F145,C$6:C145,"&lt;&gt;"))</f>
        <v/>
      </c>
      <c r="P145" s="33" t="str">
        <f>IF($O145="","",IFERROR(CHOOSE(MATCH($F145,الإعدادات!$B$4:$B$7,0),INDEX('حضور سوريال'!$C$7:$C$36,$O145),INDEX('حضور غبريال'!$C$7:$C$36,$O145),INDEX('حضور رفائيل'!$C$7:$C$36,$O145),INDEX('حضور ميخائيل'!$C$7:$C$36,$O145)),""))</f>
        <v/>
      </c>
      <c r="Q145" s="33" t="str">
        <f>IF($O145="","",IFERROR(CHOOSE(MATCH($F145,الإعدادات!$B$4:$B$7,0),INDEX('حضور سوريال'!$D$7:$D$36,$O145),INDEX('حضور غبريال'!$D$7:$D$36,$O145),INDEX('حضور رفائيل'!$D$7:$D$36,$O145),INDEX('حضور ميخائيل'!$D$7:$D$36,$O145)),""))</f>
        <v/>
      </c>
      <c r="R145" s="34" t="str">
        <f>IF($O145="","",IFERROR(CHOOSE(MATCH($F145,الإعدادات!$B$4:$B$7,0),INDEX('حضور سوريال'!$F$7:$F$36,$O145),INDEX('حضور غبريال'!$F$7:$F$36,$O145),INDEX('حضور رفائيل'!$F$7:$F$36,$O145),INDEX('حضور ميخائيل'!$F$7:$F$36,$O145)),""))</f>
        <v/>
      </c>
      <c r="S145" s="33" t="str">
        <f>IF($O145="","",IFERROR(CHOOSE(MATCH($F145,الإعدادات!$B$4:$B$7,0),INDEX('حضور سوريال'!$G$7:$G$36,$O145),INDEX('حضور غبريال'!$G$7:$G$36,$O145),INDEX('حضور رفائيل'!$G$7:$G$36,$O145),INDEX('حضور ميخائيل'!$G$7:$G$36,$O145)),""))</f>
        <v/>
      </c>
      <c r="T145" s="35" t="str">
        <f>IF($O145="","",IFERROR(CHOOSE(MATCH($F145,الإعدادات!$B$4:$B$7,0),INDEX('حضور سوريال'!$H$7:$H$36,$O145),INDEX('حضور غبريال'!$H$7:$H$36,$O145),INDEX('حضور رفائيل'!$H$7:$H$36,$O145),INDEX('حضور ميخائيل'!$H$7:$H$36,$O145)),""))</f>
        <v/>
      </c>
      <c r="U145" s="36" t="str">
        <f>IF($O145="","",IFERROR(CHOOSE(MATCH($F145,الإعدادات!$B$4:$B$7,0),INDEX('حضور سوريال'!$I$7:$I$36,$O145),INDEX('حضور غبريال'!$I$7:$I$36,$O145),INDEX('حضور رفائيل'!$I$7:$I$36,$O145),INDEX('حضور ميخائيل'!$I$7:$I$36,$O145)),""))</f>
        <v/>
      </c>
      <c r="V145" t="str">
        <f>IF($O145="","",IFERROR(CHOOSE(MATCH($F145,الإعدادات!$B$4:$B$7,0),INDEX('حضور سوريال'!$BM$7:$BM$36,$O145),INDEX('حضور غبريال'!$BM$7:$BM$36,$O145),INDEX('حضور رفائيل'!$BM$7:$BM$36,$O145),INDEX('حضور ميخائيل'!$BM$7:$BM$36,$O145)),""))</f>
        <v/>
      </c>
      <c r="W145" t="str">
        <f>IF(OR(V145=3,V145=4),COUNTIFS(V$6:V145,3)+COUNTIFS(V$6:V145,4),"")</f>
        <v/>
      </c>
    </row>
    <row r="146" spans="1:23" ht="25.5" customHeight="1">
      <c r="A146" s="26" t="str">
        <f t="shared" si="6"/>
        <v/>
      </c>
      <c r="B146" s="27" t="str">
        <f t="shared" si="7"/>
        <v/>
      </c>
      <c r="C146" s="28"/>
      <c r="D146" s="29"/>
      <c r="E146" s="29"/>
      <c r="F146" s="29"/>
      <c r="G146" s="29"/>
      <c r="H146" s="30"/>
      <c r="I146" s="30"/>
      <c r="J146" s="31"/>
      <c r="K146" s="29"/>
      <c r="L146" s="31"/>
      <c r="M146" s="29"/>
      <c r="N146" s="32" t="str">
        <f t="shared" si="8"/>
        <v/>
      </c>
      <c r="O146" s="32" t="str">
        <f>IF(OR(C146="",F146=""),"",COUNTIFS(F$6:F146,F146,C$6:C146,"&lt;&gt;"))</f>
        <v/>
      </c>
      <c r="P146" s="33" t="str">
        <f>IF($O146="","",IFERROR(CHOOSE(MATCH($F146,الإعدادات!$B$4:$B$7,0),INDEX('حضور سوريال'!$C$7:$C$36,$O146),INDEX('حضور غبريال'!$C$7:$C$36,$O146),INDEX('حضور رفائيل'!$C$7:$C$36,$O146),INDEX('حضور ميخائيل'!$C$7:$C$36,$O146)),""))</f>
        <v/>
      </c>
      <c r="Q146" s="33" t="str">
        <f>IF($O146="","",IFERROR(CHOOSE(MATCH($F146,الإعدادات!$B$4:$B$7,0),INDEX('حضور سوريال'!$D$7:$D$36,$O146),INDEX('حضور غبريال'!$D$7:$D$36,$O146),INDEX('حضور رفائيل'!$D$7:$D$36,$O146),INDEX('حضور ميخائيل'!$D$7:$D$36,$O146)),""))</f>
        <v/>
      </c>
      <c r="R146" s="34" t="str">
        <f>IF($O146="","",IFERROR(CHOOSE(MATCH($F146,الإعدادات!$B$4:$B$7,0),INDEX('حضور سوريال'!$F$7:$F$36,$O146),INDEX('حضور غبريال'!$F$7:$F$36,$O146),INDEX('حضور رفائيل'!$F$7:$F$36,$O146),INDEX('حضور ميخائيل'!$F$7:$F$36,$O146)),""))</f>
        <v/>
      </c>
      <c r="S146" s="33" t="str">
        <f>IF($O146="","",IFERROR(CHOOSE(MATCH($F146,الإعدادات!$B$4:$B$7,0),INDEX('حضور سوريال'!$G$7:$G$36,$O146),INDEX('حضور غبريال'!$G$7:$G$36,$O146),INDEX('حضور رفائيل'!$G$7:$G$36,$O146),INDEX('حضور ميخائيل'!$G$7:$G$36,$O146)),""))</f>
        <v/>
      </c>
      <c r="T146" s="35" t="str">
        <f>IF($O146="","",IFERROR(CHOOSE(MATCH($F146,الإعدادات!$B$4:$B$7,0),INDEX('حضور سوريال'!$H$7:$H$36,$O146),INDEX('حضور غبريال'!$H$7:$H$36,$O146),INDEX('حضور رفائيل'!$H$7:$H$36,$O146),INDEX('حضور ميخائيل'!$H$7:$H$36,$O146)),""))</f>
        <v/>
      </c>
      <c r="U146" s="36" t="str">
        <f>IF($O146="","",IFERROR(CHOOSE(MATCH($F146,الإعدادات!$B$4:$B$7,0),INDEX('حضور سوريال'!$I$7:$I$36,$O146),INDEX('حضور غبريال'!$I$7:$I$36,$O146),INDEX('حضور رفائيل'!$I$7:$I$36,$O146),INDEX('حضور ميخائيل'!$I$7:$I$36,$O146)),""))</f>
        <v/>
      </c>
      <c r="V146" t="str">
        <f>IF($O146="","",IFERROR(CHOOSE(MATCH($F146,الإعدادات!$B$4:$B$7,0),INDEX('حضور سوريال'!$BM$7:$BM$36,$O146),INDEX('حضور غبريال'!$BM$7:$BM$36,$O146),INDEX('حضور رفائيل'!$BM$7:$BM$36,$O146),INDEX('حضور ميخائيل'!$BM$7:$BM$36,$O146)),""))</f>
        <v/>
      </c>
      <c r="W146" t="str">
        <f>IF(OR(V146=3,V146=4),COUNTIFS(V$6:V146,3)+COUNTIFS(V$6:V146,4),"")</f>
        <v/>
      </c>
    </row>
    <row r="147" spans="1:23" ht="25.5" customHeight="1">
      <c r="A147" s="26" t="str">
        <f t="shared" si="6"/>
        <v/>
      </c>
      <c r="B147" s="27" t="str">
        <f t="shared" si="7"/>
        <v/>
      </c>
      <c r="C147" s="28"/>
      <c r="D147" s="29"/>
      <c r="E147" s="29"/>
      <c r="F147" s="29"/>
      <c r="G147" s="29"/>
      <c r="H147" s="30"/>
      <c r="I147" s="30"/>
      <c r="J147" s="31"/>
      <c r="K147" s="29"/>
      <c r="L147" s="31"/>
      <c r="M147" s="29"/>
      <c r="N147" s="32" t="str">
        <f t="shared" si="8"/>
        <v/>
      </c>
      <c r="O147" s="32" t="str">
        <f>IF(OR(C147="",F147=""),"",COUNTIFS(F$6:F147,F147,C$6:C147,"&lt;&gt;"))</f>
        <v/>
      </c>
      <c r="P147" s="33" t="str">
        <f>IF($O147="","",IFERROR(CHOOSE(MATCH($F147,الإعدادات!$B$4:$B$7,0),INDEX('حضور سوريال'!$C$7:$C$36,$O147),INDEX('حضور غبريال'!$C$7:$C$36,$O147),INDEX('حضور رفائيل'!$C$7:$C$36,$O147),INDEX('حضور ميخائيل'!$C$7:$C$36,$O147)),""))</f>
        <v/>
      </c>
      <c r="Q147" s="33" t="str">
        <f>IF($O147="","",IFERROR(CHOOSE(MATCH($F147,الإعدادات!$B$4:$B$7,0),INDEX('حضور سوريال'!$D$7:$D$36,$O147),INDEX('حضور غبريال'!$D$7:$D$36,$O147),INDEX('حضور رفائيل'!$D$7:$D$36,$O147),INDEX('حضور ميخائيل'!$D$7:$D$36,$O147)),""))</f>
        <v/>
      </c>
      <c r="R147" s="34" t="str">
        <f>IF($O147="","",IFERROR(CHOOSE(MATCH($F147,الإعدادات!$B$4:$B$7,0),INDEX('حضور سوريال'!$F$7:$F$36,$O147),INDEX('حضور غبريال'!$F$7:$F$36,$O147),INDEX('حضور رفائيل'!$F$7:$F$36,$O147),INDEX('حضور ميخائيل'!$F$7:$F$36,$O147)),""))</f>
        <v/>
      </c>
      <c r="S147" s="33" t="str">
        <f>IF($O147="","",IFERROR(CHOOSE(MATCH($F147,الإعدادات!$B$4:$B$7,0),INDEX('حضور سوريال'!$G$7:$G$36,$O147),INDEX('حضور غبريال'!$G$7:$G$36,$O147),INDEX('حضور رفائيل'!$G$7:$G$36,$O147),INDEX('حضور ميخائيل'!$G$7:$G$36,$O147)),""))</f>
        <v/>
      </c>
      <c r="T147" s="35" t="str">
        <f>IF($O147="","",IFERROR(CHOOSE(MATCH($F147,الإعدادات!$B$4:$B$7,0),INDEX('حضور سوريال'!$H$7:$H$36,$O147),INDEX('حضور غبريال'!$H$7:$H$36,$O147),INDEX('حضور رفائيل'!$H$7:$H$36,$O147),INDEX('حضور ميخائيل'!$H$7:$H$36,$O147)),""))</f>
        <v/>
      </c>
      <c r="U147" s="36" t="str">
        <f>IF($O147="","",IFERROR(CHOOSE(MATCH($F147,الإعدادات!$B$4:$B$7,0),INDEX('حضور سوريال'!$I$7:$I$36,$O147),INDEX('حضور غبريال'!$I$7:$I$36,$O147),INDEX('حضور رفائيل'!$I$7:$I$36,$O147),INDEX('حضور ميخائيل'!$I$7:$I$36,$O147)),""))</f>
        <v/>
      </c>
      <c r="V147" t="str">
        <f>IF($O147="","",IFERROR(CHOOSE(MATCH($F147,الإعدادات!$B$4:$B$7,0),INDEX('حضور سوريال'!$BM$7:$BM$36,$O147),INDEX('حضور غبريال'!$BM$7:$BM$36,$O147),INDEX('حضور رفائيل'!$BM$7:$BM$36,$O147),INDEX('حضور ميخائيل'!$BM$7:$BM$36,$O147)),""))</f>
        <v/>
      </c>
      <c r="W147" t="str">
        <f>IF(OR(V147=3,V147=4),COUNTIFS(V$6:V147,3)+COUNTIFS(V$6:V147,4),"")</f>
        <v/>
      </c>
    </row>
    <row r="148" spans="1:23" ht="25.5" customHeight="1">
      <c r="A148" s="26" t="str">
        <f t="shared" si="6"/>
        <v/>
      </c>
      <c r="B148" s="27" t="str">
        <f t="shared" si="7"/>
        <v/>
      </c>
      <c r="C148" s="28"/>
      <c r="D148" s="29"/>
      <c r="E148" s="29"/>
      <c r="F148" s="29"/>
      <c r="G148" s="29"/>
      <c r="H148" s="30"/>
      <c r="I148" s="30"/>
      <c r="J148" s="31"/>
      <c r="K148" s="29"/>
      <c r="L148" s="31"/>
      <c r="M148" s="29"/>
      <c r="N148" s="32" t="str">
        <f t="shared" si="8"/>
        <v/>
      </c>
      <c r="O148" s="32" t="str">
        <f>IF(OR(C148="",F148=""),"",COUNTIFS(F$6:F148,F148,C$6:C148,"&lt;&gt;"))</f>
        <v/>
      </c>
      <c r="P148" s="33" t="str">
        <f>IF($O148="","",IFERROR(CHOOSE(MATCH($F148,الإعدادات!$B$4:$B$7,0),INDEX('حضور سوريال'!$C$7:$C$36,$O148),INDEX('حضور غبريال'!$C$7:$C$36,$O148),INDEX('حضور رفائيل'!$C$7:$C$36,$O148),INDEX('حضور ميخائيل'!$C$7:$C$36,$O148)),""))</f>
        <v/>
      </c>
      <c r="Q148" s="33" t="str">
        <f>IF($O148="","",IFERROR(CHOOSE(MATCH($F148,الإعدادات!$B$4:$B$7,0),INDEX('حضور سوريال'!$D$7:$D$36,$O148),INDEX('حضور غبريال'!$D$7:$D$36,$O148),INDEX('حضور رفائيل'!$D$7:$D$36,$O148),INDEX('حضور ميخائيل'!$D$7:$D$36,$O148)),""))</f>
        <v/>
      </c>
      <c r="R148" s="34" t="str">
        <f>IF($O148="","",IFERROR(CHOOSE(MATCH($F148,الإعدادات!$B$4:$B$7,0),INDEX('حضور سوريال'!$F$7:$F$36,$O148),INDEX('حضور غبريال'!$F$7:$F$36,$O148),INDEX('حضور رفائيل'!$F$7:$F$36,$O148),INDEX('حضور ميخائيل'!$F$7:$F$36,$O148)),""))</f>
        <v/>
      </c>
      <c r="S148" s="33" t="str">
        <f>IF($O148="","",IFERROR(CHOOSE(MATCH($F148,الإعدادات!$B$4:$B$7,0),INDEX('حضور سوريال'!$G$7:$G$36,$O148),INDEX('حضور غبريال'!$G$7:$G$36,$O148),INDEX('حضور رفائيل'!$G$7:$G$36,$O148),INDEX('حضور ميخائيل'!$G$7:$G$36,$O148)),""))</f>
        <v/>
      </c>
      <c r="T148" s="35" t="str">
        <f>IF($O148="","",IFERROR(CHOOSE(MATCH($F148,الإعدادات!$B$4:$B$7,0),INDEX('حضور سوريال'!$H$7:$H$36,$O148),INDEX('حضور غبريال'!$H$7:$H$36,$O148),INDEX('حضور رفائيل'!$H$7:$H$36,$O148),INDEX('حضور ميخائيل'!$H$7:$H$36,$O148)),""))</f>
        <v/>
      </c>
      <c r="U148" s="36" t="str">
        <f>IF($O148="","",IFERROR(CHOOSE(MATCH($F148,الإعدادات!$B$4:$B$7,0),INDEX('حضور سوريال'!$I$7:$I$36,$O148),INDEX('حضور غبريال'!$I$7:$I$36,$O148),INDEX('حضور رفائيل'!$I$7:$I$36,$O148),INDEX('حضور ميخائيل'!$I$7:$I$36,$O148)),""))</f>
        <v/>
      </c>
      <c r="V148" t="str">
        <f>IF($O148="","",IFERROR(CHOOSE(MATCH($F148,الإعدادات!$B$4:$B$7,0),INDEX('حضور سوريال'!$BM$7:$BM$36,$O148),INDEX('حضور غبريال'!$BM$7:$BM$36,$O148),INDEX('حضور رفائيل'!$BM$7:$BM$36,$O148),INDEX('حضور ميخائيل'!$BM$7:$BM$36,$O148)),""))</f>
        <v/>
      </c>
      <c r="W148" t="str">
        <f>IF(OR(V148=3,V148=4),COUNTIFS(V$6:V148,3)+COUNTIFS(V$6:V148,4),"")</f>
        <v/>
      </c>
    </row>
    <row r="149" spans="1:23" ht="25.5" customHeight="1">
      <c r="A149" s="26" t="str">
        <f t="shared" si="6"/>
        <v/>
      </c>
      <c r="B149" s="27" t="str">
        <f t="shared" si="7"/>
        <v/>
      </c>
      <c r="C149" s="28"/>
      <c r="D149" s="29"/>
      <c r="E149" s="29"/>
      <c r="F149" s="29"/>
      <c r="G149" s="29"/>
      <c r="H149" s="30"/>
      <c r="I149" s="30"/>
      <c r="J149" s="31"/>
      <c r="K149" s="29"/>
      <c r="L149" s="31"/>
      <c r="M149" s="29"/>
      <c r="N149" s="32" t="str">
        <f t="shared" si="8"/>
        <v/>
      </c>
      <c r="O149" s="32" t="str">
        <f>IF(OR(C149="",F149=""),"",COUNTIFS(F$6:F149,F149,C$6:C149,"&lt;&gt;"))</f>
        <v/>
      </c>
      <c r="P149" s="33" t="str">
        <f>IF($O149="","",IFERROR(CHOOSE(MATCH($F149,الإعدادات!$B$4:$B$7,0),INDEX('حضور سوريال'!$C$7:$C$36,$O149),INDEX('حضور غبريال'!$C$7:$C$36,$O149),INDEX('حضور رفائيل'!$C$7:$C$36,$O149),INDEX('حضور ميخائيل'!$C$7:$C$36,$O149)),""))</f>
        <v/>
      </c>
      <c r="Q149" s="33" t="str">
        <f>IF($O149="","",IFERROR(CHOOSE(MATCH($F149,الإعدادات!$B$4:$B$7,0),INDEX('حضور سوريال'!$D$7:$D$36,$O149),INDEX('حضور غبريال'!$D$7:$D$36,$O149),INDEX('حضور رفائيل'!$D$7:$D$36,$O149),INDEX('حضور ميخائيل'!$D$7:$D$36,$O149)),""))</f>
        <v/>
      </c>
      <c r="R149" s="34" t="str">
        <f>IF($O149="","",IFERROR(CHOOSE(MATCH($F149,الإعدادات!$B$4:$B$7,0),INDEX('حضور سوريال'!$F$7:$F$36,$O149),INDEX('حضور غبريال'!$F$7:$F$36,$O149),INDEX('حضور رفائيل'!$F$7:$F$36,$O149),INDEX('حضور ميخائيل'!$F$7:$F$36,$O149)),""))</f>
        <v/>
      </c>
      <c r="S149" s="33" t="str">
        <f>IF($O149="","",IFERROR(CHOOSE(MATCH($F149,الإعدادات!$B$4:$B$7,0),INDEX('حضور سوريال'!$G$7:$G$36,$O149),INDEX('حضور غبريال'!$G$7:$G$36,$O149),INDEX('حضور رفائيل'!$G$7:$G$36,$O149),INDEX('حضور ميخائيل'!$G$7:$G$36,$O149)),""))</f>
        <v/>
      </c>
      <c r="T149" s="35" t="str">
        <f>IF($O149="","",IFERROR(CHOOSE(MATCH($F149,الإعدادات!$B$4:$B$7,0),INDEX('حضور سوريال'!$H$7:$H$36,$O149),INDEX('حضور غبريال'!$H$7:$H$36,$O149),INDEX('حضور رفائيل'!$H$7:$H$36,$O149),INDEX('حضور ميخائيل'!$H$7:$H$36,$O149)),""))</f>
        <v/>
      </c>
      <c r="U149" s="36" t="str">
        <f>IF($O149="","",IFERROR(CHOOSE(MATCH($F149,الإعدادات!$B$4:$B$7,0),INDEX('حضور سوريال'!$I$7:$I$36,$O149),INDEX('حضور غبريال'!$I$7:$I$36,$O149),INDEX('حضور رفائيل'!$I$7:$I$36,$O149),INDEX('حضور ميخائيل'!$I$7:$I$36,$O149)),""))</f>
        <v/>
      </c>
      <c r="V149" t="str">
        <f>IF($O149="","",IFERROR(CHOOSE(MATCH($F149,الإعدادات!$B$4:$B$7,0),INDEX('حضور سوريال'!$BM$7:$BM$36,$O149),INDEX('حضور غبريال'!$BM$7:$BM$36,$O149),INDEX('حضور رفائيل'!$BM$7:$BM$36,$O149),INDEX('حضور ميخائيل'!$BM$7:$BM$36,$O149)),""))</f>
        <v/>
      </c>
      <c r="W149" t="str">
        <f>IF(OR(V149=3,V149=4),COUNTIFS(V$6:V149,3)+COUNTIFS(V$6:V149,4),"")</f>
        <v/>
      </c>
    </row>
    <row r="150" spans="1:23" ht="25.5" customHeight="1">
      <c r="A150" s="26" t="str">
        <f t="shared" si="6"/>
        <v/>
      </c>
      <c r="B150" s="27" t="str">
        <f t="shared" si="7"/>
        <v/>
      </c>
      <c r="C150" s="28"/>
      <c r="D150" s="29"/>
      <c r="E150" s="29"/>
      <c r="F150" s="29"/>
      <c r="G150" s="29"/>
      <c r="H150" s="30"/>
      <c r="I150" s="30"/>
      <c r="J150" s="31"/>
      <c r="K150" s="29"/>
      <c r="L150" s="31"/>
      <c r="M150" s="29"/>
      <c r="N150" s="32" t="str">
        <f t="shared" si="8"/>
        <v/>
      </c>
      <c r="O150" s="32" t="str">
        <f>IF(OR(C150="",F150=""),"",COUNTIFS(F$6:F150,F150,C$6:C150,"&lt;&gt;"))</f>
        <v/>
      </c>
      <c r="P150" s="33" t="str">
        <f>IF($O150="","",IFERROR(CHOOSE(MATCH($F150,الإعدادات!$B$4:$B$7,0),INDEX('حضور سوريال'!$C$7:$C$36,$O150),INDEX('حضور غبريال'!$C$7:$C$36,$O150),INDEX('حضور رفائيل'!$C$7:$C$36,$O150),INDEX('حضور ميخائيل'!$C$7:$C$36,$O150)),""))</f>
        <v/>
      </c>
      <c r="Q150" s="33" t="str">
        <f>IF($O150="","",IFERROR(CHOOSE(MATCH($F150,الإعدادات!$B$4:$B$7,0),INDEX('حضور سوريال'!$D$7:$D$36,$O150),INDEX('حضور غبريال'!$D$7:$D$36,$O150),INDEX('حضور رفائيل'!$D$7:$D$36,$O150),INDEX('حضور ميخائيل'!$D$7:$D$36,$O150)),""))</f>
        <v/>
      </c>
      <c r="R150" s="34" t="str">
        <f>IF($O150="","",IFERROR(CHOOSE(MATCH($F150,الإعدادات!$B$4:$B$7,0),INDEX('حضور سوريال'!$F$7:$F$36,$O150),INDEX('حضور غبريال'!$F$7:$F$36,$O150),INDEX('حضور رفائيل'!$F$7:$F$36,$O150),INDEX('حضور ميخائيل'!$F$7:$F$36,$O150)),""))</f>
        <v/>
      </c>
      <c r="S150" s="33" t="str">
        <f>IF($O150="","",IFERROR(CHOOSE(MATCH($F150,الإعدادات!$B$4:$B$7,0),INDEX('حضور سوريال'!$G$7:$G$36,$O150),INDEX('حضور غبريال'!$G$7:$G$36,$O150),INDEX('حضور رفائيل'!$G$7:$G$36,$O150),INDEX('حضور ميخائيل'!$G$7:$G$36,$O150)),""))</f>
        <v/>
      </c>
      <c r="T150" s="35" t="str">
        <f>IF($O150="","",IFERROR(CHOOSE(MATCH($F150,الإعدادات!$B$4:$B$7,0),INDEX('حضور سوريال'!$H$7:$H$36,$O150),INDEX('حضور غبريال'!$H$7:$H$36,$O150),INDEX('حضور رفائيل'!$H$7:$H$36,$O150),INDEX('حضور ميخائيل'!$H$7:$H$36,$O150)),""))</f>
        <v/>
      </c>
      <c r="U150" s="36" t="str">
        <f>IF($O150="","",IFERROR(CHOOSE(MATCH($F150,الإعدادات!$B$4:$B$7,0),INDEX('حضور سوريال'!$I$7:$I$36,$O150),INDEX('حضور غبريال'!$I$7:$I$36,$O150),INDEX('حضور رفائيل'!$I$7:$I$36,$O150),INDEX('حضور ميخائيل'!$I$7:$I$36,$O150)),""))</f>
        <v/>
      </c>
      <c r="V150" t="str">
        <f>IF($O150="","",IFERROR(CHOOSE(MATCH($F150,الإعدادات!$B$4:$B$7,0),INDEX('حضور سوريال'!$BM$7:$BM$36,$O150),INDEX('حضور غبريال'!$BM$7:$BM$36,$O150),INDEX('حضور رفائيل'!$BM$7:$BM$36,$O150),INDEX('حضور ميخائيل'!$BM$7:$BM$36,$O150)),""))</f>
        <v/>
      </c>
      <c r="W150" t="str">
        <f>IF(OR(V150=3,V150=4),COUNTIFS(V$6:V150,3)+COUNTIFS(V$6:V150,4),"")</f>
        <v/>
      </c>
    </row>
    <row r="151" spans="1:23" ht="25.5" customHeight="1">
      <c r="A151" s="26" t="str">
        <f t="shared" si="6"/>
        <v/>
      </c>
      <c r="B151" s="27" t="str">
        <f t="shared" si="7"/>
        <v/>
      </c>
      <c r="C151" s="28"/>
      <c r="D151" s="29"/>
      <c r="E151" s="29"/>
      <c r="F151" s="29"/>
      <c r="G151" s="29"/>
      <c r="H151" s="30"/>
      <c r="I151" s="30"/>
      <c r="J151" s="31"/>
      <c r="K151" s="29"/>
      <c r="L151" s="31"/>
      <c r="M151" s="29"/>
      <c r="N151" s="32" t="str">
        <f t="shared" si="8"/>
        <v/>
      </c>
      <c r="O151" s="32" t="str">
        <f>IF(OR(C151="",F151=""),"",COUNTIFS(F$6:F151,F151,C$6:C151,"&lt;&gt;"))</f>
        <v/>
      </c>
      <c r="P151" s="33" t="str">
        <f>IF($O151="","",IFERROR(CHOOSE(MATCH($F151,الإعدادات!$B$4:$B$7,0),INDEX('حضور سوريال'!$C$7:$C$36,$O151),INDEX('حضور غبريال'!$C$7:$C$36,$O151),INDEX('حضور رفائيل'!$C$7:$C$36,$O151),INDEX('حضور ميخائيل'!$C$7:$C$36,$O151)),""))</f>
        <v/>
      </c>
      <c r="Q151" s="33" t="str">
        <f>IF($O151="","",IFERROR(CHOOSE(MATCH($F151,الإعدادات!$B$4:$B$7,0),INDEX('حضور سوريال'!$D$7:$D$36,$O151),INDEX('حضور غبريال'!$D$7:$D$36,$O151),INDEX('حضور رفائيل'!$D$7:$D$36,$O151),INDEX('حضور ميخائيل'!$D$7:$D$36,$O151)),""))</f>
        <v/>
      </c>
      <c r="R151" s="34" t="str">
        <f>IF($O151="","",IFERROR(CHOOSE(MATCH($F151,الإعدادات!$B$4:$B$7,0),INDEX('حضور سوريال'!$F$7:$F$36,$O151),INDEX('حضور غبريال'!$F$7:$F$36,$O151),INDEX('حضور رفائيل'!$F$7:$F$36,$O151),INDEX('حضور ميخائيل'!$F$7:$F$36,$O151)),""))</f>
        <v/>
      </c>
      <c r="S151" s="33" t="str">
        <f>IF($O151="","",IFERROR(CHOOSE(MATCH($F151,الإعدادات!$B$4:$B$7,0),INDEX('حضور سوريال'!$G$7:$G$36,$O151),INDEX('حضور غبريال'!$G$7:$G$36,$O151),INDEX('حضور رفائيل'!$G$7:$G$36,$O151),INDEX('حضور ميخائيل'!$G$7:$G$36,$O151)),""))</f>
        <v/>
      </c>
      <c r="T151" s="35" t="str">
        <f>IF($O151="","",IFERROR(CHOOSE(MATCH($F151,الإعدادات!$B$4:$B$7,0),INDEX('حضور سوريال'!$H$7:$H$36,$O151),INDEX('حضور غبريال'!$H$7:$H$36,$O151),INDEX('حضور رفائيل'!$H$7:$H$36,$O151),INDEX('حضور ميخائيل'!$H$7:$H$36,$O151)),""))</f>
        <v/>
      </c>
      <c r="U151" s="36" t="str">
        <f>IF($O151="","",IFERROR(CHOOSE(MATCH($F151,الإعدادات!$B$4:$B$7,0),INDEX('حضور سوريال'!$I$7:$I$36,$O151),INDEX('حضور غبريال'!$I$7:$I$36,$O151),INDEX('حضور رفائيل'!$I$7:$I$36,$O151),INDEX('حضور ميخائيل'!$I$7:$I$36,$O151)),""))</f>
        <v/>
      </c>
      <c r="V151" t="str">
        <f>IF($O151="","",IFERROR(CHOOSE(MATCH($F151,الإعدادات!$B$4:$B$7,0),INDEX('حضور سوريال'!$BM$7:$BM$36,$O151),INDEX('حضور غبريال'!$BM$7:$BM$36,$O151),INDEX('حضور رفائيل'!$BM$7:$BM$36,$O151),INDEX('حضور ميخائيل'!$BM$7:$BM$36,$O151)),""))</f>
        <v/>
      </c>
      <c r="W151" t="str">
        <f>IF(OR(V151=3,V151=4),COUNTIFS(V$6:V151,3)+COUNTIFS(V$6:V151,4),"")</f>
        <v/>
      </c>
    </row>
    <row r="152" spans="1:23" ht="25.5" customHeight="1">
      <c r="A152" s="26" t="str">
        <f t="shared" si="6"/>
        <v/>
      </c>
      <c r="B152" s="27" t="str">
        <f t="shared" si="7"/>
        <v/>
      </c>
      <c r="C152" s="28"/>
      <c r="D152" s="29"/>
      <c r="E152" s="29"/>
      <c r="F152" s="29"/>
      <c r="G152" s="29"/>
      <c r="H152" s="30"/>
      <c r="I152" s="30"/>
      <c r="J152" s="31"/>
      <c r="K152" s="29"/>
      <c r="L152" s="31"/>
      <c r="M152" s="29"/>
      <c r="N152" s="32" t="str">
        <f t="shared" si="8"/>
        <v/>
      </c>
      <c r="O152" s="32" t="str">
        <f>IF(OR(C152="",F152=""),"",COUNTIFS(F$6:F152,F152,C$6:C152,"&lt;&gt;"))</f>
        <v/>
      </c>
      <c r="P152" s="33" t="str">
        <f>IF($O152="","",IFERROR(CHOOSE(MATCH($F152,الإعدادات!$B$4:$B$7,0),INDEX('حضور سوريال'!$C$7:$C$36,$O152),INDEX('حضور غبريال'!$C$7:$C$36,$O152),INDEX('حضور رفائيل'!$C$7:$C$36,$O152),INDEX('حضور ميخائيل'!$C$7:$C$36,$O152)),""))</f>
        <v/>
      </c>
      <c r="Q152" s="33" t="str">
        <f>IF($O152="","",IFERROR(CHOOSE(MATCH($F152,الإعدادات!$B$4:$B$7,0),INDEX('حضور سوريال'!$D$7:$D$36,$O152),INDEX('حضور غبريال'!$D$7:$D$36,$O152),INDEX('حضور رفائيل'!$D$7:$D$36,$O152),INDEX('حضور ميخائيل'!$D$7:$D$36,$O152)),""))</f>
        <v/>
      </c>
      <c r="R152" s="34" t="str">
        <f>IF($O152="","",IFERROR(CHOOSE(MATCH($F152,الإعدادات!$B$4:$B$7,0),INDEX('حضور سوريال'!$F$7:$F$36,$O152),INDEX('حضور غبريال'!$F$7:$F$36,$O152),INDEX('حضور رفائيل'!$F$7:$F$36,$O152),INDEX('حضور ميخائيل'!$F$7:$F$36,$O152)),""))</f>
        <v/>
      </c>
      <c r="S152" s="33" t="str">
        <f>IF($O152="","",IFERROR(CHOOSE(MATCH($F152,الإعدادات!$B$4:$B$7,0),INDEX('حضور سوريال'!$G$7:$G$36,$O152),INDEX('حضور غبريال'!$G$7:$G$36,$O152),INDEX('حضور رفائيل'!$G$7:$G$36,$O152),INDEX('حضور ميخائيل'!$G$7:$G$36,$O152)),""))</f>
        <v/>
      </c>
      <c r="T152" s="35" t="str">
        <f>IF($O152="","",IFERROR(CHOOSE(MATCH($F152,الإعدادات!$B$4:$B$7,0),INDEX('حضور سوريال'!$H$7:$H$36,$O152),INDEX('حضور غبريال'!$H$7:$H$36,$O152),INDEX('حضور رفائيل'!$H$7:$H$36,$O152),INDEX('حضور ميخائيل'!$H$7:$H$36,$O152)),""))</f>
        <v/>
      </c>
      <c r="U152" s="36" t="str">
        <f>IF($O152="","",IFERROR(CHOOSE(MATCH($F152,الإعدادات!$B$4:$B$7,0),INDEX('حضور سوريال'!$I$7:$I$36,$O152),INDEX('حضور غبريال'!$I$7:$I$36,$O152),INDEX('حضور رفائيل'!$I$7:$I$36,$O152),INDEX('حضور ميخائيل'!$I$7:$I$36,$O152)),""))</f>
        <v/>
      </c>
      <c r="V152" t="str">
        <f>IF($O152="","",IFERROR(CHOOSE(MATCH($F152,الإعدادات!$B$4:$B$7,0),INDEX('حضور سوريال'!$BM$7:$BM$36,$O152),INDEX('حضور غبريال'!$BM$7:$BM$36,$O152),INDEX('حضور رفائيل'!$BM$7:$BM$36,$O152),INDEX('حضور ميخائيل'!$BM$7:$BM$36,$O152)),""))</f>
        <v/>
      </c>
      <c r="W152" t="str">
        <f>IF(OR(V152=3,V152=4),COUNTIFS(V$6:V152,3)+COUNTIFS(V$6:V152,4),"")</f>
        <v/>
      </c>
    </row>
    <row r="153" spans="1:23" ht="25.5" customHeight="1">
      <c r="A153" s="26" t="str">
        <f t="shared" si="6"/>
        <v/>
      </c>
      <c r="B153" s="27" t="str">
        <f t="shared" si="7"/>
        <v/>
      </c>
      <c r="C153" s="28"/>
      <c r="D153" s="29"/>
      <c r="E153" s="29"/>
      <c r="F153" s="29"/>
      <c r="G153" s="29"/>
      <c r="H153" s="30"/>
      <c r="I153" s="30"/>
      <c r="J153" s="31"/>
      <c r="K153" s="29"/>
      <c r="L153" s="31"/>
      <c r="M153" s="29"/>
      <c r="N153" s="32" t="str">
        <f t="shared" si="8"/>
        <v/>
      </c>
      <c r="O153" s="32" t="str">
        <f>IF(OR(C153="",F153=""),"",COUNTIFS(F$6:F153,F153,C$6:C153,"&lt;&gt;"))</f>
        <v/>
      </c>
      <c r="P153" s="33" t="str">
        <f>IF($O153="","",IFERROR(CHOOSE(MATCH($F153,الإعدادات!$B$4:$B$7,0),INDEX('حضور سوريال'!$C$7:$C$36,$O153),INDEX('حضور غبريال'!$C$7:$C$36,$O153),INDEX('حضور رفائيل'!$C$7:$C$36,$O153),INDEX('حضور ميخائيل'!$C$7:$C$36,$O153)),""))</f>
        <v/>
      </c>
      <c r="Q153" s="33" t="str">
        <f>IF($O153="","",IFERROR(CHOOSE(MATCH($F153,الإعدادات!$B$4:$B$7,0),INDEX('حضور سوريال'!$D$7:$D$36,$O153),INDEX('حضور غبريال'!$D$7:$D$36,$O153),INDEX('حضور رفائيل'!$D$7:$D$36,$O153),INDEX('حضور ميخائيل'!$D$7:$D$36,$O153)),""))</f>
        <v/>
      </c>
      <c r="R153" s="34" t="str">
        <f>IF($O153="","",IFERROR(CHOOSE(MATCH($F153,الإعدادات!$B$4:$B$7,0),INDEX('حضور سوريال'!$F$7:$F$36,$O153),INDEX('حضور غبريال'!$F$7:$F$36,$O153),INDEX('حضور رفائيل'!$F$7:$F$36,$O153),INDEX('حضور ميخائيل'!$F$7:$F$36,$O153)),""))</f>
        <v/>
      </c>
      <c r="S153" s="33" t="str">
        <f>IF($O153="","",IFERROR(CHOOSE(MATCH($F153,الإعدادات!$B$4:$B$7,0),INDEX('حضور سوريال'!$G$7:$G$36,$O153),INDEX('حضور غبريال'!$G$7:$G$36,$O153),INDEX('حضور رفائيل'!$G$7:$G$36,$O153),INDEX('حضور ميخائيل'!$G$7:$G$36,$O153)),""))</f>
        <v/>
      </c>
      <c r="T153" s="35" t="str">
        <f>IF($O153="","",IFERROR(CHOOSE(MATCH($F153,الإعدادات!$B$4:$B$7,0),INDEX('حضور سوريال'!$H$7:$H$36,$O153),INDEX('حضور غبريال'!$H$7:$H$36,$O153),INDEX('حضور رفائيل'!$H$7:$H$36,$O153),INDEX('حضور ميخائيل'!$H$7:$H$36,$O153)),""))</f>
        <v/>
      </c>
      <c r="U153" s="36" t="str">
        <f>IF($O153="","",IFERROR(CHOOSE(MATCH($F153,الإعدادات!$B$4:$B$7,0),INDEX('حضور سوريال'!$I$7:$I$36,$O153),INDEX('حضور غبريال'!$I$7:$I$36,$O153),INDEX('حضور رفائيل'!$I$7:$I$36,$O153),INDEX('حضور ميخائيل'!$I$7:$I$36,$O153)),""))</f>
        <v/>
      </c>
      <c r="V153" t="str">
        <f>IF($O153="","",IFERROR(CHOOSE(MATCH($F153,الإعدادات!$B$4:$B$7,0),INDEX('حضور سوريال'!$BM$7:$BM$36,$O153),INDEX('حضور غبريال'!$BM$7:$BM$36,$O153),INDEX('حضور رفائيل'!$BM$7:$BM$36,$O153),INDEX('حضور ميخائيل'!$BM$7:$BM$36,$O153)),""))</f>
        <v/>
      </c>
      <c r="W153" t="str">
        <f>IF(OR(V153=3,V153=4),COUNTIFS(V$6:V153,3)+COUNTIFS(V$6:V153,4),"")</f>
        <v/>
      </c>
    </row>
    <row r="154" spans="1:23" ht="25.5" customHeight="1">
      <c r="A154" s="26" t="str">
        <f t="shared" si="6"/>
        <v/>
      </c>
      <c r="B154" s="27" t="str">
        <f t="shared" si="7"/>
        <v/>
      </c>
      <c r="C154" s="28"/>
      <c r="D154" s="29"/>
      <c r="E154" s="29"/>
      <c r="F154" s="29"/>
      <c r="G154" s="29"/>
      <c r="H154" s="30"/>
      <c r="I154" s="30"/>
      <c r="J154" s="31"/>
      <c r="K154" s="29"/>
      <c r="L154" s="31"/>
      <c r="M154" s="29"/>
      <c r="N154" s="32" t="str">
        <f t="shared" si="8"/>
        <v/>
      </c>
      <c r="O154" s="32" t="str">
        <f>IF(OR(C154="",F154=""),"",COUNTIFS(F$6:F154,F154,C$6:C154,"&lt;&gt;"))</f>
        <v/>
      </c>
      <c r="P154" s="33" t="str">
        <f>IF($O154="","",IFERROR(CHOOSE(MATCH($F154,الإعدادات!$B$4:$B$7,0),INDEX('حضور سوريال'!$C$7:$C$36,$O154),INDEX('حضور غبريال'!$C$7:$C$36,$O154),INDEX('حضور رفائيل'!$C$7:$C$36,$O154),INDEX('حضور ميخائيل'!$C$7:$C$36,$O154)),""))</f>
        <v/>
      </c>
      <c r="Q154" s="33" t="str">
        <f>IF($O154="","",IFERROR(CHOOSE(MATCH($F154,الإعدادات!$B$4:$B$7,0),INDEX('حضور سوريال'!$D$7:$D$36,$O154),INDEX('حضور غبريال'!$D$7:$D$36,$O154),INDEX('حضور رفائيل'!$D$7:$D$36,$O154),INDEX('حضور ميخائيل'!$D$7:$D$36,$O154)),""))</f>
        <v/>
      </c>
      <c r="R154" s="34" t="str">
        <f>IF($O154="","",IFERROR(CHOOSE(MATCH($F154,الإعدادات!$B$4:$B$7,0),INDEX('حضور سوريال'!$F$7:$F$36,$O154),INDEX('حضور غبريال'!$F$7:$F$36,$O154),INDEX('حضور رفائيل'!$F$7:$F$36,$O154),INDEX('حضور ميخائيل'!$F$7:$F$36,$O154)),""))</f>
        <v/>
      </c>
      <c r="S154" s="33" t="str">
        <f>IF($O154="","",IFERROR(CHOOSE(MATCH($F154,الإعدادات!$B$4:$B$7,0),INDEX('حضور سوريال'!$G$7:$G$36,$O154),INDEX('حضور غبريال'!$G$7:$G$36,$O154),INDEX('حضور رفائيل'!$G$7:$G$36,$O154),INDEX('حضور ميخائيل'!$G$7:$G$36,$O154)),""))</f>
        <v/>
      </c>
      <c r="T154" s="35" t="str">
        <f>IF($O154="","",IFERROR(CHOOSE(MATCH($F154,الإعدادات!$B$4:$B$7,0),INDEX('حضور سوريال'!$H$7:$H$36,$O154),INDEX('حضور غبريال'!$H$7:$H$36,$O154),INDEX('حضور رفائيل'!$H$7:$H$36,$O154),INDEX('حضور ميخائيل'!$H$7:$H$36,$O154)),""))</f>
        <v/>
      </c>
      <c r="U154" s="36" t="str">
        <f>IF($O154="","",IFERROR(CHOOSE(MATCH($F154,الإعدادات!$B$4:$B$7,0),INDEX('حضور سوريال'!$I$7:$I$36,$O154),INDEX('حضور غبريال'!$I$7:$I$36,$O154),INDEX('حضور رفائيل'!$I$7:$I$36,$O154),INDEX('حضور ميخائيل'!$I$7:$I$36,$O154)),""))</f>
        <v/>
      </c>
      <c r="V154" t="str">
        <f>IF($O154="","",IFERROR(CHOOSE(MATCH($F154,الإعدادات!$B$4:$B$7,0),INDEX('حضور سوريال'!$BM$7:$BM$36,$O154),INDEX('حضور غبريال'!$BM$7:$BM$36,$O154),INDEX('حضور رفائيل'!$BM$7:$BM$36,$O154),INDEX('حضور ميخائيل'!$BM$7:$BM$36,$O154)),""))</f>
        <v/>
      </c>
      <c r="W154" t="str">
        <f>IF(OR(V154=3,V154=4),COUNTIFS(V$6:V154,3)+COUNTIFS(V$6:V154,4),"")</f>
        <v/>
      </c>
    </row>
    <row r="155" spans="1:23" ht="25.5" customHeight="1">
      <c r="A155" s="26" t="str">
        <f t="shared" si="6"/>
        <v/>
      </c>
      <c r="B155" s="27" t="str">
        <f t="shared" si="7"/>
        <v/>
      </c>
      <c r="C155" s="28"/>
      <c r="D155" s="29"/>
      <c r="E155" s="29"/>
      <c r="F155" s="29"/>
      <c r="G155" s="29"/>
      <c r="H155" s="30"/>
      <c r="I155" s="30"/>
      <c r="J155" s="31"/>
      <c r="K155" s="29"/>
      <c r="L155" s="31"/>
      <c r="M155" s="29"/>
      <c r="N155" s="32" t="str">
        <f t="shared" si="8"/>
        <v/>
      </c>
      <c r="O155" s="32" t="str">
        <f>IF(OR(C155="",F155=""),"",COUNTIFS(F$6:F155,F155,C$6:C155,"&lt;&gt;"))</f>
        <v/>
      </c>
      <c r="P155" s="33" t="str">
        <f>IF($O155="","",IFERROR(CHOOSE(MATCH($F155,الإعدادات!$B$4:$B$7,0),INDEX('حضور سوريال'!$C$7:$C$36,$O155),INDEX('حضور غبريال'!$C$7:$C$36,$O155),INDEX('حضور رفائيل'!$C$7:$C$36,$O155),INDEX('حضور ميخائيل'!$C$7:$C$36,$O155)),""))</f>
        <v/>
      </c>
      <c r="Q155" s="33" t="str">
        <f>IF($O155="","",IFERROR(CHOOSE(MATCH($F155,الإعدادات!$B$4:$B$7,0),INDEX('حضور سوريال'!$D$7:$D$36,$O155),INDEX('حضور غبريال'!$D$7:$D$36,$O155),INDEX('حضور رفائيل'!$D$7:$D$36,$O155),INDEX('حضور ميخائيل'!$D$7:$D$36,$O155)),""))</f>
        <v/>
      </c>
      <c r="R155" s="34" t="str">
        <f>IF($O155="","",IFERROR(CHOOSE(MATCH($F155,الإعدادات!$B$4:$B$7,0),INDEX('حضور سوريال'!$F$7:$F$36,$O155),INDEX('حضور غبريال'!$F$7:$F$36,$O155),INDEX('حضور رفائيل'!$F$7:$F$36,$O155),INDEX('حضور ميخائيل'!$F$7:$F$36,$O155)),""))</f>
        <v/>
      </c>
      <c r="S155" s="33" t="str">
        <f>IF($O155="","",IFERROR(CHOOSE(MATCH($F155,الإعدادات!$B$4:$B$7,0),INDEX('حضور سوريال'!$G$7:$G$36,$O155),INDEX('حضور غبريال'!$G$7:$G$36,$O155),INDEX('حضور رفائيل'!$G$7:$G$36,$O155),INDEX('حضور ميخائيل'!$G$7:$G$36,$O155)),""))</f>
        <v/>
      </c>
      <c r="T155" s="35" t="str">
        <f>IF($O155="","",IFERROR(CHOOSE(MATCH($F155,الإعدادات!$B$4:$B$7,0),INDEX('حضور سوريال'!$H$7:$H$36,$O155),INDEX('حضور غبريال'!$H$7:$H$36,$O155),INDEX('حضور رفائيل'!$H$7:$H$36,$O155),INDEX('حضور ميخائيل'!$H$7:$H$36,$O155)),""))</f>
        <v/>
      </c>
      <c r="U155" s="36" t="str">
        <f>IF($O155="","",IFERROR(CHOOSE(MATCH($F155,الإعدادات!$B$4:$B$7,0),INDEX('حضور سوريال'!$I$7:$I$36,$O155),INDEX('حضور غبريال'!$I$7:$I$36,$O155),INDEX('حضور رفائيل'!$I$7:$I$36,$O155),INDEX('حضور ميخائيل'!$I$7:$I$36,$O155)),""))</f>
        <v/>
      </c>
      <c r="V155" t="str">
        <f>IF($O155="","",IFERROR(CHOOSE(MATCH($F155,الإعدادات!$B$4:$B$7,0),INDEX('حضور سوريال'!$BM$7:$BM$36,$O155),INDEX('حضور غبريال'!$BM$7:$BM$36,$O155),INDEX('حضور رفائيل'!$BM$7:$BM$36,$O155),INDEX('حضور ميخائيل'!$BM$7:$BM$36,$O155)),""))</f>
        <v/>
      </c>
      <c r="W155" t="str">
        <f>IF(OR(V155=3,V155=4),COUNTIFS(V$6:V155,3)+COUNTIFS(V$6:V155,4),"")</f>
        <v/>
      </c>
    </row>
    <row r="156" spans="1:23" ht="25.5" customHeight="1">
      <c r="A156" s="26" t="str">
        <f t="shared" si="6"/>
        <v/>
      </c>
      <c r="B156" s="27" t="str">
        <f t="shared" si="7"/>
        <v/>
      </c>
      <c r="C156" s="28"/>
      <c r="D156" s="29"/>
      <c r="E156" s="29"/>
      <c r="F156" s="29"/>
      <c r="G156" s="29"/>
      <c r="H156" s="30"/>
      <c r="I156" s="30"/>
      <c r="J156" s="31"/>
      <c r="K156" s="29"/>
      <c r="L156" s="31"/>
      <c r="M156" s="29"/>
      <c r="N156" s="32" t="str">
        <f t="shared" si="8"/>
        <v/>
      </c>
      <c r="O156" s="32" t="str">
        <f>IF(OR(C156="",F156=""),"",COUNTIFS(F$6:F156,F156,C$6:C156,"&lt;&gt;"))</f>
        <v/>
      </c>
      <c r="P156" s="33" t="str">
        <f>IF($O156="","",IFERROR(CHOOSE(MATCH($F156,الإعدادات!$B$4:$B$7,0),INDEX('حضور سوريال'!$C$7:$C$36,$O156),INDEX('حضور غبريال'!$C$7:$C$36,$O156),INDEX('حضور رفائيل'!$C$7:$C$36,$O156),INDEX('حضور ميخائيل'!$C$7:$C$36,$O156)),""))</f>
        <v/>
      </c>
      <c r="Q156" s="33" t="str">
        <f>IF($O156="","",IFERROR(CHOOSE(MATCH($F156,الإعدادات!$B$4:$B$7,0),INDEX('حضور سوريال'!$D$7:$D$36,$O156),INDEX('حضور غبريال'!$D$7:$D$36,$O156),INDEX('حضور رفائيل'!$D$7:$D$36,$O156),INDEX('حضور ميخائيل'!$D$7:$D$36,$O156)),""))</f>
        <v/>
      </c>
      <c r="R156" s="34" t="str">
        <f>IF($O156="","",IFERROR(CHOOSE(MATCH($F156,الإعدادات!$B$4:$B$7,0),INDEX('حضور سوريال'!$F$7:$F$36,$O156),INDEX('حضور غبريال'!$F$7:$F$36,$O156),INDEX('حضور رفائيل'!$F$7:$F$36,$O156),INDEX('حضور ميخائيل'!$F$7:$F$36,$O156)),""))</f>
        <v/>
      </c>
      <c r="S156" s="33" t="str">
        <f>IF($O156="","",IFERROR(CHOOSE(MATCH($F156,الإعدادات!$B$4:$B$7,0),INDEX('حضور سوريال'!$G$7:$G$36,$O156),INDEX('حضور غبريال'!$G$7:$G$36,$O156),INDEX('حضور رفائيل'!$G$7:$G$36,$O156),INDEX('حضور ميخائيل'!$G$7:$G$36,$O156)),""))</f>
        <v/>
      </c>
      <c r="T156" s="35" t="str">
        <f>IF($O156="","",IFERROR(CHOOSE(MATCH($F156,الإعدادات!$B$4:$B$7,0),INDEX('حضور سوريال'!$H$7:$H$36,$O156),INDEX('حضور غبريال'!$H$7:$H$36,$O156),INDEX('حضور رفائيل'!$H$7:$H$36,$O156),INDEX('حضور ميخائيل'!$H$7:$H$36,$O156)),""))</f>
        <v/>
      </c>
      <c r="U156" s="36" t="str">
        <f>IF($O156="","",IFERROR(CHOOSE(MATCH($F156,الإعدادات!$B$4:$B$7,0),INDEX('حضور سوريال'!$I$7:$I$36,$O156),INDEX('حضور غبريال'!$I$7:$I$36,$O156),INDEX('حضور رفائيل'!$I$7:$I$36,$O156),INDEX('حضور ميخائيل'!$I$7:$I$36,$O156)),""))</f>
        <v/>
      </c>
      <c r="V156" t="str">
        <f>IF($O156="","",IFERROR(CHOOSE(MATCH($F156,الإعدادات!$B$4:$B$7,0),INDEX('حضور سوريال'!$BM$7:$BM$36,$O156),INDEX('حضور غبريال'!$BM$7:$BM$36,$O156),INDEX('حضور رفائيل'!$BM$7:$BM$36,$O156),INDEX('حضور ميخائيل'!$BM$7:$BM$36,$O156)),""))</f>
        <v/>
      </c>
      <c r="W156" t="str">
        <f>IF(OR(V156=3,V156=4),COUNTIFS(V$6:V156,3)+COUNTIFS(V$6:V156,4),"")</f>
        <v/>
      </c>
    </row>
    <row r="157" spans="1:23" ht="25.5" customHeight="1">
      <c r="A157" s="26" t="str">
        <f t="shared" si="6"/>
        <v/>
      </c>
      <c r="B157" s="27" t="str">
        <f t="shared" si="7"/>
        <v/>
      </c>
      <c r="C157" s="28"/>
      <c r="D157" s="29"/>
      <c r="E157" s="29"/>
      <c r="F157" s="29"/>
      <c r="G157" s="29"/>
      <c r="H157" s="30"/>
      <c r="I157" s="30"/>
      <c r="J157" s="31"/>
      <c r="K157" s="29"/>
      <c r="L157" s="31"/>
      <c r="M157" s="29"/>
      <c r="N157" s="32" t="str">
        <f t="shared" si="8"/>
        <v/>
      </c>
      <c r="O157" s="32" t="str">
        <f>IF(OR(C157="",F157=""),"",COUNTIFS(F$6:F157,F157,C$6:C157,"&lt;&gt;"))</f>
        <v/>
      </c>
      <c r="P157" s="33" t="str">
        <f>IF($O157="","",IFERROR(CHOOSE(MATCH($F157,الإعدادات!$B$4:$B$7,0),INDEX('حضور سوريال'!$C$7:$C$36,$O157),INDEX('حضور غبريال'!$C$7:$C$36,$O157),INDEX('حضور رفائيل'!$C$7:$C$36,$O157),INDEX('حضور ميخائيل'!$C$7:$C$36,$O157)),""))</f>
        <v/>
      </c>
      <c r="Q157" s="33" t="str">
        <f>IF($O157="","",IFERROR(CHOOSE(MATCH($F157,الإعدادات!$B$4:$B$7,0),INDEX('حضور سوريال'!$D$7:$D$36,$O157),INDEX('حضور غبريال'!$D$7:$D$36,$O157),INDEX('حضور رفائيل'!$D$7:$D$36,$O157),INDEX('حضور ميخائيل'!$D$7:$D$36,$O157)),""))</f>
        <v/>
      </c>
      <c r="R157" s="34" t="str">
        <f>IF($O157="","",IFERROR(CHOOSE(MATCH($F157,الإعدادات!$B$4:$B$7,0),INDEX('حضور سوريال'!$F$7:$F$36,$O157),INDEX('حضور غبريال'!$F$7:$F$36,$O157),INDEX('حضور رفائيل'!$F$7:$F$36,$O157),INDEX('حضور ميخائيل'!$F$7:$F$36,$O157)),""))</f>
        <v/>
      </c>
      <c r="S157" s="33" t="str">
        <f>IF($O157="","",IFERROR(CHOOSE(MATCH($F157,الإعدادات!$B$4:$B$7,0),INDEX('حضور سوريال'!$G$7:$G$36,$O157),INDEX('حضور غبريال'!$G$7:$G$36,$O157),INDEX('حضور رفائيل'!$G$7:$G$36,$O157),INDEX('حضور ميخائيل'!$G$7:$G$36,$O157)),""))</f>
        <v/>
      </c>
      <c r="T157" s="35" t="str">
        <f>IF($O157="","",IFERROR(CHOOSE(MATCH($F157,الإعدادات!$B$4:$B$7,0),INDEX('حضور سوريال'!$H$7:$H$36,$O157),INDEX('حضور غبريال'!$H$7:$H$36,$O157),INDEX('حضور رفائيل'!$H$7:$H$36,$O157),INDEX('حضور ميخائيل'!$H$7:$H$36,$O157)),""))</f>
        <v/>
      </c>
      <c r="U157" s="36" t="str">
        <f>IF($O157="","",IFERROR(CHOOSE(MATCH($F157,الإعدادات!$B$4:$B$7,0),INDEX('حضور سوريال'!$I$7:$I$36,$O157),INDEX('حضور غبريال'!$I$7:$I$36,$O157),INDEX('حضور رفائيل'!$I$7:$I$36,$O157),INDEX('حضور ميخائيل'!$I$7:$I$36,$O157)),""))</f>
        <v/>
      </c>
      <c r="V157" t="str">
        <f>IF($O157="","",IFERROR(CHOOSE(MATCH($F157,الإعدادات!$B$4:$B$7,0),INDEX('حضور سوريال'!$BM$7:$BM$36,$O157),INDEX('حضور غبريال'!$BM$7:$BM$36,$O157),INDEX('حضور رفائيل'!$BM$7:$BM$36,$O157),INDEX('حضور ميخائيل'!$BM$7:$BM$36,$O157)),""))</f>
        <v/>
      </c>
      <c r="W157" t="str">
        <f>IF(OR(V157=3,V157=4),COUNTIFS(V$6:V157,3)+COUNTIFS(V$6:V157,4),"")</f>
        <v/>
      </c>
    </row>
    <row r="158" spans="1:23" ht="25.5" customHeight="1">
      <c r="A158" s="26" t="str">
        <f t="shared" si="6"/>
        <v/>
      </c>
      <c r="B158" s="27" t="str">
        <f t="shared" si="7"/>
        <v/>
      </c>
      <c r="C158" s="28"/>
      <c r="D158" s="29"/>
      <c r="E158" s="29"/>
      <c r="F158" s="29"/>
      <c r="G158" s="29"/>
      <c r="H158" s="30"/>
      <c r="I158" s="30"/>
      <c r="J158" s="31"/>
      <c r="K158" s="29"/>
      <c r="L158" s="31"/>
      <c r="M158" s="29"/>
      <c r="N158" s="32" t="str">
        <f t="shared" si="8"/>
        <v/>
      </c>
      <c r="O158" s="32" t="str">
        <f>IF(OR(C158="",F158=""),"",COUNTIFS(F$6:F158,F158,C$6:C158,"&lt;&gt;"))</f>
        <v/>
      </c>
      <c r="P158" s="33" t="str">
        <f>IF($O158="","",IFERROR(CHOOSE(MATCH($F158,الإعدادات!$B$4:$B$7,0),INDEX('حضور سوريال'!$C$7:$C$36,$O158),INDEX('حضور غبريال'!$C$7:$C$36,$O158),INDEX('حضور رفائيل'!$C$7:$C$36,$O158),INDEX('حضور ميخائيل'!$C$7:$C$36,$O158)),""))</f>
        <v/>
      </c>
      <c r="Q158" s="33" t="str">
        <f>IF($O158="","",IFERROR(CHOOSE(MATCH($F158,الإعدادات!$B$4:$B$7,0),INDEX('حضور سوريال'!$D$7:$D$36,$O158),INDEX('حضور غبريال'!$D$7:$D$36,$O158),INDEX('حضور رفائيل'!$D$7:$D$36,$O158),INDEX('حضور ميخائيل'!$D$7:$D$36,$O158)),""))</f>
        <v/>
      </c>
      <c r="R158" s="34" t="str">
        <f>IF($O158="","",IFERROR(CHOOSE(MATCH($F158,الإعدادات!$B$4:$B$7,0),INDEX('حضور سوريال'!$F$7:$F$36,$O158),INDEX('حضور غبريال'!$F$7:$F$36,$O158),INDEX('حضور رفائيل'!$F$7:$F$36,$O158),INDEX('حضور ميخائيل'!$F$7:$F$36,$O158)),""))</f>
        <v/>
      </c>
      <c r="S158" s="33" t="str">
        <f>IF($O158="","",IFERROR(CHOOSE(MATCH($F158,الإعدادات!$B$4:$B$7,0),INDEX('حضور سوريال'!$G$7:$G$36,$O158),INDEX('حضور غبريال'!$G$7:$G$36,$O158),INDEX('حضور رفائيل'!$G$7:$G$36,$O158),INDEX('حضور ميخائيل'!$G$7:$G$36,$O158)),""))</f>
        <v/>
      </c>
      <c r="T158" s="35" t="str">
        <f>IF($O158="","",IFERROR(CHOOSE(MATCH($F158,الإعدادات!$B$4:$B$7,0),INDEX('حضور سوريال'!$H$7:$H$36,$O158),INDEX('حضور غبريال'!$H$7:$H$36,$O158),INDEX('حضور رفائيل'!$H$7:$H$36,$O158),INDEX('حضور ميخائيل'!$H$7:$H$36,$O158)),""))</f>
        <v/>
      </c>
      <c r="U158" s="36" t="str">
        <f>IF($O158="","",IFERROR(CHOOSE(MATCH($F158,الإعدادات!$B$4:$B$7,0),INDEX('حضور سوريال'!$I$7:$I$36,$O158),INDEX('حضور غبريال'!$I$7:$I$36,$O158),INDEX('حضور رفائيل'!$I$7:$I$36,$O158),INDEX('حضور ميخائيل'!$I$7:$I$36,$O158)),""))</f>
        <v/>
      </c>
      <c r="V158" t="str">
        <f>IF($O158="","",IFERROR(CHOOSE(MATCH($F158,الإعدادات!$B$4:$B$7,0),INDEX('حضور سوريال'!$BM$7:$BM$36,$O158),INDEX('حضور غبريال'!$BM$7:$BM$36,$O158),INDEX('حضور رفائيل'!$BM$7:$BM$36,$O158),INDEX('حضور ميخائيل'!$BM$7:$BM$36,$O158)),""))</f>
        <v/>
      </c>
      <c r="W158" t="str">
        <f>IF(OR(V158=3,V158=4),COUNTIFS(V$6:V158,3)+COUNTIFS(V$6:V158,4),"")</f>
        <v/>
      </c>
    </row>
    <row r="159" spans="1:23" ht="25.5" customHeight="1">
      <c r="A159" s="26" t="str">
        <f t="shared" si="6"/>
        <v/>
      </c>
      <c r="B159" s="27" t="str">
        <f t="shared" si="7"/>
        <v/>
      </c>
      <c r="C159" s="28"/>
      <c r="D159" s="29"/>
      <c r="E159" s="29"/>
      <c r="F159" s="29"/>
      <c r="G159" s="29"/>
      <c r="H159" s="30"/>
      <c r="I159" s="30"/>
      <c r="J159" s="31"/>
      <c r="K159" s="29"/>
      <c r="L159" s="31"/>
      <c r="M159" s="29"/>
      <c r="N159" s="32" t="str">
        <f t="shared" si="8"/>
        <v/>
      </c>
      <c r="O159" s="32" t="str">
        <f>IF(OR(C159="",F159=""),"",COUNTIFS(F$6:F159,F159,C$6:C159,"&lt;&gt;"))</f>
        <v/>
      </c>
      <c r="P159" s="33" t="str">
        <f>IF($O159="","",IFERROR(CHOOSE(MATCH($F159,الإعدادات!$B$4:$B$7,0),INDEX('حضور سوريال'!$C$7:$C$36,$O159),INDEX('حضور غبريال'!$C$7:$C$36,$O159),INDEX('حضور رفائيل'!$C$7:$C$36,$O159),INDEX('حضور ميخائيل'!$C$7:$C$36,$O159)),""))</f>
        <v/>
      </c>
      <c r="Q159" s="33" t="str">
        <f>IF($O159="","",IFERROR(CHOOSE(MATCH($F159,الإعدادات!$B$4:$B$7,0),INDEX('حضور سوريال'!$D$7:$D$36,$O159),INDEX('حضور غبريال'!$D$7:$D$36,$O159),INDEX('حضور رفائيل'!$D$7:$D$36,$O159),INDEX('حضور ميخائيل'!$D$7:$D$36,$O159)),""))</f>
        <v/>
      </c>
      <c r="R159" s="34" t="str">
        <f>IF($O159="","",IFERROR(CHOOSE(MATCH($F159,الإعدادات!$B$4:$B$7,0),INDEX('حضور سوريال'!$F$7:$F$36,$O159),INDEX('حضور غبريال'!$F$7:$F$36,$O159),INDEX('حضور رفائيل'!$F$7:$F$36,$O159),INDEX('حضور ميخائيل'!$F$7:$F$36,$O159)),""))</f>
        <v/>
      </c>
      <c r="S159" s="33" t="str">
        <f>IF($O159="","",IFERROR(CHOOSE(MATCH($F159,الإعدادات!$B$4:$B$7,0),INDEX('حضور سوريال'!$G$7:$G$36,$O159),INDEX('حضور غبريال'!$G$7:$G$36,$O159),INDEX('حضور رفائيل'!$G$7:$G$36,$O159),INDEX('حضور ميخائيل'!$G$7:$G$36,$O159)),""))</f>
        <v/>
      </c>
      <c r="T159" s="35" t="str">
        <f>IF($O159="","",IFERROR(CHOOSE(MATCH($F159,الإعدادات!$B$4:$B$7,0),INDEX('حضور سوريال'!$H$7:$H$36,$O159),INDEX('حضور غبريال'!$H$7:$H$36,$O159),INDEX('حضور رفائيل'!$H$7:$H$36,$O159),INDEX('حضور ميخائيل'!$H$7:$H$36,$O159)),""))</f>
        <v/>
      </c>
      <c r="U159" s="36" t="str">
        <f>IF($O159="","",IFERROR(CHOOSE(MATCH($F159,الإعدادات!$B$4:$B$7,0),INDEX('حضور سوريال'!$I$7:$I$36,$O159),INDEX('حضور غبريال'!$I$7:$I$36,$O159),INDEX('حضور رفائيل'!$I$7:$I$36,$O159),INDEX('حضور ميخائيل'!$I$7:$I$36,$O159)),""))</f>
        <v/>
      </c>
      <c r="V159" t="str">
        <f>IF($O159="","",IFERROR(CHOOSE(MATCH($F159,الإعدادات!$B$4:$B$7,0),INDEX('حضور سوريال'!$BM$7:$BM$36,$O159),INDEX('حضور غبريال'!$BM$7:$BM$36,$O159),INDEX('حضور رفائيل'!$BM$7:$BM$36,$O159),INDEX('حضور ميخائيل'!$BM$7:$BM$36,$O159)),""))</f>
        <v/>
      </c>
      <c r="W159" t="str">
        <f>IF(OR(V159=3,V159=4),COUNTIFS(V$6:V159,3)+COUNTIFS(V$6:V159,4),"")</f>
        <v/>
      </c>
    </row>
    <row r="160" spans="1:23" ht="25.5" customHeight="1">
      <c r="A160" s="26" t="str">
        <f t="shared" si="6"/>
        <v/>
      </c>
      <c r="B160" s="27" t="str">
        <f t="shared" si="7"/>
        <v/>
      </c>
      <c r="C160" s="28"/>
      <c r="D160" s="29"/>
      <c r="E160" s="29"/>
      <c r="F160" s="29"/>
      <c r="G160" s="29"/>
      <c r="H160" s="30"/>
      <c r="I160" s="30"/>
      <c r="J160" s="31"/>
      <c r="K160" s="29"/>
      <c r="L160" s="31"/>
      <c r="M160" s="29"/>
      <c r="N160" s="32" t="str">
        <f t="shared" si="8"/>
        <v/>
      </c>
      <c r="O160" s="32" t="str">
        <f>IF(OR(C160="",F160=""),"",COUNTIFS(F$6:F160,F160,C$6:C160,"&lt;&gt;"))</f>
        <v/>
      </c>
      <c r="P160" s="33" t="str">
        <f>IF($O160="","",IFERROR(CHOOSE(MATCH($F160,الإعدادات!$B$4:$B$7,0),INDEX('حضور سوريال'!$C$7:$C$36,$O160),INDEX('حضور غبريال'!$C$7:$C$36,$O160),INDEX('حضور رفائيل'!$C$7:$C$36,$O160),INDEX('حضور ميخائيل'!$C$7:$C$36,$O160)),""))</f>
        <v/>
      </c>
      <c r="Q160" s="33" t="str">
        <f>IF($O160="","",IFERROR(CHOOSE(MATCH($F160,الإعدادات!$B$4:$B$7,0),INDEX('حضور سوريال'!$D$7:$D$36,$O160),INDEX('حضور غبريال'!$D$7:$D$36,$O160),INDEX('حضور رفائيل'!$D$7:$D$36,$O160),INDEX('حضور ميخائيل'!$D$7:$D$36,$O160)),""))</f>
        <v/>
      </c>
      <c r="R160" s="34" t="str">
        <f>IF($O160="","",IFERROR(CHOOSE(MATCH($F160,الإعدادات!$B$4:$B$7,0),INDEX('حضور سوريال'!$F$7:$F$36,$O160),INDEX('حضور غبريال'!$F$7:$F$36,$O160),INDEX('حضور رفائيل'!$F$7:$F$36,$O160),INDEX('حضور ميخائيل'!$F$7:$F$36,$O160)),""))</f>
        <v/>
      </c>
      <c r="S160" s="33" t="str">
        <f>IF($O160="","",IFERROR(CHOOSE(MATCH($F160,الإعدادات!$B$4:$B$7,0),INDEX('حضور سوريال'!$G$7:$G$36,$O160),INDEX('حضور غبريال'!$G$7:$G$36,$O160),INDEX('حضور رفائيل'!$G$7:$G$36,$O160),INDEX('حضور ميخائيل'!$G$7:$G$36,$O160)),""))</f>
        <v/>
      </c>
      <c r="T160" s="35" t="str">
        <f>IF($O160="","",IFERROR(CHOOSE(MATCH($F160,الإعدادات!$B$4:$B$7,0),INDEX('حضور سوريال'!$H$7:$H$36,$O160),INDEX('حضور غبريال'!$H$7:$H$36,$O160),INDEX('حضور رفائيل'!$H$7:$H$36,$O160),INDEX('حضور ميخائيل'!$H$7:$H$36,$O160)),""))</f>
        <v/>
      </c>
      <c r="U160" s="36" t="str">
        <f>IF($O160="","",IFERROR(CHOOSE(MATCH($F160,الإعدادات!$B$4:$B$7,0),INDEX('حضور سوريال'!$I$7:$I$36,$O160),INDEX('حضور غبريال'!$I$7:$I$36,$O160),INDEX('حضور رفائيل'!$I$7:$I$36,$O160),INDEX('حضور ميخائيل'!$I$7:$I$36,$O160)),""))</f>
        <v/>
      </c>
      <c r="V160" t="str">
        <f>IF($O160="","",IFERROR(CHOOSE(MATCH($F160,الإعدادات!$B$4:$B$7,0),INDEX('حضور سوريال'!$BM$7:$BM$36,$O160),INDEX('حضور غبريال'!$BM$7:$BM$36,$O160),INDEX('حضور رفائيل'!$BM$7:$BM$36,$O160),INDEX('حضور ميخائيل'!$BM$7:$BM$36,$O160)),""))</f>
        <v/>
      </c>
      <c r="W160" t="str">
        <f>IF(OR(V160=3,V160=4),COUNTIFS(V$6:V160,3)+COUNTIFS(V$6:V160,4),"")</f>
        <v/>
      </c>
    </row>
    <row r="161" spans="1:23" ht="25.5" customHeight="1">
      <c r="A161" s="26" t="str">
        <f t="shared" si="6"/>
        <v/>
      </c>
      <c r="B161" s="27" t="str">
        <f t="shared" si="7"/>
        <v/>
      </c>
      <c r="C161" s="28"/>
      <c r="D161" s="29"/>
      <c r="E161" s="29"/>
      <c r="F161" s="29"/>
      <c r="G161" s="29"/>
      <c r="H161" s="30"/>
      <c r="I161" s="30"/>
      <c r="J161" s="31"/>
      <c r="K161" s="29"/>
      <c r="L161" s="31"/>
      <c r="M161" s="29"/>
      <c r="N161" s="32" t="str">
        <f t="shared" si="8"/>
        <v/>
      </c>
      <c r="O161" s="32" t="str">
        <f>IF(OR(C161="",F161=""),"",COUNTIFS(F$6:F161,F161,C$6:C161,"&lt;&gt;"))</f>
        <v/>
      </c>
      <c r="P161" s="33" t="str">
        <f>IF($O161="","",IFERROR(CHOOSE(MATCH($F161,الإعدادات!$B$4:$B$7,0),INDEX('حضور سوريال'!$C$7:$C$36,$O161),INDEX('حضور غبريال'!$C$7:$C$36,$O161),INDEX('حضور رفائيل'!$C$7:$C$36,$O161),INDEX('حضور ميخائيل'!$C$7:$C$36,$O161)),""))</f>
        <v/>
      </c>
      <c r="Q161" s="33" t="str">
        <f>IF($O161="","",IFERROR(CHOOSE(MATCH($F161,الإعدادات!$B$4:$B$7,0),INDEX('حضور سوريال'!$D$7:$D$36,$O161),INDEX('حضور غبريال'!$D$7:$D$36,$O161),INDEX('حضور رفائيل'!$D$7:$D$36,$O161),INDEX('حضور ميخائيل'!$D$7:$D$36,$O161)),""))</f>
        <v/>
      </c>
      <c r="R161" s="34" t="str">
        <f>IF($O161="","",IFERROR(CHOOSE(MATCH($F161,الإعدادات!$B$4:$B$7,0),INDEX('حضور سوريال'!$F$7:$F$36,$O161),INDEX('حضور غبريال'!$F$7:$F$36,$O161),INDEX('حضور رفائيل'!$F$7:$F$36,$O161),INDEX('حضور ميخائيل'!$F$7:$F$36,$O161)),""))</f>
        <v/>
      </c>
      <c r="S161" s="33" t="str">
        <f>IF($O161="","",IFERROR(CHOOSE(MATCH($F161,الإعدادات!$B$4:$B$7,0),INDEX('حضور سوريال'!$G$7:$G$36,$O161),INDEX('حضور غبريال'!$G$7:$G$36,$O161),INDEX('حضور رفائيل'!$G$7:$G$36,$O161),INDEX('حضور ميخائيل'!$G$7:$G$36,$O161)),""))</f>
        <v/>
      </c>
      <c r="T161" s="35" t="str">
        <f>IF($O161="","",IFERROR(CHOOSE(MATCH($F161,الإعدادات!$B$4:$B$7,0),INDEX('حضور سوريال'!$H$7:$H$36,$O161),INDEX('حضور غبريال'!$H$7:$H$36,$O161),INDEX('حضور رفائيل'!$H$7:$H$36,$O161),INDEX('حضور ميخائيل'!$H$7:$H$36,$O161)),""))</f>
        <v/>
      </c>
      <c r="U161" s="36" t="str">
        <f>IF($O161="","",IFERROR(CHOOSE(MATCH($F161,الإعدادات!$B$4:$B$7,0),INDEX('حضور سوريال'!$I$7:$I$36,$O161),INDEX('حضور غبريال'!$I$7:$I$36,$O161),INDEX('حضور رفائيل'!$I$7:$I$36,$O161),INDEX('حضور ميخائيل'!$I$7:$I$36,$O161)),""))</f>
        <v/>
      </c>
      <c r="V161" t="str">
        <f>IF($O161="","",IFERROR(CHOOSE(MATCH($F161,الإعدادات!$B$4:$B$7,0),INDEX('حضور سوريال'!$BM$7:$BM$36,$O161),INDEX('حضور غبريال'!$BM$7:$BM$36,$O161),INDEX('حضور رفائيل'!$BM$7:$BM$36,$O161),INDEX('حضور ميخائيل'!$BM$7:$BM$36,$O161)),""))</f>
        <v/>
      </c>
      <c r="W161" t="str">
        <f>IF(OR(V161=3,V161=4),COUNTIFS(V$6:V161,3)+COUNTIFS(V$6:V161,4),"")</f>
        <v/>
      </c>
    </row>
    <row r="162" spans="1:23" ht="25.5" customHeight="1">
      <c r="A162" s="26" t="str">
        <f t="shared" si="6"/>
        <v/>
      </c>
      <c r="B162" s="27" t="str">
        <f t="shared" si="7"/>
        <v/>
      </c>
      <c r="C162" s="28"/>
      <c r="D162" s="29"/>
      <c r="E162" s="29"/>
      <c r="F162" s="29"/>
      <c r="G162" s="29"/>
      <c r="H162" s="30"/>
      <c r="I162" s="30"/>
      <c r="J162" s="31"/>
      <c r="K162" s="29"/>
      <c r="L162" s="31"/>
      <c r="M162" s="29"/>
      <c r="N162" s="32" t="str">
        <f t="shared" si="8"/>
        <v/>
      </c>
      <c r="O162" s="32" t="str">
        <f>IF(OR(C162="",F162=""),"",COUNTIFS(F$6:F162,F162,C$6:C162,"&lt;&gt;"))</f>
        <v/>
      </c>
      <c r="P162" s="33" t="str">
        <f>IF($O162="","",IFERROR(CHOOSE(MATCH($F162,الإعدادات!$B$4:$B$7,0),INDEX('حضور سوريال'!$C$7:$C$36,$O162),INDEX('حضور غبريال'!$C$7:$C$36,$O162),INDEX('حضور رفائيل'!$C$7:$C$36,$O162),INDEX('حضور ميخائيل'!$C$7:$C$36,$O162)),""))</f>
        <v/>
      </c>
      <c r="Q162" s="33" t="str">
        <f>IF($O162="","",IFERROR(CHOOSE(MATCH($F162,الإعدادات!$B$4:$B$7,0),INDEX('حضور سوريال'!$D$7:$D$36,$O162),INDEX('حضور غبريال'!$D$7:$D$36,$O162),INDEX('حضور رفائيل'!$D$7:$D$36,$O162),INDEX('حضور ميخائيل'!$D$7:$D$36,$O162)),""))</f>
        <v/>
      </c>
      <c r="R162" s="34" t="str">
        <f>IF($O162="","",IFERROR(CHOOSE(MATCH($F162,الإعدادات!$B$4:$B$7,0),INDEX('حضور سوريال'!$F$7:$F$36,$O162),INDEX('حضور غبريال'!$F$7:$F$36,$O162),INDEX('حضور رفائيل'!$F$7:$F$36,$O162),INDEX('حضور ميخائيل'!$F$7:$F$36,$O162)),""))</f>
        <v/>
      </c>
      <c r="S162" s="33" t="str">
        <f>IF($O162="","",IFERROR(CHOOSE(MATCH($F162,الإعدادات!$B$4:$B$7,0),INDEX('حضور سوريال'!$G$7:$G$36,$O162),INDEX('حضور غبريال'!$G$7:$G$36,$O162),INDEX('حضور رفائيل'!$G$7:$G$36,$O162),INDEX('حضور ميخائيل'!$G$7:$G$36,$O162)),""))</f>
        <v/>
      </c>
      <c r="T162" s="35" t="str">
        <f>IF($O162="","",IFERROR(CHOOSE(MATCH($F162,الإعدادات!$B$4:$B$7,0),INDEX('حضور سوريال'!$H$7:$H$36,$O162),INDEX('حضور غبريال'!$H$7:$H$36,$O162),INDEX('حضور رفائيل'!$H$7:$H$36,$O162),INDEX('حضور ميخائيل'!$H$7:$H$36,$O162)),""))</f>
        <v/>
      </c>
      <c r="U162" s="36" t="str">
        <f>IF($O162="","",IFERROR(CHOOSE(MATCH($F162,الإعدادات!$B$4:$B$7,0),INDEX('حضور سوريال'!$I$7:$I$36,$O162),INDEX('حضور غبريال'!$I$7:$I$36,$O162),INDEX('حضور رفائيل'!$I$7:$I$36,$O162),INDEX('حضور ميخائيل'!$I$7:$I$36,$O162)),""))</f>
        <v/>
      </c>
      <c r="V162" t="str">
        <f>IF($O162="","",IFERROR(CHOOSE(MATCH($F162,الإعدادات!$B$4:$B$7,0),INDEX('حضور سوريال'!$BM$7:$BM$36,$O162),INDEX('حضور غبريال'!$BM$7:$BM$36,$O162),INDEX('حضور رفائيل'!$BM$7:$BM$36,$O162),INDEX('حضور ميخائيل'!$BM$7:$BM$36,$O162)),""))</f>
        <v/>
      </c>
      <c r="W162" t="str">
        <f>IF(OR(V162=3,V162=4),COUNTIFS(V$6:V162,3)+COUNTIFS(V$6:V162,4),"")</f>
        <v/>
      </c>
    </row>
    <row r="163" spans="1:23" ht="25.5" customHeight="1">
      <c r="A163" s="26" t="str">
        <f t="shared" si="6"/>
        <v/>
      </c>
      <c r="B163" s="27" t="str">
        <f t="shared" si="7"/>
        <v/>
      </c>
      <c r="C163" s="28"/>
      <c r="D163" s="29"/>
      <c r="E163" s="29"/>
      <c r="F163" s="29"/>
      <c r="G163" s="29"/>
      <c r="H163" s="30"/>
      <c r="I163" s="30"/>
      <c r="J163" s="31"/>
      <c r="K163" s="29"/>
      <c r="L163" s="31"/>
      <c r="M163" s="29"/>
      <c r="N163" s="32" t="str">
        <f t="shared" si="8"/>
        <v/>
      </c>
      <c r="O163" s="32" t="str">
        <f>IF(OR(C163="",F163=""),"",COUNTIFS(F$6:F163,F163,C$6:C163,"&lt;&gt;"))</f>
        <v/>
      </c>
      <c r="P163" s="33" t="str">
        <f>IF($O163="","",IFERROR(CHOOSE(MATCH($F163,الإعدادات!$B$4:$B$7,0),INDEX('حضور سوريال'!$C$7:$C$36,$O163),INDEX('حضور غبريال'!$C$7:$C$36,$O163),INDEX('حضور رفائيل'!$C$7:$C$36,$O163),INDEX('حضور ميخائيل'!$C$7:$C$36,$O163)),""))</f>
        <v/>
      </c>
      <c r="Q163" s="33" t="str">
        <f>IF($O163="","",IFERROR(CHOOSE(MATCH($F163,الإعدادات!$B$4:$B$7,0),INDEX('حضور سوريال'!$D$7:$D$36,$O163),INDEX('حضور غبريال'!$D$7:$D$36,$O163),INDEX('حضور رفائيل'!$D$7:$D$36,$O163),INDEX('حضور ميخائيل'!$D$7:$D$36,$O163)),""))</f>
        <v/>
      </c>
      <c r="R163" s="34" t="str">
        <f>IF($O163="","",IFERROR(CHOOSE(MATCH($F163,الإعدادات!$B$4:$B$7,0),INDEX('حضور سوريال'!$F$7:$F$36,$O163),INDEX('حضور غبريال'!$F$7:$F$36,$O163),INDEX('حضور رفائيل'!$F$7:$F$36,$O163),INDEX('حضور ميخائيل'!$F$7:$F$36,$O163)),""))</f>
        <v/>
      </c>
      <c r="S163" s="33" t="str">
        <f>IF($O163="","",IFERROR(CHOOSE(MATCH($F163,الإعدادات!$B$4:$B$7,0),INDEX('حضور سوريال'!$G$7:$G$36,$O163),INDEX('حضور غبريال'!$G$7:$G$36,$O163),INDEX('حضور رفائيل'!$G$7:$G$36,$O163),INDEX('حضور ميخائيل'!$G$7:$G$36,$O163)),""))</f>
        <v/>
      </c>
      <c r="T163" s="35" t="str">
        <f>IF($O163="","",IFERROR(CHOOSE(MATCH($F163,الإعدادات!$B$4:$B$7,0),INDEX('حضور سوريال'!$H$7:$H$36,$O163),INDEX('حضور غبريال'!$H$7:$H$36,$O163),INDEX('حضور رفائيل'!$H$7:$H$36,$O163),INDEX('حضور ميخائيل'!$H$7:$H$36,$O163)),""))</f>
        <v/>
      </c>
      <c r="U163" s="36" t="str">
        <f>IF($O163="","",IFERROR(CHOOSE(MATCH($F163,الإعدادات!$B$4:$B$7,0),INDEX('حضور سوريال'!$I$7:$I$36,$O163),INDEX('حضور غبريال'!$I$7:$I$36,$O163),INDEX('حضور رفائيل'!$I$7:$I$36,$O163),INDEX('حضور ميخائيل'!$I$7:$I$36,$O163)),""))</f>
        <v/>
      </c>
      <c r="V163" t="str">
        <f>IF($O163="","",IFERROR(CHOOSE(MATCH($F163,الإعدادات!$B$4:$B$7,0),INDEX('حضور سوريال'!$BM$7:$BM$36,$O163),INDEX('حضور غبريال'!$BM$7:$BM$36,$O163),INDEX('حضور رفائيل'!$BM$7:$BM$36,$O163),INDEX('حضور ميخائيل'!$BM$7:$BM$36,$O163)),""))</f>
        <v/>
      </c>
      <c r="W163" t="str">
        <f>IF(OR(V163=3,V163=4),COUNTIFS(V$6:V163,3)+COUNTIFS(V$6:V163,4),"")</f>
        <v/>
      </c>
    </row>
    <row r="164" spans="1:23" ht="25.5" customHeight="1">
      <c r="A164" s="26" t="str">
        <f t="shared" si="6"/>
        <v/>
      </c>
      <c r="B164" s="27" t="str">
        <f t="shared" si="7"/>
        <v/>
      </c>
      <c r="C164" s="28"/>
      <c r="D164" s="29"/>
      <c r="E164" s="29"/>
      <c r="F164" s="29"/>
      <c r="G164" s="29"/>
      <c r="H164" s="30"/>
      <c r="I164" s="30"/>
      <c r="J164" s="31"/>
      <c r="K164" s="29"/>
      <c r="L164" s="31"/>
      <c r="M164" s="29"/>
      <c r="N164" s="32" t="str">
        <f t="shared" si="8"/>
        <v/>
      </c>
      <c r="O164" s="32" t="str">
        <f>IF(OR(C164="",F164=""),"",COUNTIFS(F$6:F164,F164,C$6:C164,"&lt;&gt;"))</f>
        <v/>
      </c>
      <c r="P164" s="33" t="str">
        <f>IF($O164="","",IFERROR(CHOOSE(MATCH($F164,الإعدادات!$B$4:$B$7,0),INDEX('حضور سوريال'!$C$7:$C$36,$O164),INDEX('حضور غبريال'!$C$7:$C$36,$O164),INDEX('حضور رفائيل'!$C$7:$C$36,$O164),INDEX('حضور ميخائيل'!$C$7:$C$36,$O164)),""))</f>
        <v/>
      </c>
      <c r="Q164" s="33" t="str">
        <f>IF($O164="","",IFERROR(CHOOSE(MATCH($F164,الإعدادات!$B$4:$B$7,0),INDEX('حضور سوريال'!$D$7:$D$36,$O164),INDEX('حضور غبريال'!$D$7:$D$36,$O164),INDEX('حضور رفائيل'!$D$7:$D$36,$O164),INDEX('حضور ميخائيل'!$D$7:$D$36,$O164)),""))</f>
        <v/>
      </c>
      <c r="R164" s="34" t="str">
        <f>IF($O164="","",IFERROR(CHOOSE(MATCH($F164,الإعدادات!$B$4:$B$7,0),INDEX('حضور سوريال'!$F$7:$F$36,$O164),INDEX('حضور غبريال'!$F$7:$F$36,$O164),INDEX('حضور رفائيل'!$F$7:$F$36,$O164),INDEX('حضور ميخائيل'!$F$7:$F$36,$O164)),""))</f>
        <v/>
      </c>
      <c r="S164" s="33" t="str">
        <f>IF($O164="","",IFERROR(CHOOSE(MATCH($F164,الإعدادات!$B$4:$B$7,0),INDEX('حضور سوريال'!$G$7:$G$36,$O164),INDEX('حضور غبريال'!$G$7:$G$36,$O164),INDEX('حضور رفائيل'!$G$7:$G$36,$O164),INDEX('حضور ميخائيل'!$G$7:$G$36,$O164)),""))</f>
        <v/>
      </c>
      <c r="T164" s="35" t="str">
        <f>IF($O164="","",IFERROR(CHOOSE(MATCH($F164,الإعدادات!$B$4:$B$7,0),INDEX('حضور سوريال'!$H$7:$H$36,$O164),INDEX('حضور غبريال'!$H$7:$H$36,$O164),INDEX('حضور رفائيل'!$H$7:$H$36,$O164),INDEX('حضور ميخائيل'!$H$7:$H$36,$O164)),""))</f>
        <v/>
      </c>
      <c r="U164" s="36" t="str">
        <f>IF($O164="","",IFERROR(CHOOSE(MATCH($F164,الإعدادات!$B$4:$B$7,0),INDEX('حضور سوريال'!$I$7:$I$36,$O164),INDEX('حضور غبريال'!$I$7:$I$36,$O164),INDEX('حضور رفائيل'!$I$7:$I$36,$O164),INDEX('حضور ميخائيل'!$I$7:$I$36,$O164)),""))</f>
        <v/>
      </c>
      <c r="V164" t="str">
        <f>IF($O164="","",IFERROR(CHOOSE(MATCH($F164,الإعدادات!$B$4:$B$7,0),INDEX('حضور سوريال'!$BM$7:$BM$36,$O164),INDEX('حضور غبريال'!$BM$7:$BM$36,$O164),INDEX('حضور رفائيل'!$BM$7:$BM$36,$O164),INDEX('حضور ميخائيل'!$BM$7:$BM$36,$O164)),""))</f>
        <v/>
      </c>
      <c r="W164" t="str">
        <f>IF(OR(V164=3,V164=4),COUNTIFS(V$6:V164,3)+COUNTIFS(V$6:V164,4),"")</f>
        <v/>
      </c>
    </row>
    <row r="165" spans="1:23" ht="25.5" customHeight="1">
      <c r="A165" s="26" t="str">
        <f t="shared" si="6"/>
        <v/>
      </c>
      <c r="B165" s="27" t="str">
        <f t="shared" si="7"/>
        <v/>
      </c>
      <c r="C165" s="28"/>
      <c r="D165" s="29"/>
      <c r="E165" s="29"/>
      <c r="F165" s="29"/>
      <c r="G165" s="29"/>
      <c r="H165" s="30"/>
      <c r="I165" s="30"/>
      <c r="J165" s="31"/>
      <c r="K165" s="29"/>
      <c r="L165" s="31"/>
      <c r="M165" s="29"/>
      <c r="N165" s="32" t="str">
        <f t="shared" si="8"/>
        <v/>
      </c>
      <c r="O165" s="32" t="str">
        <f>IF(OR(C165="",F165=""),"",COUNTIFS(F$6:F165,F165,C$6:C165,"&lt;&gt;"))</f>
        <v/>
      </c>
      <c r="P165" s="33" t="str">
        <f>IF($O165="","",IFERROR(CHOOSE(MATCH($F165,الإعدادات!$B$4:$B$7,0),INDEX('حضور سوريال'!$C$7:$C$36,$O165),INDEX('حضور غبريال'!$C$7:$C$36,$O165),INDEX('حضور رفائيل'!$C$7:$C$36,$O165),INDEX('حضور ميخائيل'!$C$7:$C$36,$O165)),""))</f>
        <v/>
      </c>
      <c r="Q165" s="33" t="str">
        <f>IF($O165="","",IFERROR(CHOOSE(MATCH($F165,الإعدادات!$B$4:$B$7,0),INDEX('حضور سوريال'!$D$7:$D$36,$O165),INDEX('حضور غبريال'!$D$7:$D$36,$O165),INDEX('حضور رفائيل'!$D$7:$D$36,$O165),INDEX('حضور ميخائيل'!$D$7:$D$36,$O165)),""))</f>
        <v/>
      </c>
      <c r="R165" s="34" t="str">
        <f>IF($O165="","",IFERROR(CHOOSE(MATCH($F165,الإعدادات!$B$4:$B$7,0),INDEX('حضور سوريال'!$F$7:$F$36,$O165),INDEX('حضور غبريال'!$F$7:$F$36,$O165),INDEX('حضور رفائيل'!$F$7:$F$36,$O165),INDEX('حضور ميخائيل'!$F$7:$F$36,$O165)),""))</f>
        <v/>
      </c>
      <c r="S165" s="33" t="str">
        <f>IF($O165="","",IFERROR(CHOOSE(MATCH($F165,الإعدادات!$B$4:$B$7,0),INDEX('حضور سوريال'!$G$7:$G$36,$O165),INDEX('حضور غبريال'!$G$7:$G$36,$O165),INDEX('حضور رفائيل'!$G$7:$G$36,$O165),INDEX('حضور ميخائيل'!$G$7:$G$36,$O165)),""))</f>
        <v/>
      </c>
      <c r="T165" s="35" t="str">
        <f>IF($O165="","",IFERROR(CHOOSE(MATCH($F165,الإعدادات!$B$4:$B$7,0),INDEX('حضور سوريال'!$H$7:$H$36,$O165),INDEX('حضور غبريال'!$H$7:$H$36,$O165),INDEX('حضور رفائيل'!$H$7:$H$36,$O165),INDEX('حضور ميخائيل'!$H$7:$H$36,$O165)),""))</f>
        <v/>
      </c>
      <c r="U165" s="36" t="str">
        <f>IF($O165="","",IFERROR(CHOOSE(MATCH($F165,الإعدادات!$B$4:$B$7,0),INDEX('حضور سوريال'!$I$7:$I$36,$O165),INDEX('حضور غبريال'!$I$7:$I$36,$O165),INDEX('حضور رفائيل'!$I$7:$I$36,$O165),INDEX('حضور ميخائيل'!$I$7:$I$36,$O165)),""))</f>
        <v/>
      </c>
      <c r="V165" t="str">
        <f>IF($O165="","",IFERROR(CHOOSE(MATCH($F165,الإعدادات!$B$4:$B$7,0),INDEX('حضور سوريال'!$BM$7:$BM$36,$O165),INDEX('حضور غبريال'!$BM$7:$BM$36,$O165),INDEX('حضور رفائيل'!$BM$7:$BM$36,$O165),INDEX('حضور ميخائيل'!$BM$7:$BM$36,$O165)),""))</f>
        <v/>
      </c>
      <c r="W165" t="str">
        <f>IF(OR(V165=3,V165=4),COUNTIFS(V$6:V165,3)+COUNTIFS(V$6:V165,4),"")</f>
        <v/>
      </c>
    </row>
    <row r="166" spans="1:23" ht="25.5" customHeight="1">
      <c r="A166" s="26" t="str">
        <f t="shared" si="6"/>
        <v/>
      </c>
      <c r="B166" s="27" t="str">
        <f t="shared" si="7"/>
        <v/>
      </c>
      <c r="C166" s="28"/>
      <c r="D166" s="29"/>
      <c r="E166" s="29"/>
      <c r="F166" s="29"/>
      <c r="G166" s="29"/>
      <c r="H166" s="30"/>
      <c r="I166" s="30"/>
      <c r="J166" s="31"/>
      <c r="K166" s="29"/>
      <c r="L166" s="31"/>
      <c r="M166" s="29"/>
      <c r="N166" s="32" t="str">
        <f t="shared" si="8"/>
        <v/>
      </c>
      <c r="O166" s="32" t="str">
        <f>IF(OR(C166="",F166=""),"",COUNTIFS(F$6:F166,F166,C$6:C166,"&lt;&gt;"))</f>
        <v/>
      </c>
      <c r="P166" s="33" t="str">
        <f>IF($O166="","",IFERROR(CHOOSE(MATCH($F166,الإعدادات!$B$4:$B$7,0),INDEX('حضور سوريال'!$C$7:$C$36,$O166),INDEX('حضور غبريال'!$C$7:$C$36,$O166),INDEX('حضور رفائيل'!$C$7:$C$36,$O166),INDEX('حضور ميخائيل'!$C$7:$C$36,$O166)),""))</f>
        <v/>
      </c>
      <c r="Q166" s="33" t="str">
        <f>IF($O166="","",IFERROR(CHOOSE(MATCH($F166,الإعدادات!$B$4:$B$7,0),INDEX('حضور سوريال'!$D$7:$D$36,$O166),INDEX('حضور غبريال'!$D$7:$D$36,$O166),INDEX('حضور رفائيل'!$D$7:$D$36,$O166),INDEX('حضور ميخائيل'!$D$7:$D$36,$O166)),""))</f>
        <v/>
      </c>
      <c r="R166" s="34" t="str">
        <f>IF($O166="","",IFERROR(CHOOSE(MATCH($F166,الإعدادات!$B$4:$B$7,0),INDEX('حضور سوريال'!$F$7:$F$36,$O166),INDEX('حضور غبريال'!$F$7:$F$36,$O166),INDEX('حضور رفائيل'!$F$7:$F$36,$O166),INDEX('حضور ميخائيل'!$F$7:$F$36,$O166)),""))</f>
        <v/>
      </c>
      <c r="S166" s="33" t="str">
        <f>IF($O166="","",IFERROR(CHOOSE(MATCH($F166,الإعدادات!$B$4:$B$7,0),INDEX('حضور سوريال'!$G$7:$G$36,$O166),INDEX('حضور غبريال'!$G$7:$G$36,$O166),INDEX('حضور رفائيل'!$G$7:$G$36,$O166),INDEX('حضور ميخائيل'!$G$7:$G$36,$O166)),""))</f>
        <v/>
      </c>
      <c r="T166" s="35" t="str">
        <f>IF($O166="","",IFERROR(CHOOSE(MATCH($F166,الإعدادات!$B$4:$B$7,0),INDEX('حضور سوريال'!$H$7:$H$36,$O166),INDEX('حضور غبريال'!$H$7:$H$36,$O166),INDEX('حضور رفائيل'!$H$7:$H$36,$O166),INDEX('حضور ميخائيل'!$H$7:$H$36,$O166)),""))</f>
        <v/>
      </c>
      <c r="U166" s="36" t="str">
        <f>IF($O166="","",IFERROR(CHOOSE(MATCH($F166,الإعدادات!$B$4:$B$7,0),INDEX('حضور سوريال'!$I$7:$I$36,$O166),INDEX('حضور غبريال'!$I$7:$I$36,$O166),INDEX('حضور رفائيل'!$I$7:$I$36,$O166),INDEX('حضور ميخائيل'!$I$7:$I$36,$O166)),""))</f>
        <v/>
      </c>
      <c r="V166" t="str">
        <f>IF($O166="","",IFERROR(CHOOSE(MATCH($F166,الإعدادات!$B$4:$B$7,0),INDEX('حضور سوريال'!$BM$7:$BM$36,$O166),INDEX('حضور غبريال'!$BM$7:$BM$36,$O166),INDEX('حضور رفائيل'!$BM$7:$BM$36,$O166),INDEX('حضور ميخائيل'!$BM$7:$BM$36,$O166)),""))</f>
        <v/>
      </c>
      <c r="W166" t="str">
        <f>IF(OR(V166=3,V166=4),COUNTIFS(V$6:V166,3)+COUNTIFS(V$6:V166,4),"")</f>
        <v/>
      </c>
    </row>
    <row r="167" spans="1:23" ht="25.5" customHeight="1">
      <c r="A167" s="26" t="str">
        <f t="shared" si="6"/>
        <v/>
      </c>
      <c r="B167" s="27" t="str">
        <f t="shared" si="7"/>
        <v/>
      </c>
      <c r="C167" s="28"/>
      <c r="D167" s="29"/>
      <c r="E167" s="29"/>
      <c r="F167" s="29"/>
      <c r="G167" s="29"/>
      <c r="H167" s="30"/>
      <c r="I167" s="30"/>
      <c r="J167" s="31"/>
      <c r="K167" s="29"/>
      <c r="L167" s="31"/>
      <c r="M167" s="29"/>
      <c r="N167" s="32" t="str">
        <f t="shared" si="8"/>
        <v/>
      </c>
      <c r="O167" s="32" t="str">
        <f>IF(OR(C167="",F167=""),"",COUNTIFS(F$6:F167,F167,C$6:C167,"&lt;&gt;"))</f>
        <v/>
      </c>
      <c r="P167" s="33" t="str">
        <f>IF($O167="","",IFERROR(CHOOSE(MATCH($F167,الإعدادات!$B$4:$B$7,0),INDEX('حضور سوريال'!$C$7:$C$36,$O167),INDEX('حضور غبريال'!$C$7:$C$36,$O167),INDEX('حضور رفائيل'!$C$7:$C$36,$O167),INDEX('حضور ميخائيل'!$C$7:$C$36,$O167)),""))</f>
        <v/>
      </c>
      <c r="Q167" s="33" t="str">
        <f>IF($O167="","",IFERROR(CHOOSE(MATCH($F167,الإعدادات!$B$4:$B$7,0),INDEX('حضور سوريال'!$D$7:$D$36,$O167),INDEX('حضور غبريال'!$D$7:$D$36,$O167),INDEX('حضور رفائيل'!$D$7:$D$36,$O167),INDEX('حضور ميخائيل'!$D$7:$D$36,$O167)),""))</f>
        <v/>
      </c>
      <c r="R167" s="34" t="str">
        <f>IF($O167="","",IFERROR(CHOOSE(MATCH($F167,الإعدادات!$B$4:$B$7,0),INDEX('حضور سوريال'!$F$7:$F$36,$O167),INDEX('حضور غبريال'!$F$7:$F$36,$O167),INDEX('حضور رفائيل'!$F$7:$F$36,$O167),INDEX('حضور ميخائيل'!$F$7:$F$36,$O167)),""))</f>
        <v/>
      </c>
      <c r="S167" s="33" t="str">
        <f>IF($O167="","",IFERROR(CHOOSE(MATCH($F167,الإعدادات!$B$4:$B$7,0),INDEX('حضور سوريال'!$G$7:$G$36,$O167),INDEX('حضور غبريال'!$G$7:$G$36,$O167),INDEX('حضور رفائيل'!$G$7:$G$36,$O167),INDEX('حضور ميخائيل'!$G$7:$G$36,$O167)),""))</f>
        <v/>
      </c>
      <c r="T167" s="35" t="str">
        <f>IF($O167="","",IFERROR(CHOOSE(MATCH($F167,الإعدادات!$B$4:$B$7,0),INDEX('حضور سوريال'!$H$7:$H$36,$O167),INDEX('حضور غبريال'!$H$7:$H$36,$O167),INDEX('حضور رفائيل'!$H$7:$H$36,$O167),INDEX('حضور ميخائيل'!$H$7:$H$36,$O167)),""))</f>
        <v/>
      </c>
      <c r="U167" s="36" t="str">
        <f>IF($O167="","",IFERROR(CHOOSE(MATCH($F167,الإعدادات!$B$4:$B$7,0),INDEX('حضور سوريال'!$I$7:$I$36,$O167),INDEX('حضور غبريال'!$I$7:$I$36,$O167),INDEX('حضور رفائيل'!$I$7:$I$36,$O167),INDEX('حضور ميخائيل'!$I$7:$I$36,$O167)),""))</f>
        <v/>
      </c>
      <c r="V167" t="str">
        <f>IF($O167="","",IFERROR(CHOOSE(MATCH($F167,الإعدادات!$B$4:$B$7,0),INDEX('حضور سوريال'!$BM$7:$BM$36,$O167),INDEX('حضور غبريال'!$BM$7:$BM$36,$O167),INDEX('حضور رفائيل'!$BM$7:$BM$36,$O167),INDEX('حضور ميخائيل'!$BM$7:$BM$36,$O167)),""))</f>
        <v/>
      </c>
      <c r="W167" t="str">
        <f>IF(OR(V167=3,V167=4),COUNTIFS(V$6:V167,3)+COUNTIFS(V$6:V167,4),"")</f>
        <v/>
      </c>
    </row>
    <row r="168" spans="1:23" ht="25.5" customHeight="1">
      <c r="A168" s="26" t="str">
        <f t="shared" si="6"/>
        <v/>
      </c>
      <c r="B168" s="27" t="str">
        <f t="shared" si="7"/>
        <v/>
      </c>
      <c r="C168" s="28"/>
      <c r="D168" s="29"/>
      <c r="E168" s="29"/>
      <c r="F168" s="29"/>
      <c r="G168" s="29"/>
      <c r="H168" s="30"/>
      <c r="I168" s="30"/>
      <c r="J168" s="31"/>
      <c r="K168" s="29"/>
      <c r="L168" s="31"/>
      <c r="M168" s="29"/>
      <c r="N168" s="32" t="str">
        <f t="shared" si="8"/>
        <v/>
      </c>
      <c r="O168" s="32" t="str">
        <f>IF(OR(C168="",F168=""),"",COUNTIFS(F$6:F168,F168,C$6:C168,"&lt;&gt;"))</f>
        <v/>
      </c>
      <c r="P168" s="33" t="str">
        <f>IF($O168="","",IFERROR(CHOOSE(MATCH($F168,الإعدادات!$B$4:$B$7,0),INDEX('حضور سوريال'!$C$7:$C$36,$O168),INDEX('حضور غبريال'!$C$7:$C$36,$O168),INDEX('حضور رفائيل'!$C$7:$C$36,$O168),INDEX('حضور ميخائيل'!$C$7:$C$36,$O168)),""))</f>
        <v/>
      </c>
      <c r="Q168" s="33" t="str">
        <f>IF($O168="","",IFERROR(CHOOSE(MATCH($F168,الإعدادات!$B$4:$B$7,0),INDEX('حضور سوريال'!$D$7:$D$36,$O168),INDEX('حضور غبريال'!$D$7:$D$36,$O168),INDEX('حضور رفائيل'!$D$7:$D$36,$O168),INDEX('حضور ميخائيل'!$D$7:$D$36,$O168)),""))</f>
        <v/>
      </c>
      <c r="R168" s="34" t="str">
        <f>IF($O168="","",IFERROR(CHOOSE(MATCH($F168,الإعدادات!$B$4:$B$7,0),INDEX('حضور سوريال'!$F$7:$F$36,$O168),INDEX('حضور غبريال'!$F$7:$F$36,$O168),INDEX('حضور رفائيل'!$F$7:$F$36,$O168),INDEX('حضور ميخائيل'!$F$7:$F$36,$O168)),""))</f>
        <v/>
      </c>
      <c r="S168" s="33" t="str">
        <f>IF($O168="","",IFERROR(CHOOSE(MATCH($F168,الإعدادات!$B$4:$B$7,0),INDEX('حضور سوريال'!$G$7:$G$36,$O168),INDEX('حضور غبريال'!$G$7:$G$36,$O168),INDEX('حضور رفائيل'!$G$7:$G$36,$O168),INDEX('حضور ميخائيل'!$G$7:$G$36,$O168)),""))</f>
        <v/>
      </c>
      <c r="T168" s="35" t="str">
        <f>IF($O168="","",IFERROR(CHOOSE(MATCH($F168,الإعدادات!$B$4:$B$7,0),INDEX('حضور سوريال'!$H$7:$H$36,$O168),INDEX('حضور غبريال'!$H$7:$H$36,$O168),INDEX('حضور رفائيل'!$H$7:$H$36,$O168),INDEX('حضور ميخائيل'!$H$7:$H$36,$O168)),""))</f>
        <v/>
      </c>
      <c r="U168" s="36" t="str">
        <f>IF($O168="","",IFERROR(CHOOSE(MATCH($F168,الإعدادات!$B$4:$B$7,0),INDEX('حضور سوريال'!$I$7:$I$36,$O168),INDEX('حضور غبريال'!$I$7:$I$36,$O168),INDEX('حضور رفائيل'!$I$7:$I$36,$O168),INDEX('حضور ميخائيل'!$I$7:$I$36,$O168)),""))</f>
        <v/>
      </c>
      <c r="V168" t="str">
        <f>IF($O168="","",IFERROR(CHOOSE(MATCH($F168,الإعدادات!$B$4:$B$7,0),INDEX('حضور سوريال'!$BM$7:$BM$36,$O168),INDEX('حضور غبريال'!$BM$7:$BM$36,$O168),INDEX('حضور رفائيل'!$BM$7:$BM$36,$O168),INDEX('حضور ميخائيل'!$BM$7:$BM$36,$O168)),""))</f>
        <v/>
      </c>
      <c r="W168" t="str">
        <f>IF(OR(V168=3,V168=4),COUNTIFS(V$6:V168,3)+COUNTIFS(V$6:V168,4),"")</f>
        <v/>
      </c>
    </row>
    <row r="169" spans="1:23" ht="25.5" customHeight="1">
      <c r="A169" s="26" t="str">
        <f t="shared" si="6"/>
        <v/>
      </c>
      <c r="B169" s="27" t="str">
        <f t="shared" si="7"/>
        <v/>
      </c>
      <c r="C169" s="28"/>
      <c r="D169" s="29"/>
      <c r="E169" s="29"/>
      <c r="F169" s="29"/>
      <c r="G169" s="29"/>
      <c r="H169" s="30"/>
      <c r="I169" s="30"/>
      <c r="J169" s="31"/>
      <c r="K169" s="29"/>
      <c r="L169" s="31"/>
      <c r="M169" s="29"/>
      <c r="N169" s="32" t="str">
        <f t="shared" si="8"/>
        <v/>
      </c>
      <c r="O169" s="32" t="str">
        <f>IF(OR(C169="",F169=""),"",COUNTIFS(F$6:F169,F169,C$6:C169,"&lt;&gt;"))</f>
        <v/>
      </c>
      <c r="P169" s="33" t="str">
        <f>IF($O169="","",IFERROR(CHOOSE(MATCH($F169,الإعدادات!$B$4:$B$7,0),INDEX('حضور سوريال'!$C$7:$C$36,$O169),INDEX('حضور غبريال'!$C$7:$C$36,$O169),INDEX('حضور رفائيل'!$C$7:$C$36,$O169),INDEX('حضور ميخائيل'!$C$7:$C$36,$O169)),""))</f>
        <v/>
      </c>
      <c r="Q169" s="33" t="str">
        <f>IF($O169="","",IFERROR(CHOOSE(MATCH($F169,الإعدادات!$B$4:$B$7,0),INDEX('حضور سوريال'!$D$7:$D$36,$O169),INDEX('حضور غبريال'!$D$7:$D$36,$O169),INDEX('حضور رفائيل'!$D$7:$D$36,$O169),INDEX('حضور ميخائيل'!$D$7:$D$36,$O169)),""))</f>
        <v/>
      </c>
      <c r="R169" s="34" t="str">
        <f>IF($O169="","",IFERROR(CHOOSE(MATCH($F169,الإعدادات!$B$4:$B$7,0),INDEX('حضور سوريال'!$F$7:$F$36,$O169),INDEX('حضور غبريال'!$F$7:$F$36,$O169),INDEX('حضور رفائيل'!$F$7:$F$36,$O169),INDEX('حضور ميخائيل'!$F$7:$F$36,$O169)),""))</f>
        <v/>
      </c>
      <c r="S169" s="33" t="str">
        <f>IF($O169="","",IFERROR(CHOOSE(MATCH($F169,الإعدادات!$B$4:$B$7,0),INDEX('حضور سوريال'!$G$7:$G$36,$O169),INDEX('حضور غبريال'!$G$7:$G$36,$O169),INDEX('حضور رفائيل'!$G$7:$G$36,$O169),INDEX('حضور ميخائيل'!$G$7:$G$36,$O169)),""))</f>
        <v/>
      </c>
      <c r="T169" s="35" t="str">
        <f>IF($O169="","",IFERROR(CHOOSE(MATCH($F169,الإعدادات!$B$4:$B$7,0),INDEX('حضور سوريال'!$H$7:$H$36,$O169),INDEX('حضور غبريال'!$H$7:$H$36,$O169),INDEX('حضور رفائيل'!$H$7:$H$36,$O169),INDEX('حضور ميخائيل'!$H$7:$H$36,$O169)),""))</f>
        <v/>
      </c>
      <c r="U169" s="36" t="str">
        <f>IF($O169="","",IFERROR(CHOOSE(MATCH($F169,الإعدادات!$B$4:$B$7,0),INDEX('حضور سوريال'!$I$7:$I$36,$O169),INDEX('حضور غبريال'!$I$7:$I$36,$O169),INDEX('حضور رفائيل'!$I$7:$I$36,$O169),INDEX('حضور ميخائيل'!$I$7:$I$36,$O169)),""))</f>
        <v/>
      </c>
      <c r="V169" t="str">
        <f>IF($O169="","",IFERROR(CHOOSE(MATCH($F169,الإعدادات!$B$4:$B$7,0),INDEX('حضور سوريال'!$BM$7:$BM$36,$O169),INDEX('حضور غبريال'!$BM$7:$BM$36,$O169),INDEX('حضور رفائيل'!$BM$7:$BM$36,$O169),INDEX('حضور ميخائيل'!$BM$7:$BM$36,$O169)),""))</f>
        <v/>
      </c>
      <c r="W169" t="str">
        <f>IF(OR(V169=3,V169=4),COUNTIFS(V$6:V169,3)+COUNTIFS(V$6:V169,4),"")</f>
        <v/>
      </c>
    </row>
    <row r="170" spans="1:23" ht="25.5" customHeight="1">
      <c r="A170" s="26" t="str">
        <f t="shared" si="6"/>
        <v/>
      </c>
      <c r="B170" s="27" t="str">
        <f t="shared" si="7"/>
        <v/>
      </c>
      <c r="C170" s="28"/>
      <c r="D170" s="29"/>
      <c r="E170" s="29"/>
      <c r="F170" s="29"/>
      <c r="G170" s="29"/>
      <c r="H170" s="30"/>
      <c r="I170" s="30"/>
      <c r="J170" s="31"/>
      <c r="K170" s="29"/>
      <c r="L170" s="31"/>
      <c r="M170" s="29"/>
      <c r="N170" s="32" t="str">
        <f t="shared" si="8"/>
        <v/>
      </c>
      <c r="O170" s="32" t="str">
        <f>IF(OR(C170="",F170=""),"",COUNTIFS(F$6:F170,F170,C$6:C170,"&lt;&gt;"))</f>
        <v/>
      </c>
      <c r="P170" s="33" t="str">
        <f>IF($O170="","",IFERROR(CHOOSE(MATCH($F170,الإعدادات!$B$4:$B$7,0),INDEX('حضور سوريال'!$C$7:$C$36,$O170),INDEX('حضور غبريال'!$C$7:$C$36,$O170),INDEX('حضور رفائيل'!$C$7:$C$36,$O170),INDEX('حضور ميخائيل'!$C$7:$C$36,$O170)),""))</f>
        <v/>
      </c>
      <c r="Q170" s="33" t="str">
        <f>IF($O170="","",IFERROR(CHOOSE(MATCH($F170,الإعدادات!$B$4:$B$7,0),INDEX('حضور سوريال'!$D$7:$D$36,$O170),INDEX('حضور غبريال'!$D$7:$D$36,$O170),INDEX('حضور رفائيل'!$D$7:$D$36,$O170),INDEX('حضور ميخائيل'!$D$7:$D$36,$O170)),""))</f>
        <v/>
      </c>
      <c r="R170" s="34" t="str">
        <f>IF($O170="","",IFERROR(CHOOSE(MATCH($F170,الإعدادات!$B$4:$B$7,0),INDEX('حضور سوريال'!$F$7:$F$36,$O170),INDEX('حضور غبريال'!$F$7:$F$36,$O170),INDEX('حضور رفائيل'!$F$7:$F$36,$O170),INDEX('حضور ميخائيل'!$F$7:$F$36,$O170)),""))</f>
        <v/>
      </c>
      <c r="S170" s="33" t="str">
        <f>IF($O170="","",IFERROR(CHOOSE(MATCH($F170,الإعدادات!$B$4:$B$7,0),INDEX('حضور سوريال'!$G$7:$G$36,$O170),INDEX('حضور غبريال'!$G$7:$G$36,$O170),INDEX('حضور رفائيل'!$G$7:$G$36,$O170),INDEX('حضور ميخائيل'!$G$7:$G$36,$O170)),""))</f>
        <v/>
      </c>
      <c r="T170" s="35" t="str">
        <f>IF($O170="","",IFERROR(CHOOSE(MATCH($F170,الإعدادات!$B$4:$B$7,0),INDEX('حضور سوريال'!$H$7:$H$36,$O170),INDEX('حضور غبريال'!$H$7:$H$36,$O170),INDEX('حضور رفائيل'!$H$7:$H$36,$O170),INDEX('حضور ميخائيل'!$H$7:$H$36,$O170)),""))</f>
        <v/>
      </c>
      <c r="U170" s="36" t="str">
        <f>IF($O170="","",IFERROR(CHOOSE(MATCH($F170,الإعدادات!$B$4:$B$7,0),INDEX('حضور سوريال'!$I$7:$I$36,$O170),INDEX('حضور غبريال'!$I$7:$I$36,$O170),INDEX('حضور رفائيل'!$I$7:$I$36,$O170),INDEX('حضور ميخائيل'!$I$7:$I$36,$O170)),""))</f>
        <v/>
      </c>
      <c r="V170" t="str">
        <f>IF($O170="","",IFERROR(CHOOSE(MATCH($F170,الإعدادات!$B$4:$B$7,0),INDEX('حضور سوريال'!$BM$7:$BM$36,$O170),INDEX('حضور غبريال'!$BM$7:$BM$36,$O170),INDEX('حضور رفائيل'!$BM$7:$BM$36,$O170),INDEX('حضور ميخائيل'!$BM$7:$BM$36,$O170)),""))</f>
        <v/>
      </c>
      <c r="W170" t="str">
        <f>IF(OR(V170=3,V170=4),COUNTIFS(V$6:V170,3)+COUNTIFS(V$6:V170,4),"")</f>
        <v/>
      </c>
    </row>
    <row r="171" spans="1:23" ht="25.5" customHeight="1">
      <c r="A171" s="26" t="str">
        <f t="shared" si="6"/>
        <v/>
      </c>
      <c r="B171" s="27" t="str">
        <f t="shared" si="7"/>
        <v/>
      </c>
      <c r="C171" s="28"/>
      <c r="D171" s="29"/>
      <c r="E171" s="29"/>
      <c r="F171" s="29"/>
      <c r="G171" s="29"/>
      <c r="H171" s="30"/>
      <c r="I171" s="30"/>
      <c r="J171" s="31"/>
      <c r="K171" s="29"/>
      <c r="L171" s="31"/>
      <c r="M171" s="29"/>
      <c r="N171" s="32" t="str">
        <f t="shared" si="8"/>
        <v/>
      </c>
      <c r="O171" s="32" t="str">
        <f>IF(OR(C171="",F171=""),"",COUNTIFS(F$6:F171,F171,C$6:C171,"&lt;&gt;"))</f>
        <v/>
      </c>
      <c r="P171" s="33" t="str">
        <f>IF($O171="","",IFERROR(CHOOSE(MATCH($F171,الإعدادات!$B$4:$B$7,0),INDEX('حضور سوريال'!$C$7:$C$36,$O171),INDEX('حضور غبريال'!$C$7:$C$36,$O171),INDEX('حضور رفائيل'!$C$7:$C$36,$O171),INDEX('حضور ميخائيل'!$C$7:$C$36,$O171)),""))</f>
        <v/>
      </c>
      <c r="Q171" s="33" t="str">
        <f>IF($O171="","",IFERROR(CHOOSE(MATCH($F171,الإعدادات!$B$4:$B$7,0),INDEX('حضور سوريال'!$D$7:$D$36,$O171),INDEX('حضور غبريال'!$D$7:$D$36,$O171),INDEX('حضور رفائيل'!$D$7:$D$36,$O171),INDEX('حضور ميخائيل'!$D$7:$D$36,$O171)),""))</f>
        <v/>
      </c>
      <c r="R171" s="34" t="str">
        <f>IF($O171="","",IFERROR(CHOOSE(MATCH($F171,الإعدادات!$B$4:$B$7,0),INDEX('حضور سوريال'!$F$7:$F$36,$O171),INDEX('حضور غبريال'!$F$7:$F$36,$O171),INDEX('حضور رفائيل'!$F$7:$F$36,$O171),INDEX('حضور ميخائيل'!$F$7:$F$36,$O171)),""))</f>
        <v/>
      </c>
      <c r="S171" s="33" t="str">
        <f>IF($O171="","",IFERROR(CHOOSE(MATCH($F171,الإعدادات!$B$4:$B$7,0),INDEX('حضور سوريال'!$G$7:$G$36,$O171),INDEX('حضور غبريال'!$G$7:$G$36,$O171),INDEX('حضور رفائيل'!$G$7:$G$36,$O171),INDEX('حضور ميخائيل'!$G$7:$G$36,$O171)),""))</f>
        <v/>
      </c>
      <c r="T171" s="35" t="str">
        <f>IF($O171="","",IFERROR(CHOOSE(MATCH($F171,الإعدادات!$B$4:$B$7,0),INDEX('حضور سوريال'!$H$7:$H$36,$O171),INDEX('حضور غبريال'!$H$7:$H$36,$O171),INDEX('حضور رفائيل'!$H$7:$H$36,$O171),INDEX('حضور ميخائيل'!$H$7:$H$36,$O171)),""))</f>
        <v/>
      </c>
      <c r="U171" s="36" t="str">
        <f>IF($O171="","",IFERROR(CHOOSE(MATCH($F171,الإعدادات!$B$4:$B$7,0),INDEX('حضور سوريال'!$I$7:$I$36,$O171),INDEX('حضور غبريال'!$I$7:$I$36,$O171),INDEX('حضور رفائيل'!$I$7:$I$36,$O171),INDEX('حضور ميخائيل'!$I$7:$I$36,$O171)),""))</f>
        <v/>
      </c>
      <c r="V171" t="str">
        <f>IF($O171="","",IFERROR(CHOOSE(MATCH($F171,الإعدادات!$B$4:$B$7,0),INDEX('حضور سوريال'!$BM$7:$BM$36,$O171),INDEX('حضور غبريال'!$BM$7:$BM$36,$O171),INDEX('حضور رفائيل'!$BM$7:$BM$36,$O171),INDEX('حضور ميخائيل'!$BM$7:$BM$36,$O171)),""))</f>
        <v/>
      </c>
      <c r="W171" t="str">
        <f>IF(OR(V171=3,V171=4),COUNTIFS(V$6:V171,3)+COUNTIFS(V$6:V171,4),"")</f>
        <v/>
      </c>
    </row>
    <row r="172" spans="1:23" ht="25.5" customHeight="1">
      <c r="A172" s="26" t="str">
        <f t="shared" si="6"/>
        <v/>
      </c>
      <c r="B172" s="27" t="str">
        <f t="shared" si="7"/>
        <v/>
      </c>
      <c r="C172" s="28"/>
      <c r="D172" s="29"/>
      <c r="E172" s="29"/>
      <c r="F172" s="29"/>
      <c r="G172" s="29"/>
      <c r="H172" s="30"/>
      <c r="I172" s="30"/>
      <c r="J172" s="31"/>
      <c r="K172" s="29"/>
      <c r="L172" s="31"/>
      <c r="M172" s="29"/>
      <c r="N172" s="32" t="str">
        <f t="shared" si="8"/>
        <v/>
      </c>
      <c r="O172" s="32" t="str">
        <f>IF(OR(C172="",F172=""),"",COUNTIFS(F$6:F172,F172,C$6:C172,"&lt;&gt;"))</f>
        <v/>
      </c>
      <c r="P172" s="33" t="str">
        <f>IF($O172="","",IFERROR(CHOOSE(MATCH($F172,الإعدادات!$B$4:$B$7,0),INDEX('حضور سوريال'!$C$7:$C$36,$O172),INDEX('حضور غبريال'!$C$7:$C$36,$O172),INDEX('حضور رفائيل'!$C$7:$C$36,$O172),INDEX('حضور ميخائيل'!$C$7:$C$36,$O172)),""))</f>
        <v/>
      </c>
      <c r="Q172" s="33" t="str">
        <f>IF($O172="","",IFERROR(CHOOSE(MATCH($F172,الإعدادات!$B$4:$B$7,0),INDEX('حضور سوريال'!$D$7:$D$36,$O172),INDEX('حضور غبريال'!$D$7:$D$36,$O172),INDEX('حضور رفائيل'!$D$7:$D$36,$O172),INDEX('حضور ميخائيل'!$D$7:$D$36,$O172)),""))</f>
        <v/>
      </c>
      <c r="R172" s="34" t="str">
        <f>IF($O172="","",IFERROR(CHOOSE(MATCH($F172,الإعدادات!$B$4:$B$7,0),INDEX('حضور سوريال'!$F$7:$F$36,$O172),INDEX('حضور غبريال'!$F$7:$F$36,$O172),INDEX('حضور رفائيل'!$F$7:$F$36,$O172),INDEX('حضور ميخائيل'!$F$7:$F$36,$O172)),""))</f>
        <v/>
      </c>
      <c r="S172" s="33" t="str">
        <f>IF($O172="","",IFERROR(CHOOSE(MATCH($F172,الإعدادات!$B$4:$B$7,0),INDEX('حضور سوريال'!$G$7:$G$36,$O172),INDEX('حضور غبريال'!$G$7:$G$36,$O172),INDEX('حضور رفائيل'!$G$7:$G$36,$O172),INDEX('حضور ميخائيل'!$G$7:$G$36,$O172)),""))</f>
        <v/>
      </c>
      <c r="T172" s="35" t="str">
        <f>IF($O172="","",IFERROR(CHOOSE(MATCH($F172,الإعدادات!$B$4:$B$7,0),INDEX('حضور سوريال'!$H$7:$H$36,$O172),INDEX('حضور غبريال'!$H$7:$H$36,$O172),INDEX('حضور رفائيل'!$H$7:$H$36,$O172),INDEX('حضور ميخائيل'!$H$7:$H$36,$O172)),""))</f>
        <v/>
      </c>
      <c r="U172" s="36" t="str">
        <f>IF($O172="","",IFERROR(CHOOSE(MATCH($F172,الإعدادات!$B$4:$B$7,0),INDEX('حضور سوريال'!$I$7:$I$36,$O172),INDEX('حضور غبريال'!$I$7:$I$36,$O172),INDEX('حضور رفائيل'!$I$7:$I$36,$O172),INDEX('حضور ميخائيل'!$I$7:$I$36,$O172)),""))</f>
        <v/>
      </c>
      <c r="V172" t="str">
        <f>IF($O172="","",IFERROR(CHOOSE(MATCH($F172,الإعدادات!$B$4:$B$7,0),INDEX('حضور سوريال'!$BM$7:$BM$36,$O172),INDEX('حضور غبريال'!$BM$7:$BM$36,$O172),INDEX('حضور رفائيل'!$BM$7:$BM$36,$O172),INDEX('حضور ميخائيل'!$BM$7:$BM$36,$O172)),""))</f>
        <v/>
      </c>
      <c r="W172" t="str">
        <f>IF(OR(V172=3,V172=4),COUNTIFS(V$6:V172,3)+COUNTIFS(V$6:V172,4),"")</f>
        <v/>
      </c>
    </row>
    <row r="173" spans="1:23" ht="25.5" customHeight="1">
      <c r="A173" s="26" t="str">
        <f t="shared" si="6"/>
        <v/>
      </c>
      <c r="B173" s="27" t="str">
        <f t="shared" si="7"/>
        <v/>
      </c>
      <c r="C173" s="28"/>
      <c r="D173" s="29"/>
      <c r="E173" s="29"/>
      <c r="F173" s="29"/>
      <c r="G173" s="29"/>
      <c r="H173" s="30"/>
      <c r="I173" s="30"/>
      <c r="J173" s="31"/>
      <c r="K173" s="29"/>
      <c r="L173" s="31"/>
      <c r="M173" s="29"/>
      <c r="N173" s="32" t="str">
        <f t="shared" si="8"/>
        <v/>
      </c>
      <c r="O173" s="32" t="str">
        <f>IF(OR(C173="",F173=""),"",COUNTIFS(F$6:F173,F173,C$6:C173,"&lt;&gt;"))</f>
        <v/>
      </c>
      <c r="P173" s="33" t="str">
        <f>IF($O173="","",IFERROR(CHOOSE(MATCH($F173,الإعدادات!$B$4:$B$7,0),INDEX('حضور سوريال'!$C$7:$C$36,$O173),INDEX('حضور غبريال'!$C$7:$C$36,$O173),INDEX('حضور رفائيل'!$C$7:$C$36,$O173),INDEX('حضور ميخائيل'!$C$7:$C$36,$O173)),""))</f>
        <v/>
      </c>
      <c r="Q173" s="33" t="str">
        <f>IF($O173="","",IFERROR(CHOOSE(MATCH($F173,الإعدادات!$B$4:$B$7,0),INDEX('حضور سوريال'!$D$7:$D$36,$O173),INDEX('حضور غبريال'!$D$7:$D$36,$O173),INDEX('حضور رفائيل'!$D$7:$D$36,$O173),INDEX('حضور ميخائيل'!$D$7:$D$36,$O173)),""))</f>
        <v/>
      </c>
      <c r="R173" s="34" t="str">
        <f>IF($O173="","",IFERROR(CHOOSE(MATCH($F173,الإعدادات!$B$4:$B$7,0),INDEX('حضور سوريال'!$F$7:$F$36,$O173),INDEX('حضور غبريال'!$F$7:$F$36,$O173),INDEX('حضور رفائيل'!$F$7:$F$36,$O173),INDEX('حضور ميخائيل'!$F$7:$F$36,$O173)),""))</f>
        <v/>
      </c>
      <c r="S173" s="33" t="str">
        <f>IF($O173="","",IFERROR(CHOOSE(MATCH($F173,الإعدادات!$B$4:$B$7,0),INDEX('حضور سوريال'!$G$7:$G$36,$O173),INDEX('حضور غبريال'!$G$7:$G$36,$O173),INDEX('حضور رفائيل'!$G$7:$G$36,$O173),INDEX('حضور ميخائيل'!$G$7:$G$36,$O173)),""))</f>
        <v/>
      </c>
      <c r="T173" s="35" t="str">
        <f>IF($O173="","",IFERROR(CHOOSE(MATCH($F173,الإعدادات!$B$4:$B$7,0),INDEX('حضور سوريال'!$H$7:$H$36,$O173),INDEX('حضور غبريال'!$H$7:$H$36,$O173),INDEX('حضور رفائيل'!$H$7:$H$36,$O173),INDEX('حضور ميخائيل'!$H$7:$H$36,$O173)),""))</f>
        <v/>
      </c>
      <c r="U173" s="36" t="str">
        <f>IF($O173="","",IFERROR(CHOOSE(MATCH($F173,الإعدادات!$B$4:$B$7,0),INDEX('حضور سوريال'!$I$7:$I$36,$O173),INDEX('حضور غبريال'!$I$7:$I$36,$O173),INDEX('حضور رفائيل'!$I$7:$I$36,$O173),INDEX('حضور ميخائيل'!$I$7:$I$36,$O173)),""))</f>
        <v/>
      </c>
      <c r="V173" t="str">
        <f>IF($O173="","",IFERROR(CHOOSE(MATCH($F173,الإعدادات!$B$4:$B$7,0),INDEX('حضور سوريال'!$BM$7:$BM$36,$O173),INDEX('حضور غبريال'!$BM$7:$BM$36,$O173),INDEX('حضور رفائيل'!$BM$7:$BM$36,$O173),INDEX('حضور ميخائيل'!$BM$7:$BM$36,$O173)),""))</f>
        <v/>
      </c>
      <c r="W173" t="str">
        <f>IF(OR(V173=3,V173=4),COUNTIFS(V$6:V173,3)+COUNTIFS(V$6:V173,4),"")</f>
        <v/>
      </c>
    </row>
    <row r="174" spans="1:23" ht="25.5" customHeight="1">
      <c r="A174" s="26" t="str">
        <f t="shared" si="6"/>
        <v/>
      </c>
      <c r="B174" s="27" t="str">
        <f t="shared" si="7"/>
        <v/>
      </c>
      <c r="C174" s="28"/>
      <c r="D174" s="29"/>
      <c r="E174" s="29"/>
      <c r="F174" s="29"/>
      <c r="G174" s="29"/>
      <c r="H174" s="30"/>
      <c r="I174" s="30"/>
      <c r="J174" s="31"/>
      <c r="K174" s="29"/>
      <c r="L174" s="31"/>
      <c r="M174" s="29"/>
      <c r="N174" s="32" t="str">
        <f t="shared" si="8"/>
        <v/>
      </c>
      <c r="O174" s="32" t="str">
        <f>IF(OR(C174="",F174=""),"",COUNTIFS(F$6:F174,F174,C$6:C174,"&lt;&gt;"))</f>
        <v/>
      </c>
      <c r="P174" s="33" t="str">
        <f>IF($O174="","",IFERROR(CHOOSE(MATCH($F174,الإعدادات!$B$4:$B$7,0),INDEX('حضور سوريال'!$C$7:$C$36,$O174),INDEX('حضور غبريال'!$C$7:$C$36,$O174),INDEX('حضور رفائيل'!$C$7:$C$36,$O174),INDEX('حضور ميخائيل'!$C$7:$C$36,$O174)),""))</f>
        <v/>
      </c>
      <c r="Q174" s="33" t="str">
        <f>IF($O174="","",IFERROR(CHOOSE(MATCH($F174,الإعدادات!$B$4:$B$7,0),INDEX('حضور سوريال'!$D$7:$D$36,$O174),INDEX('حضور غبريال'!$D$7:$D$36,$O174),INDEX('حضور رفائيل'!$D$7:$D$36,$O174),INDEX('حضور ميخائيل'!$D$7:$D$36,$O174)),""))</f>
        <v/>
      </c>
      <c r="R174" s="34" t="str">
        <f>IF($O174="","",IFERROR(CHOOSE(MATCH($F174,الإعدادات!$B$4:$B$7,0),INDEX('حضور سوريال'!$F$7:$F$36,$O174),INDEX('حضور غبريال'!$F$7:$F$36,$O174),INDEX('حضور رفائيل'!$F$7:$F$36,$O174),INDEX('حضور ميخائيل'!$F$7:$F$36,$O174)),""))</f>
        <v/>
      </c>
      <c r="S174" s="33" t="str">
        <f>IF($O174="","",IFERROR(CHOOSE(MATCH($F174,الإعدادات!$B$4:$B$7,0),INDEX('حضور سوريال'!$G$7:$G$36,$O174),INDEX('حضور غبريال'!$G$7:$G$36,$O174),INDEX('حضور رفائيل'!$G$7:$G$36,$O174),INDEX('حضور ميخائيل'!$G$7:$G$36,$O174)),""))</f>
        <v/>
      </c>
      <c r="T174" s="35" t="str">
        <f>IF($O174="","",IFERROR(CHOOSE(MATCH($F174,الإعدادات!$B$4:$B$7,0),INDEX('حضور سوريال'!$H$7:$H$36,$O174),INDEX('حضور غبريال'!$H$7:$H$36,$O174),INDEX('حضور رفائيل'!$H$7:$H$36,$O174),INDEX('حضور ميخائيل'!$H$7:$H$36,$O174)),""))</f>
        <v/>
      </c>
      <c r="U174" s="36" t="str">
        <f>IF($O174="","",IFERROR(CHOOSE(MATCH($F174,الإعدادات!$B$4:$B$7,0),INDEX('حضور سوريال'!$I$7:$I$36,$O174),INDEX('حضور غبريال'!$I$7:$I$36,$O174),INDEX('حضور رفائيل'!$I$7:$I$36,$O174),INDEX('حضور ميخائيل'!$I$7:$I$36,$O174)),""))</f>
        <v/>
      </c>
      <c r="V174" t="str">
        <f>IF($O174="","",IFERROR(CHOOSE(MATCH($F174,الإعدادات!$B$4:$B$7,0),INDEX('حضور سوريال'!$BM$7:$BM$36,$O174),INDEX('حضور غبريال'!$BM$7:$BM$36,$O174),INDEX('حضور رفائيل'!$BM$7:$BM$36,$O174),INDEX('حضور ميخائيل'!$BM$7:$BM$36,$O174)),""))</f>
        <v/>
      </c>
      <c r="W174" t="str">
        <f>IF(OR(V174=3,V174=4),COUNTIFS(V$6:V174,3)+COUNTIFS(V$6:V174,4),"")</f>
        <v/>
      </c>
    </row>
    <row r="175" spans="1:23" ht="25.5" customHeight="1">
      <c r="A175" s="26" t="str">
        <f t="shared" si="6"/>
        <v/>
      </c>
      <c r="B175" s="27" t="str">
        <f t="shared" si="7"/>
        <v/>
      </c>
      <c r="C175" s="28"/>
      <c r="D175" s="29"/>
      <c r="E175" s="29"/>
      <c r="F175" s="29"/>
      <c r="G175" s="29"/>
      <c r="H175" s="30"/>
      <c r="I175" s="30"/>
      <c r="J175" s="31"/>
      <c r="K175" s="29"/>
      <c r="L175" s="31"/>
      <c r="M175" s="29"/>
      <c r="N175" s="32" t="str">
        <f t="shared" si="8"/>
        <v/>
      </c>
      <c r="O175" s="32" t="str">
        <f>IF(OR(C175="",F175=""),"",COUNTIFS(F$6:F175,F175,C$6:C175,"&lt;&gt;"))</f>
        <v/>
      </c>
      <c r="P175" s="33" t="str">
        <f>IF($O175="","",IFERROR(CHOOSE(MATCH($F175,الإعدادات!$B$4:$B$7,0),INDEX('حضور سوريال'!$C$7:$C$36,$O175),INDEX('حضور غبريال'!$C$7:$C$36,$O175),INDEX('حضور رفائيل'!$C$7:$C$36,$O175),INDEX('حضور ميخائيل'!$C$7:$C$36,$O175)),""))</f>
        <v/>
      </c>
      <c r="Q175" s="33" t="str">
        <f>IF($O175="","",IFERROR(CHOOSE(MATCH($F175,الإعدادات!$B$4:$B$7,0),INDEX('حضور سوريال'!$D$7:$D$36,$O175),INDEX('حضور غبريال'!$D$7:$D$36,$O175),INDEX('حضور رفائيل'!$D$7:$D$36,$O175),INDEX('حضور ميخائيل'!$D$7:$D$36,$O175)),""))</f>
        <v/>
      </c>
      <c r="R175" s="34" t="str">
        <f>IF($O175="","",IFERROR(CHOOSE(MATCH($F175,الإعدادات!$B$4:$B$7,0),INDEX('حضور سوريال'!$F$7:$F$36,$O175),INDEX('حضور غبريال'!$F$7:$F$36,$O175),INDEX('حضور رفائيل'!$F$7:$F$36,$O175),INDEX('حضور ميخائيل'!$F$7:$F$36,$O175)),""))</f>
        <v/>
      </c>
      <c r="S175" s="33" t="str">
        <f>IF($O175="","",IFERROR(CHOOSE(MATCH($F175,الإعدادات!$B$4:$B$7,0),INDEX('حضور سوريال'!$G$7:$G$36,$O175),INDEX('حضور غبريال'!$G$7:$G$36,$O175),INDEX('حضور رفائيل'!$G$7:$G$36,$O175),INDEX('حضور ميخائيل'!$G$7:$G$36,$O175)),""))</f>
        <v/>
      </c>
      <c r="T175" s="35" t="str">
        <f>IF($O175="","",IFERROR(CHOOSE(MATCH($F175,الإعدادات!$B$4:$B$7,0),INDEX('حضور سوريال'!$H$7:$H$36,$O175),INDEX('حضور غبريال'!$H$7:$H$36,$O175),INDEX('حضور رفائيل'!$H$7:$H$36,$O175),INDEX('حضور ميخائيل'!$H$7:$H$36,$O175)),""))</f>
        <v/>
      </c>
      <c r="U175" s="36" t="str">
        <f>IF($O175="","",IFERROR(CHOOSE(MATCH($F175,الإعدادات!$B$4:$B$7,0),INDEX('حضور سوريال'!$I$7:$I$36,$O175),INDEX('حضور غبريال'!$I$7:$I$36,$O175),INDEX('حضور رفائيل'!$I$7:$I$36,$O175),INDEX('حضور ميخائيل'!$I$7:$I$36,$O175)),""))</f>
        <v/>
      </c>
      <c r="V175" t="str">
        <f>IF($O175="","",IFERROR(CHOOSE(MATCH($F175,الإعدادات!$B$4:$B$7,0),INDEX('حضور سوريال'!$BM$7:$BM$36,$O175),INDEX('حضور غبريال'!$BM$7:$BM$36,$O175),INDEX('حضور رفائيل'!$BM$7:$BM$36,$O175),INDEX('حضور ميخائيل'!$BM$7:$BM$36,$O175)),""))</f>
        <v/>
      </c>
      <c r="W175" t="str">
        <f>IF(OR(V175=3,V175=4),COUNTIFS(V$6:V175,3)+COUNTIFS(V$6:V175,4),"")</f>
        <v/>
      </c>
    </row>
    <row r="176" spans="1:23" ht="25.5" customHeight="1">
      <c r="A176" s="26" t="str">
        <f t="shared" si="6"/>
        <v/>
      </c>
      <c r="B176" s="27" t="str">
        <f t="shared" si="7"/>
        <v/>
      </c>
      <c r="C176" s="28"/>
      <c r="D176" s="29"/>
      <c r="E176" s="29"/>
      <c r="F176" s="29"/>
      <c r="G176" s="29"/>
      <c r="H176" s="30"/>
      <c r="I176" s="30"/>
      <c r="J176" s="31"/>
      <c r="K176" s="29"/>
      <c r="L176" s="31"/>
      <c r="M176" s="29"/>
      <c r="N176" s="32" t="str">
        <f t="shared" si="8"/>
        <v/>
      </c>
      <c r="O176" s="32" t="str">
        <f>IF(OR(C176="",F176=""),"",COUNTIFS(F$6:F176,F176,C$6:C176,"&lt;&gt;"))</f>
        <v/>
      </c>
      <c r="P176" s="33" t="str">
        <f>IF($O176="","",IFERROR(CHOOSE(MATCH($F176,الإعدادات!$B$4:$B$7,0),INDEX('حضور سوريال'!$C$7:$C$36,$O176),INDEX('حضور غبريال'!$C$7:$C$36,$O176),INDEX('حضور رفائيل'!$C$7:$C$36,$O176),INDEX('حضور ميخائيل'!$C$7:$C$36,$O176)),""))</f>
        <v/>
      </c>
      <c r="Q176" s="33" t="str">
        <f>IF($O176="","",IFERROR(CHOOSE(MATCH($F176,الإعدادات!$B$4:$B$7,0),INDEX('حضور سوريال'!$D$7:$D$36,$O176),INDEX('حضور غبريال'!$D$7:$D$36,$O176),INDEX('حضور رفائيل'!$D$7:$D$36,$O176),INDEX('حضور ميخائيل'!$D$7:$D$36,$O176)),""))</f>
        <v/>
      </c>
      <c r="R176" s="34" t="str">
        <f>IF($O176="","",IFERROR(CHOOSE(MATCH($F176,الإعدادات!$B$4:$B$7,0),INDEX('حضور سوريال'!$F$7:$F$36,$O176),INDEX('حضور غبريال'!$F$7:$F$36,$O176),INDEX('حضور رفائيل'!$F$7:$F$36,$O176),INDEX('حضور ميخائيل'!$F$7:$F$36,$O176)),""))</f>
        <v/>
      </c>
      <c r="S176" s="33" t="str">
        <f>IF($O176="","",IFERROR(CHOOSE(MATCH($F176,الإعدادات!$B$4:$B$7,0),INDEX('حضور سوريال'!$G$7:$G$36,$O176),INDEX('حضور غبريال'!$G$7:$G$36,$O176),INDEX('حضور رفائيل'!$G$7:$G$36,$O176),INDEX('حضور ميخائيل'!$G$7:$G$36,$O176)),""))</f>
        <v/>
      </c>
      <c r="T176" s="35" t="str">
        <f>IF($O176="","",IFERROR(CHOOSE(MATCH($F176,الإعدادات!$B$4:$B$7,0),INDEX('حضور سوريال'!$H$7:$H$36,$O176),INDEX('حضور غبريال'!$H$7:$H$36,$O176),INDEX('حضور رفائيل'!$H$7:$H$36,$O176),INDEX('حضور ميخائيل'!$H$7:$H$36,$O176)),""))</f>
        <v/>
      </c>
      <c r="U176" s="36" t="str">
        <f>IF($O176="","",IFERROR(CHOOSE(MATCH($F176,الإعدادات!$B$4:$B$7,0),INDEX('حضور سوريال'!$I$7:$I$36,$O176),INDEX('حضور غبريال'!$I$7:$I$36,$O176),INDEX('حضور رفائيل'!$I$7:$I$36,$O176),INDEX('حضور ميخائيل'!$I$7:$I$36,$O176)),""))</f>
        <v/>
      </c>
      <c r="V176" t="str">
        <f>IF($O176="","",IFERROR(CHOOSE(MATCH($F176,الإعدادات!$B$4:$B$7,0),INDEX('حضور سوريال'!$BM$7:$BM$36,$O176),INDEX('حضور غبريال'!$BM$7:$BM$36,$O176),INDEX('حضور رفائيل'!$BM$7:$BM$36,$O176),INDEX('حضور ميخائيل'!$BM$7:$BM$36,$O176)),""))</f>
        <v/>
      </c>
      <c r="W176" t="str">
        <f>IF(OR(V176=3,V176=4),COUNTIFS(V$6:V176,3)+COUNTIFS(V$6:V176,4),"")</f>
        <v/>
      </c>
    </row>
    <row r="177" spans="1:23" ht="25.5" customHeight="1">
      <c r="A177" s="26" t="str">
        <f t="shared" si="6"/>
        <v/>
      </c>
      <c r="B177" s="27" t="str">
        <f t="shared" si="7"/>
        <v/>
      </c>
      <c r="C177" s="28"/>
      <c r="D177" s="29"/>
      <c r="E177" s="29"/>
      <c r="F177" s="29"/>
      <c r="G177" s="29"/>
      <c r="H177" s="30"/>
      <c r="I177" s="30"/>
      <c r="J177" s="31"/>
      <c r="K177" s="29"/>
      <c r="L177" s="31"/>
      <c r="M177" s="29"/>
      <c r="N177" s="32" t="str">
        <f t="shared" si="8"/>
        <v/>
      </c>
      <c r="O177" s="32" t="str">
        <f>IF(OR(C177="",F177=""),"",COUNTIFS(F$6:F177,F177,C$6:C177,"&lt;&gt;"))</f>
        <v/>
      </c>
      <c r="P177" s="33" t="str">
        <f>IF($O177="","",IFERROR(CHOOSE(MATCH($F177,الإعدادات!$B$4:$B$7,0),INDEX('حضور سوريال'!$C$7:$C$36,$O177),INDEX('حضور غبريال'!$C$7:$C$36,$O177),INDEX('حضور رفائيل'!$C$7:$C$36,$O177),INDEX('حضور ميخائيل'!$C$7:$C$36,$O177)),""))</f>
        <v/>
      </c>
      <c r="Q177" s="33" t="str">
        <f>IF($O177="","",IFERROR(CHOOSE(MATCH($F177,الإعدادات!$B$4:$B$7,0),INDEX('حضور سوريال'!$D$7:$D$36,$O177),INDEX('حضور غبريال'!$D$7:$D$36,$O177),INDEX('حضور رفائيل'!$D$7:$D$36,$O177),INDEX('حضور ميخائيل'!$D$7:$D$36,$O177)),""))</f>
        <v/>
      </c>
      <c r="R177" s="34" t="str">
        <f>IF($O177="","",IFERROR(CHOOSE(MATCH($F177,الإعدادات!$B$4:$B$7,0),INDEX('حضور سوريال'!$F$7:$F$36,$O177),INDEX('حضور غبريال'!$F$7:$F$36,$O177),INDEX('حضور رفائيل'!$F$7:$F$36,$O177),INDEX('حضور ميخائيل'!$F$7:$F$36,$O177)),""))</f>
        <v/>
      </c>
      <c r="S177" s="33" t="str">
        <f>IF($O177="","",IFERROR(CHOOSE(MATCH($F177,الإعدادات!$B$4:$B$7,0),INDEX('حضور سوريال'!$G$7:$G$36,$O177),INDEX('حضور غبريال'!$G$7:$G$36,$O177),INDEX('حضور رفائيل'!$G$7:$G$36,$O177),INDEX('حضور ميخائيل'!$G$7:$G$36,$O177)),""))</f>
        <v/>
      </c>
      <c r="T177" s="35" t="str">
        <f>IF($O177="","",IFERROR(CHOOSE(MATCH($F177,الإعدادات!$B$4:$B$7,0),INDEX('حضور سوريال'!$H$7:$H$36,$O177),INDEX('حضور غبريال'!$H$7:$H$36,$O177),INDEX('حضور رفائيل'!$H$7:$H$36,$O177),INDEX('حضور ميخائيل'!$H$7:$H$36,$O177)),""))</f>
        <v/>
      </c>
      <c r="U177" s="36" t="str">
        <f>IF($O177="","",IFERROR(CHOOSE(MATCH($F177,الإعدادات!$B$4:$B$7,0),INDEX('حضور سوريال'!$I$7:$I$36,$O177),INDEX('حضور غبريال'!$I$7:$I$36,$O177),INDEX('حضور رفائيل'!$I$7:$I$36,$O177),INDEX('حضور ميخائيل'!$I$7:$I$36,$O177)),""))</f>
        <v/>
      </c>
      <c r="V177" t="str">
        <f>IF($O177="","",IFERROR(CHOOSE(MATCH($F177,الإعدادات!$B$4:$B$7,0),INDEX('حضور سوريال'!$BM$7:$BM$36,$O177),INDEX('حضور غبريال'!$BM$7:$BM$36,$O177),INDEX('حضور رفائيل'!$BM$7:$BM$36,$O177),INDEX('حضور ميخائيل'!$BM$7:$BM$36,$O177)),""))</f>
        <v/>
      </c>
      <c r="W177" t="str">
        <f>IF(OR(V177=3,V177=4),COUNTIFS(V$6:V177,3)+COUNTIFS(V$6:V177,4),"")</f>
        <v/>
      </c>
    </row>
    <row r="178" spans="1:23" ht="25.5" customHeight="1">
      <c r="A178" s="26" t="str">
        <f t="shared" si="6"/>
        <v/>
      </c>
      <c r="B178" s="27" t="str">
        <f t="shared" si="7"/>
        <v/>
      </c>
      <c r="C178" s="28"/>
      <c r="D178" s="29"/>
      <c r="E178" s="29"/>
      <c r="F178" s="29"/>
      <c r="G178" s="29"/>
      <c r="H178" s="30"/>
      <c r="I178" s="30"/>
      <c r="J178" s="31"/>
      <c r="K178" s="29"/>
      <c r="L178" s="31"/>
      <c r="M178" s="29"/>
      <c r="N178" s="32" t="str">
        <f t="shared" si="8"/>
        <v/>
      </c>
      <c r="O178" s="32" t="str">
        <f>IF(OR(C178="",F178=""),"",COUNTIFS(F$6:F178,F178,C$6:C178,"&lt;&gt;"))</f>
        <v/>
      </c>
      <c r="P178" s="33" t="str">
        <f>IF($O178="","",IFERROR(CHOOSE(MATCH($F178,الإعدادات!$B$4:$B$7,0),INDEX('حضور سوريال'!$C$7:$C$36,$O178),INDEX('حضور غبريال'!$C$7:$C$36,$O178),INDEX('حضور رفائيل'!$C$7:$C$36,$O178),INDEX('حضور ميخائيل'!$C$7:$C$36,$O178)),""))</f>
        <v/>
      </c>
      <c r="Q178" s="33" t="str">
        <f>IF($O178="","",IFERROR(CHOOSE(MATCH($F178,الإعدادات!$B$4:$B$7,0),INDEX('حضور سوريال'!$D$7:$D$36,$O178),INDEX('حضور غبريال'!$D$7:$D$36,$O178),INDEX('حضور رفائيل'!$D$7:$D$36,$O178),INDEX('حضور ميخائيل'!$D$7:$D$36,$O178)),""))</f>
        <v/>
      </c>
      <c r="R178" s="34" t="str">
        <f>IF($O178="","",IFERROR(CHOOSE(MATCH($F178,الإعدادات!$B$4:$B$7,0),INDEX('حضور سوريال'!$F$7:$F$36,$O178),INDEX('حضور غبريال'!$F$7:$F$36,$O178),INDEX('حضور رفائيل'!$F$7:$F$36,$O178),INDEX('حضور ميخائيل'!$F$7:$F$36,$O178)),""))</f>
        <v/>
      </c>
      <c r="S178" s="33" t="str">
        <f>IF($O178="","",IFERROR(CHOOSE(MATCH($F178,الإعدادات!$B$4:$B$7,0),INDEX('حضور سوريال'!$G$7:$G$36,$O178),INDEX('حضور غبريال'!$G$7:$G$36,$O178),INDEX('حضور رفائيل'!$G$7:$G$36,$O178),INDEX('حضور ميخائيل'!$G$7:$G$36,$O178)),""))</f>
        <v/>
      </c>
      <c r="T178" s="35" t="str">
        <f>IF($O178="","",IFERROR(CHOOSE(MATCH($F178,الإعدادات!$B$4:$B$7,0),INDEX('حضور سوريال'!$H$7:$H$36,$O178),INDEX('حضور غبريال'!$H$7:$H$36,$O178),INDEX('حضور رفائيل'!$H$7:$H$36,$O178),INDEX('حضور ميخائيل'!$H$7:$H$36,$O178)),""))</f>
        <v/>
      </c>
      <c r="U178" s="36" t="str">
        <f>IF($O178="","",IFERROR(CHOOSE(MATCH($F178,الإعدادات!$B$4:$B$7,0),INDEX('حضور سوريال'!$I$7:$I$36,$O178),INDEX('حضور غبريال'!$I$7:$I$36,$O178),INDEX('حضور رفائيل'!$I$7:$I$36,$O178),INDEX('حضور ميخائيل'!$I$7:$I$36,$O178)),""))</f>
        <v/>
      </c>
      <c r="V178" t="str">
        <f>IF($O178="","",IFERROR(CHOOSE(MATCH($F178,الإعدادات!$B$4:$B$7,0),INDEX('حضور سوريال'!$BM$7:$BM$36,$O178),INDEX('حضور غبريال'!$BM$7:$BM$36,$O178),INDEX('حضور رفائيل'!$BM$7:$BM$36,$O178),INDEX('حضور ميخائيل'!$BM$7:$BM$36,$O178)),""))</f>
        <v/>
      </c>
      <c r="W178" t="str">
        <f>IF(OR(V178=3,V178=4),COUNTIFS(V$6:V178,3)+COUNTIFS(V$6:V178,4),"")</f>
        <v/>
      </c>
    </row>
    <row r="179" spans="1:23" ht="25.5" customHeight="1">
      <c r="A179" s="26" t="str">
        <f t="shared" si="6"/>
        <v/>
      </c>
      <c r="B179" s="27" t="str">
        <f t="shared" si="7"/>
        <v/>
      </c>
      <c r="C179" s="28"/>
      <c r="D179" s="29"/>
      <c r="E179" s="29"/>
      <c r="F179" s="29"/>
      <c r="G179" s="29"/>
      <c r="H179" s="30"/>
      <c r="I179" s="30"/>
      <c r="J179" s="31"/>
      <c r="K179" s="29"/>
      <c r="L179" s="31"/>
      <c r="M179" s="29"/>
      <c r="N179" s="32" t="str">
        <f t="shared" si="8"/>
        <v/>
      </c>
      <c r="O179" s="32" t="str">
        <f>IF(OR(C179="",F179=""),"",COUNTIFS(F$6:F179,F179,C$6:C179,"&lt;&gt;"))</f>
        <v/>
      </c>
      <c r="P179" s="33" t="str">
        <f>IF($O179="","",IFERROR(CHOOSE(MATCH($F179,الإعدادات!$B$4:$B$7,0),INDEX('حضور سوريال'!$C$7:$C$36,$O179),INDEX('حضور غبريال'!$C$7:$C$36,$O179),INDEX('حضور رفائيل'!$C$7:$C$36,$O179),INDEX('حضور ميخائيل'!$C$7:$C$36,$O179)),""))</f>
        <v/>
      </c>
      <c r="Q179" s="33" t="str">
        <f>IF($O179="","",IFERROR(CHOOSE(MATCH($F179,الإعدادات!$B$4:$B$7,0),INDEX('حضور سوريال'!$D$7:$D$36,$O179),INDEX('حضور غبريال'!$D$7:$D$36,$O179),INDEX('حضور رفائيل'!$D$7:$D$36,$O179),INDEX('حضور ميخائيل'!$D$7:$D$36,$O179)),""))</f>
        <v/>
      </c>
      <c r="R179" s="34" t="str">
        <f>IF($O179="","",IFERROR(CHOOSE(MATCH($F179,الإعدادات!$B$4:$B$7,0),INDEX('حضور سوريال'!$F$7:$F$36,$O179),INDEX('حضور غبريال'!$F$7:$F$36,$O179),INDEX('حضور رفائيل'!$F$7:$F$36,$O179),INDEX('حضور ميخائيل'!$F$7:$F$36,$O179)),""))</f>
        <v/>
      </c>
      <c r="S179" s="33" t="str">
        <f>IF($O179="","",IFERROR(CHOOSE(MATCH($F179,الإعدادات!$B$4:$B$7,0),INDEX('حضور سوريال'!$G$7:$G$36,$O179),INDEX('حضور غبريال'!$G$7:$G$36,$O179),INDEX('حضور رفائيل'!$G$7:$G$36,$O179),INDEX('حضور ميخائيل'!$G$7:$G$36,$O179)),""))</f>
        <v/>
      </c>
      <c r="T179" s="35" t="str">
        <f>IF($O179="","",IFERROR(CHOOSE(MATCH($F179,الإعدادات!$B$4:$B$7,0),INDEX('حضور سوريال'!$H$7:$H$36,$O179),INDEX('حضور غبريال'!$H$7:$H$36,$O179),INDEX('حضور رفائيل'!$H$7:$H$36,$O179),INDEX('حضور ميخائيل'!$H$7:$H$36,$O179)),""))</f>
        <v/>
      </c>
      <c r="U179" s="36" t="str">
        <f>IF($O179="","",IFERROR(CHOOSE(MATCH($F179,الإعدادات!$B$4:$B$7,0),INDEX('حضور سوريال'!$I$7:$I$36,$O179),INDEX('حضور غبريال'!$I$7:$I$36,$O179),INDEX('حضور رفائيل'!$I$7:$I$36,$O179),INDEX('حضور ميخائيل'!$I$7:$I$36,$O179)),""))</f>
        <v/>
      </c>
      <c r="V179" t="str">
        <f>IF($O179="","",IFERROR(CHOOSE(MATCH($F179,الإعدادات!$B$4:$B$7,0),INDEX('حضور سوريال'!$BM$7:$BM$36,$O179),INDEX('حضور غبريال'!$BM$7:$BM$36,$O179),INDEX('حضور رفائيل'!$BM$7:$BM$36,$O179),INDEX('حضور ميخائيل'!$BM$7:$BM$36,$O179)),""))</f>
        <v/>
      </c>
      <c r="W179" t="str">
        <f>IF(OR(V179=3,V179=4),COUNTIFS(V$6:V179,3)+COUNTIFS(V$6:V179,4),"")</f>
        <v/>
      </c>
    </row>
    <row r="180" spans="1:23" ht="25.5" customHeight="1">
      <c r="A180" s="26" t="str">
        <f t="shared" si="6"/>
        <v/>
      </c>
      <c r="B180" s="27" t="str">
        <f t="shared" si="7"/>
        <v/>
      </c>
      <c r="C180" s="28"/>
      <c r="D180" s="29"/>
      <c r="E180" s="29"/>
      <c r="F180" s="29"/>
      <c r="G180" s="29"/>
      <c r="H180" s="30"/>
      <c r="I180" s="30"/>
      <c r="J180" s="31"/>
      <c r="K180" s="29"/>
      <c r="L180" s="31"/>
      <c r="M180" s="29"/>
      <c r="N180" s="32" t="str">
        <f t="shared" si="8"/>
        <v/>
      </c>
      <c r="O180" s="32" t="str">
        <f>IF(OR(C180="",F180=""),"",COUNTIFS(F$6:F180,F180,C$6:C180,"&lt;&gt;"))</f>
        <v/>
      </c>
      <c r="P180" s="33" t="str">
        <f>IF($O180="","",IFERROR(CHOOSE(MATCH($F180,الإعدادات!$B$4:$B$7,0),INDEX('حضور سوريال'!$C$7:$C$36,$O180),INDEX('حضور غبريال'!$C$7:$C$36,$O180),INDEX('حضور رفائيل'!$C$7:$C$36,$O180),INDEX('حضور ميخائيل'!$C$7:$C$36,$O180)),""))</f>
        <v/>
      </c>
      <c r="Q180" s="33" t="str">
        <f>IF($O180="","",IFERROR(CHOOSE(MATCH($F180,الإعدادات!$B$4:$B$7,0),INDEX('حضور سوريال'!$D$7:$D$36,$O180),INDEX('حضور غبريال'!$D$7:$D$36,$O180),INDEX('حضور رفائيل'!$D$7:$D$36,$O180),INDEX('حضور ميخائيل'!$D$7:$D$36,$O180)),""))</f>
        <v/>
      </c>
      <c r="R180" s="34" t="str">
        <f>IF($O180="","",IFERROR(CHOOSE(MATCH($F180,الإعدادات!$B$4:$B$7,0),INDEX('حضور سوريال'!$F$7:$F$36,$O180),INDEX('حضور غبريال'!$F$7:$F$36,$O180),INDEX('حضور رفائيل'!$F$7:$F$36,$O180),INDEX('حضور ميخائيل'!$F$7:$F$36,$O180)),""))</f>
        <v/>
      </c>
      <c r="S180" s="33" t="str">
        <f>IF($O180="","",IFERROR(CHOOSE(MATCH($F180,الإعدادات!$B$4:$B$7,0),INDEX('حضور سوريال'!$G$7:$G$36,$O180),INDEX('حضور غبريال'!$G$7:$G$36,$O180),INDEX('حضور رفائيل'!$G$7:$G$36,$O180),INDEX('حضور ميخائيل'!$G$7:$G$36,$O180)),""))</f>
        <v/>
      </c>
      <c r="T180" s="35" t="str">
        <f>IF($O180="","",IFERROR(CHOOSE(MATCH($F180,الإعدادات!$B$4:$B$7,0),INDEX('حضور سوريال'!$H$7:$H$36,$O180),INDEX('حضور غبريال'!$H$7:$H$36,$O180),INDEX('حضور رفائيل'!$H$7:$H$36,$O180),INDEX('حضور ميخائيل'!$H$7:$H$36,$O180)),""))</f>
        <v/>
      </c>
      <c r="U180" s="36" t="str">
        <f>IF($O180="","",IFERROR(CHOOSE(MATCH($F180,الإعدادات!$B$4:$B$7,0),INDEX('حضور سوريال'!$I$7:$I$36,$O180),INDEX('حضور غبريال'!$I$7:$I$36,$O180),INDEX('حضور رفائيل'!$I$7:$I$36,$O180),INDEX('حضور ميخائيل'!$I$7:$I$36,$O180)),""))</f>
        <v/>
      </c>
      <c r="V180" t="str">
        <f>IF($O180="","",IFERROR(CHOOSE(MATCH($F180,الإعدادات!$B$4:$B$7,0),INDEX('حضور سوريال'!$BM$7:$BM$36,$O180),INDEX('حضور غبريال'!$BM$7:$BM$36,$O180),INDEX('حضور رفائيل'!$BM$7:$BM$36,$O180),INDEX('حضور ميخائيل'!$BM$7:$BM$36,$O180)),""))</f>
        <v/>
      </c>
      <c r="W180" t="str">
        <f>IF(OR(V180=3,V180=4),COUNTIFS(V$6:V180,3)+COUNTIFS(V$6:V180,4),"")</f>
        <v/>
      </c>
    </row>
    <row r="181" spans="1:23" ht="25.5" customHeight="1">
      <c r="A181" s="26" t="str">
        <f t="shared" si="6"/>
        <v/>
      </c>
      <c r="B181" s="27" t="str">
        <f t="shared" si="7"/>
        <v/>
      </c>
      <c r="C181" s="28"/>
      <c r="D181" s="29"/>
      <c r="E181" s="29"/>
      <c r="F181" s="29"/>
      <c r="G181" s="29"/>
      <c r="H181" s="30"/>
      <c r="I181" s="30"/>
      <c r="J181" s="31"/>
      <c r="K181" s="29"/>
      <c r="L181" s="31"/>
      <c r="M181" s="29"/>
      <c r="N181" s="32" t="str">
        <f t="shared" si="8"/>
        <v/>
      </c>
      <c r="O181" s="32" t="str">
        <f>IF(OR(C181="",F181=""),"",COUNTIFS(F$6:F181,F181,C$6:C181,"&lt;&gt;"))</f>
        <v/>
      </c>
      <c r="P181" s="33" t="str">
        <f>IF($O181="","",IFERROR(CHOOSE(MATCH($F181,الإعدادات!$B$4:$B$7,0),INDEX('حضور سوريال'!$C$7:$C$36,$O181),INDEX('حضور غبريال'!$C$7:$C$36,$O181),INDEX('حضور رفائيل'!$C$7:$C$36,$O181),INDEX('حضور ميخائيل'!$C$7:$C$36,$O181)),""))</f>
        <v/>
      </c>
      <c r="Q181" s="33" t="str">
        <f>IF($O181="","",IFERROR(CHOOSE(MATCH($F181,الإعدادات!$B$4:$B$7,0),INDEX('حضور سوريال'!$D$7:$D$36,$O181),INDEX('حضور غبريال'!$D$7:$D$36,$O181),INDEX('حضور رفائيل'!$D$7:$D$36,$O181),INDEX('حضور ميخائيل'!$D$7:$D$36,$O181)),""))</f>
        <v/>
      </c>
      <c r="R181" s="34" t="str">
        <f>IF($O181="","",IFERROR(CHOOSE(MATCH($F181,الإعدادات!$B$4:$B$7,0),INDEX('حضور سوريال'!$F$7:$F$36,$O181),INDEX('حضور غبريال'!$F$7:$F$36,$O181),INDEX('حضور رفائيل'!$F$7:$F$36,$O181),INDEX('حضور ميخائيل'!$F$7:$F$36,$O181)),""))</f>
        <v/>
      </c>
      <c r="S181" s="33" t="str">
        <f>IF($O181="","",IFERROR(CHOOSE(MATCH($F181,الإعدادات!$B$4:$B$7,0),INDEX('حضور سوريال'!$G$7:$G$36,$O181),INDEX('حضور غبريال'!$G$7:$G$36,$O181),INDEX('حضور رفائيل'!$G$7:$G$36,$O181),INDEX('حضور ميخائيل'!$G$7:$G$36,$O181)),""))</f>
        <v/>
      </c>
      <c r="T181" s="35" t="str">
        <f>IF($O181="","",IFERROR(CHOOSE(MATCH($F181,الإعدادات!$B$4:$B$7,0),INDEX('حضور سوريال'!$H$7:$H$36,$O181),INDEX('حضور غبريال'!$H$7:$H$36,$O181),INDEX('حضور رفائيل'!$H$7:$H$36,$O181),INDEX('حضور ميخائيل'!$H$7:$H$36,$O181)),""))</f>
        <v/>
      </c>
      <c r="U181" s="36" t="str">
        <f>IF($O181="","",IFERROR(CHOOSE(MATCH($F181,الإعدادات!$B$4:$B$7,0),INDEX('حضور سوريال'!$I$7:$I$36,$O181),INDEX('حضور غبريال'!$I$7:$I$36,$O181),INDEX('حضور رفائيل'!$I$7:$I$36,$O181),INDEX('حضور ميخائيل'!$I$7:$I$36,$O181)),""))</f>
        <v/>
      </c>
      <c r="V181" t="str">
        <f>IF($O181="","",IFERROR(CHOOSE(MATCH($F181,الإعدادات!$B$4:$B$7,0),INDEX('حضور سوريال'!$BM$7:$BM$36,$O181),INDEX('حضور غبريال'!$BM$7:$BM$36,$O181),INDEX('حضور رفائيل'!$BM$7:$BM$36,$O181),INDEX('حضور ميخائيل'!$BM$7:$BM$36,$O181)),""))</f>
        <v/>
      </c>
      <c r="W181" t="str">
        <f>IF(OR(V181=3,V181=4),COUNTIFS(V$6:V181,3)+COUNTIFS(V$6:V181,4),"")</f>
        <v/>
      </c>
    </row>
    <row r="182" spans="1:23" ht="25.5" customHeight="1">
      <c r="A182" s="26" t="str">
        <f t="shared" si="6"/>
        <v/>
      </c>
      <c r="B182" s="27" t="str">
        <f t="shared" si="7"/>
        <v/>
      </c>
      <c r="C182" s="28"/>
      <c r="D182" s="29"/>
      <c r="E182" s="29"/>
      <c r="F182" s="29"/>
      <c r="G182" s="29"/>
      <c r="H182" s="30"/>
      <c r="I182" s="30"/>
      <c r="J182" s="31"/>
      <c r="K182" s="29"/>
      <c r="L182" s="31"/>
      <c r="M182" s="29"/>
      <c r="N182" s="32" t="str">
        <f t="shared" si="8"/>
        <v/>
      </c>
      <c r="O182" s="32" t="str">
        <f>IF(OR(C182="",F182=""),"",COUNTIFS(F$6:F182,F182,C$6:C182,"&lt;&gt;"))</f>
        <v/>
      </c>
      <c r="P182" s="33" t="str">
        <f>IF($O182="","",IFERROR(CHOOSE(MATCH($F182,الإعدادات!$B$4:$B$7,0),INDEX('حضور سوريال'!$C$7:$C$36,$O182),INDEX('حضور غبريال'!$C$7:$C$36,$O182),INDEX('حضور رفائيل'!$C$7:$C$36,$O182),INDEX('حضور ميخائيل'!$C$7:$C$36,$O182)),""))</f>
        <v/>
      </c>
      <c r="Q182" s="33" t="str">
        <f>IF($O182="","",IFERROR(CHOOSE(MATCH($F182,الإعدادات!$B$4:$B$7,0),INDEX('حضور سوريال'!$D$7:$D$36,$O182),INDEX('حضور غبريال'!$D$7:$D$36,$O182),INDEX('حضور رفائيل'!$D$7:$D$36,$O182),INDEX('حضور ميخائيل'!$D$7:$D$36,$O182)),""))</f>
        <v/>
      </c>
      <c r="R182" s="34" t="str">
        <f>IF($O182="","",IFERROR(CHOOSE(MATCH($F182,الإعدادات!$B$4:$B$7,0),INDEX('حضور سوريال'!$F$7:$F$36,$O182),INDEX('حضور غبريال'!$F$7:$F$36,$O182),INDEX('حضور رفائيل'!$F$7:$F$36,$O182),INDEX('حضور ميخائيل'!$F$7:$F$36,$O182)),""))</f>
        <v/>
      </c>
      <c r="S182" s="33" t="str">
        <f>IF($O182="","",IFERROR(CHOOSE(MATCH($F182,الإعدادات!$B$4:$B$7,0),INDEX('حضور سوريال'!$G$7:$G$36,$O182),INDEX('حضور غبريال'!$G$7:$G$36,$O182),INDEX('حضور رفائيل'!$G$7:$G$36,$O182),INDEX('حضور ميخائيل'!$G$7:$G$36,$O182)),""))</f>
        <v/>
      </c>
      <c r="T182" s="35" t="str">
        <f>IF($O182="","",IFERROR(CHOOSE(MATCH($F182,الإعدادات!$B$4:$B$7,0),INDEX('حضور سوريال'!$H$7:$H$36,$O182),INDEX('حضور غبريال'!$H$7:$H$36,$O182),INDEX('حضور رفائيل'!$H$7:$H$36,$O182),INDEX('حضور ميخائيل'!$H$7:$H$36,$O182)),""))</f>
        <v/>
      </c>
      <c r="U182" s="36" t="str">
        <f>IF($O182="","",IFERROR(CHOOSE(MATCH($F182,الإعدادات!$B$4:$B$7,0),INDEX('حضور سوريال'!$I$7:$I$36,$O182),INDEX('حضور غبريال'!$I$7:$I$36,$O182),INDEX('حضور رفائيل'!$I$7:$I$36,$O182),INDEX('حضور ميخائيل'!$I$7:$I$36,$O182)),""))</f>
        <v/>
      </c>
      <c r="V182" t="str">
        <f>IF($O182="","",IFERROR(CHOOSE(MATCH($F182,الإعدادات!$B$4:$B$7,0),INDEX('حضور سوريال'!$BM$7:$BM$36,$O182),INDEX('حضور غبريال'!$BM$7:$BM$36,$O182),INDEX('حضور رفائيل'!$BM$7:$BM$36,$O182),INDEX('حضور ميخائيل'!$BM$7:$BM$36,$O182)),""))</f>
        <v/>
      </c>
      <c r="W182" t="str">
        <f>IF(OR(V182=3,V182=4),COUNTIFS(V$6:V182,3)+COUNTIFS(V$6:V182,4),"")</f>
        <v/>
      </c>
    </row>
    <row r="183" spans="1:23" ht="25.5" customHeight="1">
      <c r="A183" s="26" t="str">
        <f t="shared" si="6"/>
        <v/>
      </c>
      <c r="B183" s="27" t="str">
        <f t="shared" si="7"/>
        <v/>
      </c>
      <c r="C183" s="28"/>
      <c r="D183" s="29"/>
      <c r="E183" s="29"/>
      <c r="F183" s="29"/>
      <c r="G183" s="29"/>
      <c r="H183" s="30"/>
      <c r="I183" s="30"/>
      <c r="J183" s="31"/>
      <c r="K183" s="29"/>
      <c r="L183" s="31"/>
      <c r="M183" s="29"/>
      <c r="N183" s="32" t="str">
        <f t="shared" si="8"/>
        <v/>
      </c>
      <c r="O183" s="32" t="str">
        <f>IF(OR(C183="",F183=""),"",COUNTIFS(F$6:F183,F183,C$6:C183,"&lt;&gt;"))</f>
        <v/>
      </c>
      <c r="P183" s="33" t="str">
        <f>IF($O183="","",IFERROR(CHOOSE(MATCH($F183,الإعدادات!$B$4:$B$7,0),INDEX('حضور سوريال'!$C$7:$C$36,$O183),INDEX('حضور غبريال'!$C$7:$C$36,$O183),INDEX('حضور رفائيل'!$C$7:$C$36,$O183),INDEX('حضور ميخائيل'!$C$7:$C$36,$O183)),""))</f>
        <v/>
      </c>
      <c r="Q183" s="33" t="str">
        <f>IF($O183="","",IFERROR(CHOOSE(MATCH($F183,الإعدادات!$B$4:$B$7,0),INDEX('حضور سوريال'!$D$7:$D$36,$O183),INDEX('حضور غبريال'!$D$7:$D$36,$O183),INDEX('حضور رفائيل'!$D$7:$D$36,$O183),INDEX('حضور ميخائيل'!$D$7:$D$36,$O183)),""))</f>
        <v/>
      </c>
      <c r="R183" s="34" t="str">
        <f>IF($O183="","",IFERROR(CHOOSE(MATCH($F183,الإعدادات!$B$4:$B$7,0),INDEX('حضور سوريال'!$F$7:$F$36,$O183),INDEX('حضور غبريال'!$F$7:$F$36,$O183),INDEX('حضور رفائيل'!$F$7:$F$36,$O183),INDEX('حضور ميخائيل'!$F$7:$F$36,$O183)),""))</f>
        <v/>
      </c>
      <c r="S183" s="33" t="str">
        <f>IF($O183="","",IFERROR(CHOOSE(MATCH($F183,الإعدادات!$B$4:$B$7,0),INDEX('حضور سوريال'!$G$7:$G$36,$O183),INDEX('حضور غبريال'!$G$7:$G$36,$O183),INDEX('حضور رفائيل'!$G$7:$G$36,$O183),INDEX('حضور ميخائيل'!$G$7:$G$36,$O183)),""))</f>
        <v/>
      </c>
      <c r="T183" s="35" t="str">
        <f>IF($O183="","",IFERROR(CHOOSE(MATCH($F183,الإعدادات!$B$4:$B$7,0),INDEX('حضور سوريال'!$H$7:$H$36,$O183),INDEX('حضور غبريال'!$H$7:$H$36,$O183),INDEX('حضور رفائيل'!$H$7:$H$36,$O183),INDEX('حضور ميخائيل'!$H$7:$H$36,$O183)),""))</f>
        <v/>
      </c>
      <c r="U183" s="36" t="str">
        <f>IF($O183="","",IFERROR(CHOOSE(MATCH($F183,الإعدادات!$B$4:$B$7,0),INDEX('حضور سوريال'!$I$7:$I$36,$O183),INDEX('حضور غبريال'!$I$7:$I$36,$O183),INDEX('حضور رفائيل'!$I$7:$I$36,$O183),INDEX('حضور ميخائيل'!$I$7:$I$36,$O183)),""))</f>
        <v/>
      </c>
      <c r="V183" t="str">
        <f>IF($O183="","",IFERROR(CHOOSE(MATCH($F183,الإعدادات!$B$4:$B$7,0),INDEX('حضور سوريال'!$BM$7:$BM$36,$O183),INDEX('حضور غبريال'!$BM$7:$BM$36,$O183),INDEX('حضور رفائيل'!$BM$7:$BM$36,$O183),INDEX('حضور ميخائيل'!$BM$7:$BM$36,$O183)),""))</f>
        <v/>
      </c>
      <c r="W183" t="str">
        <f>IF(OR(V183=3,V183=4),COUNTIFS(V$6:V183,3)+COUNTIFS(V$6:V183,4),"")</f>
        <v/>
      </c>
    </row>
    <row r="184" spans="1:23" ht="25.5" customHeight="1">
      <c r="A184" s="26" t="str">
        <f t="shared" si="6"/>
        <v/>
      </c>
      <c r="B184" s="27" t="str">
        <f t="shared" si="7"/>
        <v/>
      </c>
      <c r="C184" s="28"/>
      <c r="D184" s="29"/>
      <c r="E184" s="29"/>
      <c r="F184" s="29"/>
      <c r="G184" s="29"/>
      <c r="H184" s="30"/>
      <c r="I184" s="30"/>
      <c r="J184" s="31"/>
      <c r="K184" s="29"/>
      <c r="L184" s="31"/>
      <c r="M184" s="29"/>
      <c r="N184" s="32" t="str">
        <f t="shared" si="8"/>
        <v/>
      </c>
      <c r="O184" s="32" t="str">
        <f>IF(OR(C184="",F184=""),"",COUNTIFS(F$6:F184,F184,C$6:C184,"&lt;&gt;"))</f>
        <v/>
      </c>
      <c r="P184" s="33" t="str">
        <f>IF($O184="","",IFERROR(CHOOSE(MATCH($F184,الإعدادات!$B$4:$B$7,0),INDEX('حضور سوريال'!$C$7:$C$36,$O184),INDEX('حضور غبريال'!$C$7:$C$36,$O184),INDEX('حضور رفائيل'!$C$7:$C$36,$O184),INDEX('حضور ميخائيل'!$C$7:$C$36,$O184)),""))</f>
        <v/>
      </c>
      <c r="Q184" s="33" t="str">
        <f>IF($O184="","",IFERROR(CHOOSE(MATCH($F184,الإعدادات!$B$4:$B$7,0),INDEX('حضور سوريال'!$D$7:$D$36,$O184),INDEX('حضور غبريال'!$D$7:$D$36,$O184),INDEX('حضور رفائيل'!$D$7:$D$36,$O184),INDEX('حضور ميخائيل'!$D$7:$D$36,$O184)),""))</f>
        <v/>
      </c>
      <c r="R184" s="34" t="str">
        <f>IF($O184="","",IFERROR(CHOOSE(MATCH($F184,الإعدادات!$B$4:$B$7,0),INDEX('حضور سوريال'!$F$7:$F$36,$O184),INDEX('حضور غبريال'!$F$7:$F$36,$O184),INDEX('حضور رفائيل'!$F$7:$F$36,$O184),INDEX('حضور ميخائيل'!$F$7:$F$36,$O184)),""))</f>
        <v/>
      </c>
      <c r="S184" s="33" t="str">
        <f>IF($O184="","",IFERROR(CHOOSE(MATCH($F184,الإعدادات!$B$4:$B$7,0),INDEX('حضور سوريال'!$G$7:$G$36,$O184),INDEX('حضور غبريال'!$G$7:$G$36,$O184),INDEX('حضور رفائيل'!$G$7:$G$36,$O184),INDEX('حضور ميخائيل'!$G$7:$G$36,$O184)),""))</f>
        <v/>
      </c>
      <c r="T184" s="35" t="str">
        <f>IF($O184="","",IFERROR(CHOOSE(MATCH($F184,الإعدادات!$B$4:$B$7,0),INDEX('حضور سوريال'!$H$7:$H$36,$O184),INDEX('حضور غبريال'!$H$7:$H$36,$O184),INDEX('حضور رفائيل'!$H$7:$H$36,$O184),INDEX('حضور ميخائيل'!$H$7:$H$36,$O184)),""))</f>
        <v/>
      </c>
      <c r="U184" s="36" t="str">
        <f>IF($O184="","",IFERROR(CHOOSE(MATCH($F184,الإعدادات!$B$4:$B$7,0),INDEX('حضور سوريال'!$I$7:$I$36,$O184),INDEX('حضور غبريال'!$I$7:$I$36,$O184),INDEX('حضور رفائيل'!$I$7:$I$36,$O184),INDEX('حضور ميخائيل'!$I$7:$I$36,$O184)),""))</f>
        <v/>
      </c>
      <c r="V184" t="str">
        <f>IF($O184="","",IFERROR(CHOOSE(MATCH($F184,الإعدادات!$B$4:$B$7,0),INDEX('حضور سوريال'!$BM$7:$BM$36,$O184),INDEX('حضور غبريال'!$BM$7:$BM$36,$O184),INDEX('حضور رفائيل'!$BM$7:$BM$36,$O184),INDEX('حضور ميخائيل'!$BM$7:$BM$36,$O184)),""))</f>
        <v/>
      </c>
      <c r="W184" t="str">
        <f>IF(OR(V184=3,V184=4),COUNTIFS(V$6:V184,3)+COUNTIFS(V$6:V184,4),"")</f>
        <v/>
      </c>
    </row>
    <row r="185" spans="1:23" ht="25.5" customHeight="1">
      <c r="A185" s="26" t="str">
        <f t="shared" si="6"/>
        <v/>
      </c>
      <c r="B185" s="27" t="str">
        <f t="shared" si="7"/>
        <v/>
      </c>
      <c r="C185" s="28"/>
      <c r="D185" s="29"/>
      <c r="E185" s="29"/>
      <c r="F185" s="29"/>
      <c r="G185" s="29"/>
      <c r="H185" s="30"/>
      <c r="I185" s="30"/>
      <c r="J185" s="31"/>
      <c r="K185" s="29"/>
      <c r="L185" s="31"/>
      <c r="M185" s="29"/>
      <c r="N185" s="32" t="str">
        <f t="shared" si="8"/>
        <v/>
      </c>
      <c r="O185" s="32" t="str">
        <f>IF(OR(C185="",F185=""),"",COUNTIFS(F$6:F185,F185,C$6:C185,"&lt;&gt;"))</f>
        <v/>
      </c>
      <c r="P185" s="33" t="str">
        <f>IF($O185="","",IFERROR(CHOOSE(MATCH($F185,الإعدادات!$B$4:$B$7,0),INDEX('حضور سوريال'!$C$7:$C$36,$O185),INDEX('حضور غبريال'!$C$7:$C$36,$O185),INDEX('حضور رفائيل'!$C$7:$C$36,$O185),INDEX('حضور ميخائيل'!$C$7:$C$36,$O185)),""))</f>
        <v/>
      </c>
      <c r="Q185" s="33" t="str">
        <f>IF($O185="","",IFERROR(CHOOSE(MATCH($F185,الإعدادات!$B$4:$B$7,0),INDEX('حضور سوريال'!$D$7:$D$36,$O185),INDEX('حضور غبريال'!$D$7:$D$36,$O185),INDEX('حضور رفائيل'!$D$7:$D$36,$O185),INDEX('حضور ميخائيل'!$D$7:$D$36,$O185)),""))</f>
        <v/>
      </c>
      <c r="R185" s="34" t="str">
        <f>IF($O185="","",IFERROR(CHOOSE(MATCH($F185,الإعدادات!$B$4:$B$7,0),INDEX('حضور سوريال'!$F$7:$F$36,$O185),INDEX('حضور غبريال'!$F$7:$F$36,$O185),INDEX('حضور رفائيل'!$F$7:$F$36,$O185),INDEX('حضور ميخائيل'!$F$7:$F$36,$O185)),""))</f>
        <v/>
      </c>
      <c r="S185" s="33" t="str">
        <f>IF($O185="","",IFERROR(CHOOSE(MATCH($F185,الإعدادات!$B$4:$B$7,0),INDEX('حضور سوريال'!$G$7:$G$36,$O185),INDEX('حضور غبريال'!$G$7:$G$36,$O185),INDEX('حضور رفائيل'!$G$7:$G$36,$O185),INDEX('حضور ميخائيل'!$G$7:$G$36,$O185)),""))</f>
        <v/>
      </c>
      <c r="T185" s="35" t="str">
        <f>IF($O185="","",IFERROR(CHOOSE(MATCH($F185,الإعدادات!$B$4:$B$7,0),INDEX('حضور سوريال'!$H$7:$H$36,$O185),INDEX('حضور غبريال'!$H$7:$H$36,$O185),INDEX('حضور رفائيل'!$H$7:$H$36,$O185),INDEX('حضور ميخائيل'!$H$7:$H$36,$O185)),""))</f>
        <v/>
      </c>
      <c r="U185" s="36" t="str">
        <f>IF($O185="","",IFERROR(CHOOSE(MATCH($F185,الإعدادات!$B$4:$B$7,0),INDEX('حضور سوريال'!$I$7:$I$36,$O185),INDEX('حضور غبريال'!$I$7:$I$36,$O185),INDEX('حضور رفائيل'!$I$7:$I$36,$O185),INDEX('حضور ميخائيل'!$I$7:$I$36,$O185)),""))</f>
        <v/>
      </c>
      <c r="V185" t="str">
        <f>IF($O185="","",IFERROR(CHOOSE(MATCH($F185,الإعدادات!$B$4:$B$7,0),INDEX('حضور سوريال'!$BM$7:$BM$36,$O185),INDEX('حضور غبريال'!$BM$7:$BM$36,$O185),INDEX('حضور رفائيل'!$BM$7:$BM$36,$O185),INDEX('حضور ميخائيل'!$BM$7:$BM$36,$O185)),""))</f>
        <v/>
      </c>
      <c r="W185" t="str">
        <f>IF(OR(V185=3,V185=4),COUNTIFS(V$6:V185,3)+COUNTIFS(V$6:V185,4),"")</f>
        <v/>
      </c>
    </row>
    <row r="186" spans="1:23" ht="25.5" customHeight="1">
      <c r="A186" s="26" t="str">
        <f t="shared" si="6"/>
        <v/>
      </c>
      <c r="B186" s="27" t="str">
        <f t="shared" si="7"/>
        <v/>
      </c>
      <c r="C186" s="28"/>
      <c r="D186" s="29"/>
      <c r="E186" s="29"/>
      <c r="F186" s="29"/>
      <c r="G186" s="29"/>
      <c r="H186" s="30"/>
      <c r="I186" s="30"/>
      <c r="J186" s="31"/>
      <c r="K186" s="29"/>
      <c r="L186" s="31"/>
      <c r="M186" s="29"/>
      <c r="N186" s="32" t="str">
        <f t="shared" si="8"/>
        <v/>
      </c>
      <c r="O186" s="32" t="str">
        <f>IF(OR(C186="",F186=""),"",COUNTIFS(F$6:F186,F186,C$6:C186,"&lt;&gt;"))</f>
        <v/>
      </c>
      <c r="P186" s="33" t="str">
        <f>IF($O186="","",IFERROR(CHOOSE(MATCH($F186,الإعدادات!$B$4:$B$7,0),INDEX('حضور سوريال'!$C$7:$C$36,$O186),INDEX('حضور غبريال'!$C$7:$C$36,$O186),INDEX('حضور رفائيل'!$C$7:$C$36,$O186),INDEX('حضور ميخائيل'!$C$7:$C$36,$O186)),""))</f>
        <v/>
      </c>
      <c r="Q186" s="33" t="str">
        <f>IF($O186="","",IFERROR(CHOOSE(MATCH($F186,الإعدادات!$B$4:$B$7,0),INDEX('حضور سوريال'!$D$7:$D$36,$O186),INDEX('حضور غبريال'!$D$7:$D$36,$O186),INDEX('حضور رفائيل'!$D$7:$D$36,$O186),INDEX('حضور ميخائيل'!$D$7:$D$36,$O186)),""))</f>
        <v/>
      </c>
      <c r="R186" s="34" t="str">
        <f>IF($O186="","",IFERROR(CHOOSE(MATCH($F186,الإعدادات!$B$4:$B$7,0),INDEX('حضور سوريال'!$F$7:$F$36,$O186),INDEX('حضور غبريال'!$F$7:$F$36,$O186),INDEX('حضور رفائيل'!$F$7:$F$36,$O186),INDEX('حضور ميخائيل'!$F$7:$F$36,$O186)),""))</f>
        <v/>
      </c>
      <c r="S186" s="33" t="str">
        <f>IF($O186="","",IFERROR(CHOOSE(MATCH($F186,الإعدادات!$B$4:$B$7,0),INDEX('حضور سوريال'!$G$7:$G$36,$O186),INDEX('حضور غبريال'!$G$7:$G$36,$O186),INDEX('حضور رفائيل'!$G$7:$G$36,$O186),INDEX('حضور ميخائيل'!$G$7:$G$36,$O186)),""))</f>
        <v/>
      </c>
      <c r="T186" s="35" t="str">
        <f>IF($O186="","",IFERROR(CHOOSE(MATCH($F186,الإعدادات!$B$4:$B$7,0),INDEX('حضور سوريال'!$H$7:$H$36,$O186),INDEX('حضور غبريال'!$H$7:$H$36,$O186),INDEX('حضور رفائيل'!$H$7:$H$36,$O186),INDEX('حضور ميخائيل'!$H$7:$H$36,$O186)),""))</f>
        <v/>
      </c>
      <c r="U186" s="36" t="str">
        <f>IF($O186="","",IFERROR(CHOOSE(MATCH($F186,الإعدادات!$B$4:$B$7,0),INDEX('حضور سوريال'!$I$7:$I$36,$O186),INDEX('حضور غبريال'!$I$7:$I$36,$O186),INDEX('حضور رفائيل'!$I$7:$I$36,$O186),INDEX('حضور ميخائيل'!$I$7:$I$36,$O186)),""))</f>
        <v/>
      </c>
      <c r="V186" t="str">
        <f>IF($O186="","",IFERROR(CHOOSE(MATCH($F186,الإعدادات!$B$4:$B$7,0),INDEX('حضور سوريال'!$BM$7:$BM$36,$O186),INDEX('حضور غبريال'!$BM$7:$BM$36,$O186),INDEX('حضور رفائيل'!$BM$7:$BM$36,$O186),INDEX('حضور ميخائيل'!$BM$7:$BM$36,$O186)),""))</f>
        <v/>
      </c>
      <c r="W186" t="str">
        <f>IF(OR(V186=3,V186=4),COUNTIFS(V$6:V186,3)+COUNTIFS(V$6:V186,4),"")</f>
        <v/>
      </c>
    </row>
    <row r="187" spans="1:23" ht="25.5" customHeight="1">
      <c r="A187" s="26" t="str">
        <f t="shared" si="6"/>
        <v/>
      </c>
      <c r="B187" s="27" t="str">
        <f t="shared" si="7"/>
        <v/>
      </c>
      <c r="C187" s="28"/>
      <c r="D187" s="29"/>
      <c r="E187" s="29"/>
      <c r="F187" s="29"/>
      <c r="G187" s="29"/>
      <c r="H187" s="30"/>
      <c r="I187" s="30"/>
      <c r="J187" s="31"/>
      <c r="K187" s="29"/>
      <c r="L187" s="31"/>
      <c r="M187" s="29"/>
      <c r="N187" s="32" t="str">
        <f t="shared" si="8"/>
        <v/>
      </c>
      <c r="O187" s="32" t="str">
        <f>IF(OR(C187="",F187=""),"",COUNTIFS(F$6:F187,F187,C$6:C187,"&lt;&gt;"))</f>
        <v/>
      </c>
      <c r="P187" s="33" t="str">
        <f>IF($O187="","",IFERROR(CHOOSE(MATCH($F187,الإعدادات!$B$4:$B$7,0),INDEX('حضور سوريال'!$C$7:$C$36,$O187),INDEX('حضور غبريال'!$C$7:$C$36,$O187),INDEX('حضور رفائيل'!$C$7:$C$36,$O187),INDEX('حضور ميخائيل'!$C$7:$C$36,$O187)),""))</f>
        <v/>
      </c>
      <c r="Q187" s="33" t="str">
        <f>IF($O187="","",IFERROR(CHOOSE(MATCH($F187,الإعدادات!$B$4:$B$7,0),INDEX('حضور سوريال'!$D$7:$D$36,$O187),INDEX('حضور غبريال'!$D$7:$D$36,$O187),INDEX('حضور رفائيل'!$D$7:$D$36,$O187),INDEX('حضور ميخائيل'!$D$7:$D$36,$O187)),""))</f>
        <v/>
      </c>
      <c r="R187" s="34" t="str">
        <f>IF($O187="","",IFERROR(CHOOSE(MATCH($F187,الإعدادات!$B$4:$B$7,0),INDEX('حضور سوريال'!$F$7:$F$36,$O187),INDEX('حضور غبريال'!$F$7:$F$36,$O187),INDEX('حضور رفائيل'!$F$7:$F$36,$O187),INDEX('حضور ميخائيل'!$F$7:$F$36,$O187)),""))</f>
        <v/>
      </c>
      <c r="S187" s="33" t="str">
        <f>IF($O187="","",IFERROR(CHOOSE(MATCH($F187,الإعدادات!$B$4:$B$7,0),INDEX('حضور سوريال'!$G$7:$G$36,$O187),INDEX('حضور غبريال'!$G$7:$G$36,$O187),INDEX('حضور رفائيل'!$G$7:$G$36,$O187),INDEX('حضور ميخائيل'!$G$7:$G$36,$O187)),""))</f>
        <v/>
      </c>
      <c r="T187" s="35" t="str">
        <f>IF($O187="","",IFERROR(CHOOSE(MATCH($F187,الإعدادات!$B$4:$B$7,0),INDEX('حضور سوريال'!$H$7:$H$36,$O187),INDEX('حضور غبريال'!$H$7:$H$36,$O187),INDEX('حضور رفائيل'!$H$7:$H$36,$O187),INDEX('حضور ميخائيل'!$H$7:$H$36,$O187)),""))</f>
        <v/>
      </c>
      <c r="U187" s="36" t="str">
        <f>IF($O187="","",IFERROR(CHOOSE(MATCH($F187,الإعدادات!$B$4:$B$7,0),INDEX('حضور سوريال'!$I$7:$I$36,$O187),INDEX('حضور غبريال'!$I$7:$I$36,$O187),INDEX('حضور رفائيل'!$I$7:$I$36,$O187),INDEX('حضور ميخائيل'!$I$7:$I$36,$O187)),""))</f>
        <v/>
      </c>
      <c r="V187" t="str">
        <f>IF($O187="","",IFERROR(CHOOSE(MATCH($F187,الإعدادات!$B$4:$B$7,0),INDEX('حضور سوريال'!$BM$7:$BM$36,$O187),INDEX('حضور غبريال'!$BM$7:$BM$36,$O187),INDEX('حضور رفائيل'!$BM$7:$BM$36,$O187),INDEX('حضور ميخائيل'!$BM$7:$BM$36,$O187)),""))</f>
        <v/>
      </c>
      <c r="W187" t="str">
        <f>IF(OR(V187=3,V187=4),COUNTIFS(V$6:V187,3)+COUNTIFS(V$6:V187,4),"")</f>
        <v/>
      </c>
    </row>
    <row r="188" spans="1:23" ht="25.5" customHeight="1">
      <c r="A188" s="26" t="str">
        <f t="shared" si="6"/>
        <v/>
      </c>
      <c r="B188" s="27" t="str">
        <f t="shared" si="7"/>
        <v/>
      </c>
      <c r="C188" s="28"/>
      <c r="D188" s="29"/>
      <c r="E188" s="29"/>
      <c r="F188" s="29"/>
      <c r="G188" s="29"/>
      <c r="H188" s="30"/>
      <c r="I188" s="30"/>
      <c r="J188" s="31"/>
      <c r="K188" s="29"/>
      <c r="L188" s="31"/>
      <c r="M188" s="29"/>
      <c r="N188" s="32" t="str">
        <f t="shared" si="8"/>
        <v/>
      </c>
      <c r="O188" s="32" t="str">
        <f>IF(OR(C188="",F188=""),"",COUNTIFS(F$6:F188,F188,C$6:C188,"&lt;&gt;"))</f>
        <v/>
      </c>
      <c r="P188" s="33" t="str">
        <f>IF($O188="","",IFERROR(CHOOSE(MATCH($F188,الإعدادات!$B$4:$B$7,0),INDEX('حضور سوريال'!$C$7:$C$36,$O188),INDEX('حضور غبريال'!$C$7:$C$36,$O188),INDEX('حضور رفائيل'!$C$7:$C$36,$O188),INDEX('حضور ميخائيل'!$C$7:$C$36,$O188)),""))</f>
        <v/>
      </c>
      <c r="Q188" s="33" t="str">
        <f>IF($O188="","",IFERROR(CHOOSE(MATCH($F188,الإعدادات!$B$4:$B$7,0),INDEX('حضور سوريال'!$D$7:$D$36,$O188),INDEX('حضور غبريال'!$D$7:$D$36,$O188),INDEX('حضور رفائيل'!$D$7:$D$36,$O188),INDEX('حضور ميخائيل'!$D$7:$D$36,$O188)),""))</f>
        <v/>
      </c>
      <c r="R188" s="34" t="str">
        <f>IF($O188="","",IFERROR(CHOOSE(MATCH($F188,الإعدادات!$B$4:$B$7,0),INDEX('حضور سوريال'!$F$7:$F$36,$O188),INDEX('حضور غبريال'!$F$7:$F$36,$O188),INDEX('حضور رفائيل'!$F$7:$F$36,$O188),INDEX('حضور ميخائيل'!$F$7:$F$36,$O188)),""))</f>
        <v/>
      </c>
      <c r="S188" s="33" t="str">
        <f>IF($O188="","",IFERROR(CHOOSE(MATCH($F188,الإعدادات!$B$4:$B$7,0),INDEX('حضور سوريال'!$G$7:$G$36,$O188),INDEX('حضور غبريال'!$G$7:$G$36,$O188),INDEX('حضور رفائيل'!$G$7:$G$36,$O188),INDEX('حضور ميخائيل'!$G$7:$G$36,$O188)),""))</f>
        <v/>
      </c>
      <c r="T188" s="35" t="str">
        <f>IF($O188="","",IFERROR(CHOOSE(MATCH($F188,الإعدادات!$B$4:$B$7,0),INDEX('حضور سوريال'!$H$7:$H$36,$O188),INDEX('حضور غبريال'!$H$7:$H$36,$O188),INDEX('حضور رفائيل'!$H$7:$H$36,$O188),INDEX('حضور ميخائيل'!$H$7:$H$36,$O188)),""))</f>
        <v/>
      </c>
      <c r="U188" s="36" t="str">
        <f>IF($O188="","",IFERROR(CHOOSE(MATCH($F188,الإعدادات!$B$4:$B$7,0),INDEX('حضور سوريال'!$I$7:$I$36,$O188),INDEX('حضور غبريال'!$I$7:$I$36,$O188),INDEX('حضور رفائيل'!$I$7:$I$36,$O188),INDEX('حضور ميخائيل'!$I$7:$I$36,$O188)),""))</f>
        <v/>
      </c>
      <c r="V188" t="str">
        <f>IF($O188="","",IFERROR(CHOOSE(MATCH($F188,الإعدادات!$B$4:$B$7,0),INDEX('حضور سوريال'!$BM$7:$BM$36,$O188),INDEX('حضور غبريال'!$BM$7:$BM$36,$O188),INDEX('حضور رفائيل'!$BM$7:$BM$36,$O188),INDEX('حضور ميخائيل'!$BM$7:$BM$36,$O188)),""))</f>
        <v/>
      </c>
      <c r="W188" t="str">
        <f>IF(OR(V188=3,V188=4),COUNTIFS(V$6:V188,3)+COUNTIFS(V$6:V188,4),"")</f>
        <v/>
      </c>
    </row>
    <row r="189" spans="1:23" ht="25.5" customHeight="1">
      <c r="A189" s="26" t="str">
        <f t="shared" si="6"/>
        <v/>
      </c>
      <c r="B189" s="27" t="str">
        <f t="shared" si="7"/>
        <v/>
      </c>
      <c r="C189" s="28"/>
      <c r="D189" s="29"/>
      <c r="E189" s="29"/>
      <c r="F189" s="29"/>
      <c r="G189" s="29"/>
      <c r="H189" s="30"/>
      <c r="I189" s="30"/>
      <c r="J189" s="31"/>
      <c r="K189" s="29"/>
      <c r="L189" s="31"/>
      <c r="M189" s="29"/>
      <c r="N189" s="32" t="str">
        <f t="shared" si="8"/>
        <v/>
      </c>
      <c r="O189" s="32" t="str">
        <f>IF(OR(C189="",F189=""),"",COUNTIFS(F$6:F189,F189,C$6:C189,"&lt;&gt;"))</f>
        <v/>
      </c>
      <c r="P189" s="33" t="str">
        <f>IF($O189="","",IFERROR(CHOOSE(MATCH($F189,الإعدادات!$B$4:$B$7,0),INDEX('حضور سوريال'!$C$7:$C$36,$O189),INDEX('حضور غبريال'!$C$7:$C$36,$O189),INDEX('حضور رفائيل'!$C$7:$C$36,$O189),INDEX('حضور ميخائيل'!$C$7:$C$36,$O189)),""))</f>
        <v/>
      </c>
      <c r="Q189" s="33" t="str">
        <f>IF($O189="","",IFERROR(CHOOSE(MATCH($F189,الإعدادات!$B$4:$B$7,0),INDEX('حضور سوريال'!$D$7:$D$36,$O189),INDEX('حضور غبريال'!$D$7:$D$36,$O189),INDEX('حضور رفائيل'!$D$7:$D$36,$O189),INDEX('حضور ميخائيل'!$D$7:$D$36,$O189)),""))</f>
        <v/>
      </c>
      <c r="R189" s="34" t="str">
        <f>IF($O189="","",IFERROR(CHOOSE(MATCH($F189,الإعدادات!$B$4:$B$7,0),INDEX('حضور سوريال'!$F$7:$F$36,$O189),INDEX('حضور غبريال'!$F$7:$F$36,$O189),INDEX('حضور رفائيل'!$F$7:$F$36,$O189),INDEX('حضور ميخائيل'!$F$7:$F$36,$O189)),""))</f>
        <v/>
      </c>
      <c r="S189" s="33" t="str">
        <f>IF($O189="","",IFERROR(CHOOSE(MATCH($F189,الإعدادات!$B$4:$B$7,0),INDEX('حضور سوريال'!$G$7:$G$36,$O189),INDEX('حضور غبريال'!$G$7:$G$36,$O189),INDEX('حضور رفائيل'!$G$7:$G$36,$O189),INDEX('حضور ميخائيل'!$G$7:$G$36,$O189)),""))</f>
        <v/>
      </c>
      <c r="T189" s="35" t="str">
        <f>IF($O189="","",IFERROR(CHOOSE(MATCH($F189,الإعدادات!$B$4:$B$7,0),INDEX('حضور سوريال'!$H$7:$H$36,$O189),INDEX('حضور غبريال'!$H$7:$H$36,$O189),INDEX('حضور رفائيل'!$H$7:$H$36,$O189),INDEX('حضور ميخائيل'!$H$7:$H$36,$O189)),""))</f>
        <v/>
      </c>
      <c r="U189" s="36" t="str">
        <f>IF($O189="","",IFERROR(CHOOSE(MATCH($F189,الإعدادات!$B$4:$B$7,0),INDEX('حضور سوريال'!$I$7:$I$36,$O189),INDEX('حضور غبريال'!$I$7:$I$36,$O189),INDEX('حضور رفائيل'!$I$7:$I$36,$O189),INDEX('حضور ميخائيل'!$I$7:$I$36,$O189)),""))</f>
        <v/>
      </c>
      <c r="V189" t="str">
        <f>IF($O189="","",IFERROR(CHOOSE(MATCH($F189,الإعدادات!$B$4:$B$7,0),INDEX('حضور سوريال'!$BM$7:$BM$36,$O189),INDEX('حضور غبريال'!$BM$7:$BM$36,$O189),INDEX('حضور رفائيل'!$BM$7:$BM$36,$O189),INDEX('حضور ميخائيل'!$BM$7:$BM$36,$O189)),""))</f>
        <v/>
      </c>
      <c r="W189" t="str">
        <f>IF(OR(V189=3,V189=4),COUNTIFS(V$6:V189,3)+COUNTIFS(V$6:V189,4),"")</f>
        <v/>
      </c>
    </row>
    <row r="190" spans="1:23" ht="25.5" customHeight="1">
      <c r="A190" s="26" t="str">
        <f t="shared" si="6"/>
        <v/>
      </c>
      <c r="B190" s="27" t="str">
        <f t="shared" si="7"/>
        <v/>
      </c>
      <c r="C190" s="28"/>
      <c r="D190" s="29"/>
      <c r="E190" s="29"/>
      <c r="F190" s="29"/>
      <c r="G190" s="29"/>
      <c r="H190" s="30"/>
      <c r="I190" s="30"/>
      <c r="J190" s="31"/>
      <c r="K190" s="29"/>
      <c r="L190" s="31"/>
      <c r="M190" s="29"/>
      <c r="N190" s="32" t="str">
        <f t="shared" si="8"/>
        <v/>
      </c>
      <c r="O190" s="32" t="str">
        <f>IF(OR(C190="",F190=""),"",COUNTIFS(F$6:F190,F190,C$6:C190,"&lt;&gt;"))</f>
        <v/>
      </c>
      <c r="P190" s="33" t="str">
        <f>IF($O190="","",IFERROR(CHOOSE(MATCH($F190,الإعدادات!$B$4:$B$7,0),INDEX('حضور سوريال'!$C$7:$C$36,$O190),INDEX('حضور غبريال'!$C$7:$C$36,$O190),INDEX('حضور رفائيل'!$C$7:$C$36,$O190),INDEX('حضور ميخائيل'!$C$7:$C$36,$O190)),""))</f>
        <v/>
      </c>
      <c r="Q190" s="33" t="str">
        <f>IF($O190="","",IFERROR(CHOOSE(MATCH($F190,الإعدادات!$B$4:$B$7,0),INDEX('حضور سوريال'!$D$7:$D$36,$O190),INDEX('حضور غبريال'!$D$7:$D$36,$O190),INDEX('حضور رفائيل'!$D$7:$D$36,$O190),INDEX('حضور ميخائيل'!$D$7:$D$36,$O190)),""))</f>
        <v/>
      </c>
      <c r="R190" s="34" t="str">
        <f>IF($O190="","",IFERROR(CHOOSE(MATCH($F190,الإعدادات!$B$4:$B$7,0),INDEX('حضور سوريال'!$F$7:$F$36,$O190),INDEX('حضور غبريال'!$F$7:$F$36,$O190),INDEX('حضور رفائيل'!$F$7:$F$36,$O190),INDEX('حضور ميخائيل'!$F$7:$F$36,$O190)),""))</f>
        <v/>
      </c>
      <c r="S190" s="33" t="str">
        <f>IF($O190="","",IFERROR(CHOOSE(MATCH($F190,الإعدادات!$B$4:$B$7,0),INDEX('حضور سوريال'!$G$7:$G$36,$O190),INDEX('حضور غبريال'!$G$7:$G$36,$O190),INDEX('حضور رفائيل'!$G$7:$G$36,$O190),INDEX('حضور ميخائيل'!$G$7:$G$36,$O190)),""))</f>
        <v/>
      </c>
      <c r="T190" s="35" t="str">
        <f>IF($O190="","",IFERROR(CHOOSE(MATCH($F190,الإعدادات!$B$4:$B$7,0),INDEX('حضور سوريال'!$H$7:$H$36,$O190),INDEX('حضور غبريال'!$H$7:$H$36,$O190),INDEX('حضور رفائيل'!$H$7:$H$36,$O190),INDEX('حضور ميخائيل'!$H$7:$H$36,$O190)),""))</f>
        <v/>
      </c>
      <c r="U190" s="36" t="str">
        <f>IF($O190="","",IFERROR(CHOOSE(MATCH($F190,الإعدادات!$B$4:$B$7,0),INDEX('حضور سوريال'!$I$7:$I$36,$O190),INDEX('حضور غبريال'!$I$7:$I$36,$O190),INDEX('حضور رفائيل'!$I$7:$I$36,$O190),INDEX('حضور ميخائيل'!$I$7:$I$36,$O190)),""))</f>
        <v/>
      </c>
      <c r="V190" t="str">
        <f>IF($O190="","",IFERROR(CHOOSE(MATCH($F190,الإعدادات!$B$4:$B$7,0),INDEX('حضور سوريال'!$BM$7:$BM$36,$O190),INDEX('حضور غبريال'!$BM$7:$BM$36,$O190),INDEX('حضور رفائيل'!$BM$7:$BM$36,$O190),INDEX('حضور ميخائيل'!$BM$7:$BM$36,$O190)),""))</f>
        <v/>
      </c>
      <c r="W190" t="str">
        <f>IF(OR(V190=3,V190=4),COUNTIFS(V$6:V190,3)+COUNTIFS(V$6:V190,4),"")</f>
        <v/>
      </c>
    </row>
    <row r="191" spans="1:23" ht="25.5" customHeight="1">
      <c r="A191" s="26" t="str">
        <f t="shared" si="6"/>
        <v/>
      </c>
      <c r="B191" s="27" t="str">
        <f t="shared" si="7"/>
        <v/>
      </c>
      <c r="C191" s="28"/>
      <c r="D191" s="29"/>
      <c r="E191" s="29"/>
      <c r="F191" s="29"/>
      <c r="G191" s="29"/>
      <c r="H191" s="30"/>
      <c r="I191" s="30"/>
      <c r="J191" s="31"/>
      <c r="K191" s="29"/>
      <c r="L191" s="31"/>
      <c r="M191" s="29"/>
      <c r="N191" s="32" t="str">
        <f t="shared" si="8"/>
        <v/>
      </c>
      <c r="O191" s="32" t="str">
        <f>IF(OR(C191="",F191=""),"",COUNTIFS(F$6:F191,F191,C$6:C191,"&lt;&gt;"))</f>
        <v/>
      </c>
      <c r="P191" s="33" t="str">
        <f>IF($O191="","",IFERROR(CHOOSE(MATCH($F191,الإعدادات!$B$4:$B$7,0),INDEX('حضور سوريال'!$C$7:$C$36,$O191),INDEX('حضور غبريال'!$C$7:$C$36,$O191),INDEX('حضور رفائيل'!$C$7:$C$36,$O191),INDEX('حضور ميخائيل'!$C$7:$C$36,$O191)),""))</f>
        <v/>
      </c>
      <c r="Q191" s="33" t="str">
        <f>IF($O191="","",IFERROR(CHOOSE(MATCH($F191,الإعدادات!$B$4:$B$7,0),INDEX('حضور سوريال'!$D$7:$D$36,$O191),INDEX('حضور غبريال'!$D$7:$D$36,$O191),INDEX('حضور رفائيل'!$D$7:$D$36,$O191),INDEX('حضور ميخائيل'!$D$7:$D$36,$O191)),""))</f>
        <v/>
      </c>
      <c r="R191" s="34" t="str">
        <f>IF($O191="","",IFERROR(CHOOSE(MATCH($F191,الإعدادات!$B$4:$B$7,0),INDEX('حضور سوريال'!$F$7:$F$36,$O191),INDEX('حضور غبريال'!$F$7:$F$36,$O191),INDEX('حضور رفائيل'!$F$7:$F$36,$O191),INDEX('حضور ميخائيل'!$F$7:$F$36,$O191)),""))</f>
        <v/>
      </c>
      <c r="S191" s="33" t="str">
        <f>IF($O191="","",IFERROR(CHOOSE(MATCH($F191,الإعدادات!$B$4:$B$7,0),INDEX('حضور سوريال'!$G$7:$G$36,$O191),INDEX('حضور غبريال'!$G$7:$G$36,$O191),INDEX('حضور رفائيل'!$G$7:$G$36,$O191),INDEX('حضور ميخائيل'!$G$7:$G$36,$O191)),""))</f>
        <v/>
      </c>
      <c r="T191" s="35" t="str">
        <f>IF($O191="","",IFERROR(CHOOSE(MATCH($F191,الإعدادات!$B$4:$B$7,0),INDEX('حضور سوريال'!$H$7:$H$36,$O191),INDEX('حضور غبريال'!$H$7:$H$36,$O191),INDEX('حضور رفائيل'!$H$7:$H$36,$O191),INDEX('حضور ميخائيل'!$H$7:$H$36,$O191)),""))</f>
        <v/>
      </c>
      <c r="U191" s="36" t="str">
        <f>IF($O191="","",IFERROR(CHOOSE(MATCH($F191,الإعدادات!$B$4:$B$7,0),INDEX('حضور سوريال'!$I$7:$I$36,$O191),INDEX('حضور غبريال'!$I$7:$I$36,$O191),INDEX('حضور رفائيل'!$I$7:$I$36,$O191),INDEX('حضور ميخائيل'!$I$7:$I$36,$O191)),""))</f>
        <v/>
      </c>
      <c r="V191" t="str">
        <f>IF($O191="","",IFERROR(CHOOSE(MATCH($F191,الإعدادات!$B$4:$B$7,0),INDEX('حضور سوريال'!$BM$7:$BM$36,$O191),INDEX('حضور غبريال'!$BM$7:$BM$36,$O191),INDEX('حضور رفائيل'!$BM$7:$BM$36,$O191),INDEX('حضور ميخائيل'!$BM$7:$BM$36,$O191)),""))</f>
        <v/>
      </c>
      <c r="W191" t="str">
        <f>IF(OR(V191=3,V191=4),COUNTIFS(V$6:V191,3)+COUNTIFS(V$6:V191,4),"")</f>
        <v/>
      </c>
    </row>
    <row r="192" spans="1:23" ht="25.5" customHeight="1">
      <c r="A192" s="26" t="str">
        <f t="shared" si="6"/>
        <v/>
      </c>
      <c r="B192" s="27" t="str">
        <f t="shared" si="7"/>
        <v/>
      </c>
      <c r="C192" s="28"/>
      <c r="D192" s="29"/>
      <c r="E192" s="29"/>
      <c r="F192" s="29"/>
      <c r="G192" s="29"/>
      <c r="H192" s="30"/>
      <c r="I192" s="30"/>
      <c r="J192" s="31"/>
      <c r="K192" s="29"/>
      <c r="L192" s="31"/>
      <c r="M192" s="29"/>
      <c r="N192" s="32" t="str">
        <f t="shared" si="8"/>
        <v/>
      </c>
      <c r="O192" s="32" t="str">
        <f>IF(OR(C192="",F192=""),"",COUNTIFS(F$6:F192,F192,C$6:C192,"&lt;&gt;"))</f>
        <v/>
      </c>
      <c r="P192" s="33" t="str">
        <f>IF($O192="","",IFERROR(CHOOSE(MATCH($F192,الإعدادات!$B$4:$B$7,0),INDEX('حضور سوريال'!$C$7:$C$36,$O192),INDEX('حضور غبريال'!$C$7:$C$36,$O192),INDEX('حضور رفائيل'!$C$7:$C$36,$O192),INDEX('حضور ميخائيل'!$C$7:$C$36,$O192)),""))</f>
        <v/>
      </c>
      <c r="Q192" s="33" t="str">
        <f>IF($O192="","",IFERROR(CHOOSE(MATCH($F192,الإعدادات!$B$4:$B$7,0),INDEX('حضور سوريال'!$D$7:$D$36,$O192),INDEX('حضور غبريال'!$D$7:$D$36,$O192),INDEX('حضور رفائيل'!$D$7:$D$36,$O192),INDEX('حضور ميخائيل'!$D$7:$D$36,$O192)),""))</f>
        <v/>
      </c>
      <c r="R192" s="34" t="str">
        <f>IF($O192="","",IFERROR(CHOOSE(MATCH($F192,الإعدادات!$B$4:$B$7,0),INDEX('حضور سوريال'!$F$7:$F$36,$O192),INDEX('حضور غبريال'!$F$7:$F$36,$O192),INDEX('حضور رفائيل'!$F$7:$F$36,$O192),INDEX('حضور ميخائيل'!$F$7:$F$36,$O192)),""))</f>
        <v/>
      </c>
      <c r="S192" s="33" t="str">
        <f>IF($O192="","",IFERROR(CHOOSE(MATCH($F192,الإعدادات!$B$4:$B$7,0),INDEX('حضور سوريال'!$G$7:$G$36,$O192),INDEX('حضور غبريال'!$G$7:$G$36,$O192),INDEX('حضور رفائيل'!$G$7:$G$36,$O192),INDEX('حضور ميخائيل'!$G$7:$G$36,$O192)),""))</f>
        <v/>
      </c>
      <c r="T192" s="35" t="str">
        <f>IF($O192="","",IFERROR(CHOOSE(MATCH($F192,الإعدادات!$B$4:$B$7,0),INDEX('حضور سوريال'!$H$7:$H$36,$O192),INDEX('حضور غبريال'!$H$7:$H$36,$O192),INDEX('حضور رفائيل'!$H$7:$H$36,$O192),INDEX('حضور ميخائيل'!$H$7:$H$36,$O192)),""))</f>
        <v/>
      </c>
      <c r="U192" s="36" t="str">
        <f>IF($O192="","",IFERROR(CHOOSE(MATCH($F192,الإعدادات!$B$4:$B$7,0),INDEX('حضور سوريال'!$I$7:$I$36,$O192),INDEX('حضور غبريال'!$I$7:$I$36,$O192),INDEX('حضور رفائيل'!$I$7:$I$36,$O192),INDEX('حضور ميخائيل'!$I$7:$I$36,$O192)),""))</f>
        <v/>
      </c>
      <c r="V192" t="str">
        <f>IF($O192="","",IFERROR(CHOOSE(MATCH($F192,الإعدادات!$B$4:$B$7,0),INDEX('حضور سوريال'!$BM$7:$BM$36,$O192),INDEX('حضور غبريال'!$BM$7:$BM$36,$O192),INDEX('حضور رفائيل'!$BM$7:$BM$36,$O192),INDEX('حضور ميخائيل'!$BM$7:$BM$36,$O192)),""))</f>
        <v/>
      </c>
      <c r="W192" t="str">
        <f>IF(OR(V192=3,V192=4),COUNTIFS(V$6:V192,3)+COUNTIFS(V$6:V192,4),"")</f>
        <v/>
      </c>
    </row>
    <row r="193" spans="1:23" ht="25.5" customHeight="1">
      <c r="A193" s="26" t="str">
        <f t="shared" si="6"/>
        <v/>
      </c>
      <c r="B193" s="27" t="str">
        <f t="shared" si="7"/>
        <v/>
      </c>
      <c r="C193" s="28"/>
      <c r="D193" s="29"/>
      <c r="E193" s="29"/>
      <c r="F193" s="29"/>
      <c r="G193" s="29"/>
      <c r="H193" s="30"/>
      <c r="I193" s="30"/>
      <c r="J193" s="31"/>
      <c r="K193" s="29"/>
      <c r="L193" s="31"/>
      <c r="M193" s="29"/>
      <c r="N193" s="32" t="str">
        <f t="shared" si="8"/>
        <v/>
      </c>
      <c r="O193" s="32" t="str">
        <f>IF(OR(C193="",F193=""),"",COUNTIFS(F$6:F193,F193,C$6:C193,"&lt;&gt;"))</f>
        <v/>
      </c>
      <c r="P193" s="33" t="str">
        <f>IF($O193="","",IFERROR(CHOOSE(MATCH($F193,الإعدادات!$B$4:$B$7,0),INDEX('حضور سوريال'!$C$7:$C$36,$O193),INDEX('حضور غبريال'!$C$7:$C$36,$O193),INDEX('حضور رفائيل'!$C$7:$C$36,$O193),INDEX('حضور ميخائيل'!$C$7:$C$36,$O193)),""))</f>
        <v/>
      </c>
      <c r="Q193" s="33" t="str">
        <f>IF($O193="","",IFERROR(CHOOSE(MATCH($F193,الإعدادات!$B$4:$B$7,0),INDEX('حضور سوريال'!$D$7:$D$36,$O193),INDEX('حضور غبريال'!$D$7:$D$36,$O193),INDEX('حضور رفائيل'!$D$7:$D$36,$O193),INDEX('حضور ميخائيل'!$D$7:$D$36,$O193)),""))</f>
        <v/>
      </c>
      <c r="R193" s="34" t="str">
        <f>IF($O193="","",IFERROR(CHOOSE(MATCH($F193,الإعدادات!$B$4:$B$7,0),INDEX('حضور سوريال'!$F$7:$F$36,$O193),INDEX('حضور غبريال'!$F$7:$F$36,$O193),INDEX('حضور رفائيل'!$F$7:$F$36,$O193),INDEX('حضور ميخائيل'!$F$7:$F$36,$O193)),""))</f>
        <v/>
      </c>
      <c r="S193" s="33" t="str">
        <f>IF($O193="","",IFERROR(CHOOSE(MATCH($F193,الإعدادات!$B$4:$B$7,0),INDEX('حضور سوريال'!$G$7:$G$36,$O193),INDEX('حضور غبريال'!$G$7:$G$36,$O193),INDEX('حضور رفائيل'!$G$7:$G$36,$O193),INDEX('حضور ميخائيل'!$G$7:$G$36,$O193)),""))</f>
        <v/>
      </c>
      <c r="T193" s="35" t="str">
        <f>IF($O193="","",IFERROR(CHOOSE(MATCH($F193,الإعدادات!$B$4:$B$7,0),INDEX('حضور سوريال'!$H$7:$H$36,$O193),INDEX('حضور غبريال'!$H$7:$H$36,$O193),INDEX('حضور رفائيل'!$H$7:$H$36,$O193),INDEX('حضور ميخائيل'!$H$7:$H$36,$O193)),""))</f>
        <v/>
      </c>
      <c r="U193" s="36" t="str">
        <f>IF($O193="","",IFERROR(CHOOSE(MATCH($F193,الإعدادات!$B$4:$B$7,0),INDEX('حضور سوريال'!$I$7:$I$36,$O193),INDEX('حضور غبريال'!$I$7:$I$36,$O193),INDEX('حضور رفائيل'!$I$7:$I$36,$O193),INDEX('حضور ميخائيل'!$I$7:$I$36,$O193)),""))</f>
        <v/>
      </c>
      <c r="V193" t="str">
        <f>IF($O193="","",IFERROR(CHOOSE(MATCH($F193,الإعدادات!$B$4:$B$7,0),INDEX('حضور سوريال'!$BM$7:$BM$36,$O193),INDEX('حضور غبريال'!$BM$7:$BM$36,$O193),INDEX('حضور رفائيل'!$BM$7:$BM$36,$O193),INDEX('حضور ميخائيل'!$BM$7:$BM$36,$O193)),""))</f>
        <v/>
      </c>
      <c r="W193" t="str">
        <f>IF(OR(V193=3,V193=4),COUNTIFS(V$6:V193,3)+COUNTIFS(V$6:V193,4),"")</f>
        <v/>
      </c>
    </row>
    <row r="194" spans="1:23" ht="25.5" customHeight="1">
      <c r="A194" s="26" t="str">
        <f t="shared" si="6"/>
        <v/>
      </c>
      <c r="B194" s="27" t="str">
        <f t="shared" si="7"/>
        <v/>
      </c>
      <c r="C194" s="28"/>
      <c r="D194" s="29"/>
      <c r="E194" s="29"/>
      <c r="F194" s="29"/>
      <c r="G194" s="29"/>
      <c r="H194" s="30"/>
      <c r="I194" s="30"/>
      <c r="J194" s="31"/>
      <c r="K194" s="29"/>
      <c r="L194" s="31"/>
      <c r="M194" s="29"/>
      <c r="N194" s="32" t="str">
        <f t="shared" si="8"/>
        <v/>
      </c>
      <c r="O194" s="32" t="str">
        <f>IF(OR(C194="",F194=""),"",COUNTIFS(F$6:F194,F194,C$6:C194,"&lt;&gt;"))</f>
        <v/>
      </c>
      <c r="P194" s="33" t="str">
        <f>IF($O194="","",IFERROR(CHOOSE(MATCH($F194,الإعدادات!$B$4:$B$7,0),INDEX('حضور سوريال'!$C$7:$C$36,$O194),INDEX('حضور غبريال'!$C$7:$C$36,$O194),INDEX('حضور رفائيل'!$C$7:$C$36,$O194),INDEX('حضور ميخائيل'!$C$7:$C$36,$O194)),""))</f>
        <v/>
      </c>
      <c r="Q194" s="33" t="str">
        <f>IF($O194="","",IFERROR(CHOOSE(MATCH($F194,الإعدادات!$B$4:$B$7,0),INDEX('حضور سوريال'!$D$7:$D$36,$O194),INDEX('حضور غبريال'!$D$7:$D$36,$O194),INDEX('حضور رفائيل'!$D$7:$D$36,$O194),INDEX('حضور ميخائيل'!$D$7:$D$36,$O194)),""))</f>
        <v/>
      </c>
      <c r="R194" s="34" t="str">
        <f>IF($O194="","",IFERROR(CHOOSE(MATCH($F194,الإعدادات!$B$4:$B$7,0),INDEX('حضور سوريال'!$F$7:$F$36,$O194),INDEX('حضور غبريال'!$F$7:$F$36,$O194),INDEX('حضور رفائيل'!$F$7:$F$36,$O194),INDEX('حضور ميخائيل'!$F$7:$F$36,$O194)),""))</f>
        <v/>
      </c>
      <c r="S194" s="33" t="str">
        <f>IF($O194="","",IFERROR(CHOOSE(MATCH($F194,الإعدادات!$B$4:$B$7,0),INDEX('حضور سوريال'!$G$7:$G$36,$O194),INDEX('حضور غبريال'!$G$7:$G$36,$O194),INDEX('حضور رفائيل'!$G$7:$G$36,$O194),INDEX('حضور ميخائيل'!$G$7:$G$36,$O194)),""))</f>
        <v/>
      </c>
      <c r="T194" s="35" t="str">
        <f>IF($O194="","",IFERROR(CHOOSE(MATCH($F194,الإعدادات!$B$4:$B$7,0),INDEX('حضور سوريال'!$H$7:$H$36,$O194),INDEX('حضور غبريال'!$H$7:$H$36,$O194),INDEX('حضور رفائيل'!$H$7:$H$36,$O194),INDEX('حضور ميخائيل'!$H$7:$H$36,$O194)),""))</f>
        <v/>
      </c>
      <c r="U194" s="36" t="str">
        <f>IF($O194="","",IFERROR(CHOOSE(MATCH($F194,الإعدادات!$B$4:$B$7,0),INDEX('حضور سوريال'!$I$7:$I$36,$O194),INDEX('حضور غبريال'!$I$7:$I$36,$O194),INDEX('حضور رفائيل'!$I$7:$I$36,$O194),INDEX('حضور ميخائيل'!$I$7:$I$36,$O194)),""))</f>
        <v/>
      </c>
      <c r="V194" t="str">
        <f>IF($O194="","",IFERROR(CHOOSE(MATCH($F194,الإعدادات!$B$4:$B$7,0),INDEX('حضور سوريال'!$BM$7:$BM$36,$O194),INDEX('حضور غبريال'!$BM$7:$BM$36,$O194),INDEX('حضور رفائيل'!$BM$7:$BM$36,$O194),INDEX('حضور ميخائيل'!$BM$7:$BM$36,$O194)),""))</f>
        <v/>
      </c>
      <c r="W194" t="str">
        <f>IF(OR(V194=3,V194=4),COUNTIFS(V$6:V194,3)+COUNTIFS(V$6:V194,4),"")</f>
        <v/>
      </c>
    </row>
    <row r="195" spans="1:23" ht="25.5" customHeight="1">
      <c r="A195" s="26" t="str">
        <f t="shared" si="6"/>
        <v/>
      </c>
      <c r="B195" s="27" t="str">
        <f t="shared" si="7"/>
        <v/>
      </c>
      <c r="C195" s="28"/>
      <c r="D195" s="29"/>
      <c r="E195" s="29"/>
      <c r="F195" s="29"/>
      <c r="G195" s="29"/>
      <c r="H195" s="30"/>
      <c r="I195" s="30"/>
      <c r="J195" s="31"/>
      <c r="K195" s="29"/>
      <c r="L195" s="31"/>
      <c r="M195" s="29"/>
      <c r="N195" s="32" t="str">
        <f t="shared" si="8"/>
        <v/>
      </c>
      <c r="O195" s="32" t="str">
        <f>IF(OR(C195="",F195=""),"",COUNTIFS(F$6:F195,F195,C$6:C195,"&lt;&gt;"))</f>
        <v/>
      </c>
      <c r="P195" s="33" t="str">
        <f>IF($O195="","",IFERROR(CHOOSE(MATCH($F195,الإعدادات!$B$4:$B$7,0),INDEX('حضور سوريال'!$C$7:$C$36,$O195),INDEX('حضور غبريال'!$C$7:$C$36,$O195),INDEX('حضور رفائيل'!$C$7:$C$36,$O195),INDEX('حضور ميخائيل'!$C$7:$C$36,$O195)),""))</f>
        <v/>
      </c>
      <c r="Q195" s="33" t="str">
        <f>IF($O195="","",IFERROR(CHOOSE(MATCH($F195,الإعدادات!$B$4:$B$7,0),INDEX('حضور سوريال'!$D$7:$D$36,$O195),INDEX('حضور غبريال'!$D$7:$D$36,$O195),INDEX('حضور رفائيل'!$D$7:$D$36,$O195),INDEX('حضور ميخائيل'!$D$7:$D$36,$O195)),""))</f>
        <v/>
      </c>
      <c r="R195" s="34" t="str">
        <f>IF($O195="","",IFERROR(CHOOSE(MATCH($F195,الإعدادات!$B$4:$B$7,0),INDEX('حضور سوريال'!$F$7:$F$36,$O195),INDEX('حضور غبريال'!$F$7:$F$36,$O195),INDEX('حضور رفائيل'!$F$7:$F$36,$O195),INDEX('حضور ميخائيل'!$F$7:$F$36,$O195)),""))</f>
        <v/>
      </c>
      <c r="S195" s="33" t="str">
        <f>IF($O195="","",IFERROR(CHOOSE(MATCH($F195,الإعدادات!$B$4:$B$7,0),INDEX('حضور سوريال'!$G$7:$G$36,$O195),INDEX('حضور غبريال'!$G$7:$G$36,$O195),INDEX('حضور رفائيل'!$G$7:$G$36,$O195),INDEX('حضور ميخائيل'!$G$7:$G$36,$O195)),""))</f>
        <v/>
      </c>
      <c r="T195" s="35" t="str">
        <f>IF($O195="","",IFERROR(CHOOSE(MATCH($F195,الإعدادات!$B$4:$B$7,0),INDEX('حضور سوريال'!$H$7:$H$36,$O195),INDEX('حضور غبريال'!$H$7:$H$36,$O195),INDEX('حضور رفائيل'!$H$7:$H$36,$O195),INDEX('حضور ميخائيل'!$H$7:$H$36,$O195)),""))</f>
        <v/>
      </c>
      <c r="U195" s="36" t="str">
        <f>IF($O195="","",IFERROR(CHOOSE(MATCH($F195,الإعدادات!$B$4:$B$7,0),INDEX('حضور سوريال'!$I$7:$I$36,$O195),INDEX('حضور غبريال'!$I$7:$I$36,$O195),INDEX('حضور رفائيل'!$I$7:$I$36,$O195),INDEX('حضور ميخائيل'!$I$7:$I$36,$O195)),""))</f>
        <v/>
      </c>
      <c r="V195" t="str">
        <f>IF($O195="","",IFERROR(CHOOSE(MATCH($F195,الإعدادات!$B$4:$B$7,0),INDEX('حضور سوريال'!$BM$7:$BM$36,$O195),INDEX('حضور غبريال'!$BM$7:$BM$36,$O195),INDEX('حضور رفائيل'!$BM$7:$BM$36,$O195),INDEX('حضور ميخائيل'!$BM$7:$BM$36,$O195)),""))</f>
        <v/>
      </c>
      <c r="W195" t="str">
        <f>IF(OR(V195=3,V195=4),COUNTIFS(V$6:V195,3)+COUNTIFS(V$6:V195,4),"")</f>
        <v/>
      </c>
    </row>
    <row r="196" spans="1:23" ht="25.5" customHeight="1">
      <c r="A196" s="26" t="str">
        <f t="shared" si="6"/>
        <v/>
      </c>
      <c r="B196" s="27" t="str">
        <f t="shared" si="7"/>
        <v/>
      </c>
      <c r="C196" s="28"/>
      <c r="D196" s="29"/>
      <c r="E196" s="29"/>
      <c r="F196" s="29"/>
      <c r="G196" s="29"/>
      <c r="H196" s="30"/>
      <c r="I196" s="30"/>
      <c r="J196" s="31"/>
      <c r="K196" s="29"/>
      <c r="L196" s="31"/>
      <c r="M196" s="29"/>
      <c r="N196" s="32" t="str">
        <f t="shared" si="8"/>
        <v/>
      </c>
      <c r="O196" s="32" t="str">
        <f>IF(OR(C196="",F196=""),"",COUNTIFS(F$6:F196,F196,C$6:C196,"&lt;&gt;"))</f>
        <v/>
      </c>
      <c r="P196" s="33" t="str">
        <f>IF($O196="","",IFERROR(CHOOSE(MATCH($F196,الإعدادات!$B$4:$B$7,0),INDEX('حضور سوريال'!$C$7:$C$36,$O196),INDEX('حضور غبريال'!$C$7:$C$36,$O196),INDEX('حضور رفائيل'!$C$7:$C$36,$O196),INDEX('حضور ميخائيل'!$C$7:$C$36,$O196)),""))</f>
        <v/>
      </c>
      <c r="Q196" s="33" t="str">
        <f>IF($O196="","",IFERROR(CHOOSE(MATCH($F196,الإعدادات!$B$4:$B$7,0),INDEX('حضور سوريال'!$D$7:$D$36,$O196),INDEX('حضور غبريال'!$D$7:$D$36,$O196),INDEX('حضور رفائيل'!$D$7:$D$36,$O196),INDEX('حضور ميخائيل'!$D$7:$D$36,$O196)),""))</f>
        <v/>
      </c>
      <c r="R196" s="34" t="str">
        <f>IF($O196="","",IFERROR(CHOOSE(MATCH($F196,الإعدادات!$B$4:$B$7,0),INDEX('حضور سوريال'!$F$7:$F$36,$O196),INDEX('حضور غبريال'!$F$7:$F$36,$O196),INDEX('حضور رفائيل'!$F$7:$F$36,$O196),INDEX('حضور ميخائيل'!$F$7:$F$36,$O196)),""))</f>
        <v/>
      </c>
      <c r="S196" s="33" t="str">
        <f>IF($O196="","",IFERROR(CHOOSE(MATCH($F196,الإعدادات!$B$4:$B$7,0),INDEX('حضور سوريال'!$G$7:$G$36,$O196),INDEX('حضور غبريال'!$G$7:$G$36,$O196),INDEX('حضور رفائيل'!$G$7:$G$36,$O196),INDEX('حضور ميخائيل'!$G$7:$G$36,$O196)),""))</f>
        <v/>
      </c>
      <c r="T196" s="35" t="str">
        <f>IF($O196="","",IFERROR(CHOOSE(MATCH($F196,الإعدادات!$B$4:$B$7,0),INDEX('حضور سوريال'!$H$7:$H$36,$O196),INDEX('حضور غبريال'!$H$7:$H$36,$O196),INDEX('حضور رفائيل'!$H$7:$H$36,$O196),INDEX('حضور ميخائيل'!$H$7:$H$36,$O196)),""))</f>
        <v/>
      </c>
      <c r="U196" s="36" t="str">
        <f>IF($O196="","",IFERROR(CHOOSE(MATCH($F196,الإعدادات!$B$4:$B$7,0),INDEX('حضور سوريال'!$I$7:$I$36,$O196),INDEX('حضور غبريال'!$I$7:$I$36,$O196),INDEX('حضور رفائيل'!$I$7:$I$36,$O196),INDEX('حضور ميخائيل'!$I$7:$I$36,$O196)),""))</f>
        <v/>
      </c>
      <c r="V196" t="str">
        <f>IF($O196="","",IFERROR(CHOOSE(MATCH($F196,الإعدادات!$B$4:$B$7,0),INDEX('حضور سوريال'!$BM$7:$BM$36,$O196),INDEX('حضور غبريال'!$BM$7:$BM$36,$O196),INDEX('حضور رفائيل'!$BM$7:$BM$36,$O196),INDEX('حضور ميخائيل'!$BM$7:$BM$36,$O196)),""))</f>
        <v/>
      </c>
      <c r="W196" t="str">
        <f>IF(OR(V196=3,V196=4),COUNTIFS(V$6:V196,3)+COUNTIFS(V$6:V196,4),"")</f>
        <v/>
      </c>
    </row>
    <row r="197" spans="1:23" ht="25.5" customHeight="1">
      <c r="A197" s="26" t="str">
        <f t="shared" si="6"/>
        <v/>
      </c>
      <c r="B197" s="27" t="str">
        <f t="shared" si="7"/>
        <v/>
      </c>
      <c r="C197" s="28"/>
      <c r="D197" s="29"/>
      <c r="E197" s="29"/>
      <c r="F197" s="29"/>
      <c r="G197" s="29"/>
      <c r="H197" s="30"/>
      <c r="I197" s="30"/>
      <c r="J197" s="31"/>
      <c r="K197" s="29"/>
      <c r="L197" s="31"/>
      <c r="M197" s="29"/>
      <c r="N197" s="32" t="str">
        <f t="shared" si="8"/>
        <v/>
      </c>
      <c r="O197" s="32" t="str">
        <f>IF(OR(C197="",F197=""),"",COUNTIFS(F$6:F197,F197,C$6:C197,"&lt;&gt;"))</f>
        <v/>
      </c>
      <c r="P197" s="33" t="str">
        <f>IF($O197="","",IFERROR(CHOOSE(MATCH($F197,الإعدادات!$B$4:$B$7,0),INDEX('حضور سوريال'!$C$7:$C$36,$O197),INDEX('حضور غبريال'!$C$7:$C$36,$O197),INDEX('حضور رفائيل'!$C$7:$C$36,$O197),INDEX('حضور ميخائيل'!$C$7:$C$36,$O197)),""))</f>
        <v/>
      </c>
      <c r="Q197" s="33" t="str">
        <f>IF($O197="","",IFERROR(CHOOSE(MATCH($F197,الإعدادات!$B$4:$B$7,0),INDEX('حضور سوريال'!$D$7:$D$36,$O197),INDEX('حضور غبريال'!$D$7:$D$36,$O197),INDEX('حضور رفائيل'!$D$7:$D$36,$O197),INDEX('حضور ميخائيل'!$D$7:$D$36,$O197)),""))</f>
        <v/>
      </c>
      <c r="R197" s="34" t="str">
        <f>IF($O197="","",IFERROR(CHOOSE(MATCH($F197,الإعدادات!$B$4:$B$7,0),INDEX('حضور سوريال'!$F$7:$F$36,$O197),INDEX('حضور غبريال'!$F$7:$F$36,$O197),INDEX('حضور رفائيل'!$F$7:$F$36,$O197),INDEX('حضور ميخائيل'!$F$7:$F$36,$O197)),""))</f>
        <v/>
      </c>
      <c r="S197" s="33" t="str">
        <f>IF($O197="","",IFERROR(CHOOSE(MATCH($F197,الإعدادات!$B$4:$B$7,0),INDEX('حضور سوريال'!$G$7:$G$36,$O197),INDEX('حضور غبريال'!$G$7:$G$36,$O197),INDEX('حضور رفائيل'!$G$7:$G$36,$O197),INDEX('حضور ميخائيل'!$G$7:$G$36,$O197)),""))</f>
        <v/>
      </c>
      <c r="T197" s="35" t="str">
        <f>IF($O197="","",IFERROR(CHOOSE(MATCH($F197,الإعدادات!$B$4:$B$7,0),INDEX('حضور سوريال'!$H$7:$H$36,$O197),INDEX('حضور غبريال'!$H$7:$H$36,$O197),INDEX('حضور رفائيل'!$H$7:$H$36,$O197),INDEX('حضور ميخائيل'!$H$7:$H$36,$O197)),""))</f>
        <v/>
      </c>
      <c r="U197" s="36" t="str">
        <f>IF($O197="","",IFERROR(CHOOSE(MATCH($F197,الإعدادات!$B$4:$B$7,0),INDEX('حضور سوريال'!$I$7:$I$36,$O197),INDEX('حضور غبريال'!$I$7:$I$36,$O197),INDEX('حضور رفائيل'!$I$7:$I$36,$O197),INDEX('حضور ميخائيل'!$I$7:$I$36,$O197)),""))</f>
        <v/>
      </c>
      <c r="V197" t="str">
        <f>IF($O197="","",IFERROR(CHOOSE(MATCH($F197,الإعدادات!$B$4:$B$7,0),INDEX('حضور سوريال'!$BM$7:$BM$36,$O197),INDEX('حضور غبريال'!$BM$7:$BM$36,$O197),INDEX('حضور رفائيل'!$BM$7:$BM$36,$O197),INDEX('حضور ميخائيل'!$BM$7:$BM$36,$O197)),""))</f>
        <v/>
      </c>
      <c r="W197" t="str">
        <f>IF(OR(V197=3,V197=4),COUNTIFS(V$6:V197,3)+COUNTIFS(V$6:V197,4),"")</f>
        <v/>
      </c>
    </row>
    <row r="198" spans="1:23" ht="25.5" customHeight="1">
      <c r="A198" s="26" t="str">
        <f t="shared" ref="A198:A261" si="9">IF(C198="","",ROW()-5)</f>
        <v/>
      </c>
      <c r="B198" s="27" t="str">
        <f t="shared" ref="B198:B261" si="10">IF(C198="","","B-"&amp;TEXT(ROW()-5,"000"))</f>
        <v/>
      </c>
      <c r="C198" s="28"/>
      <c r="D198" s="29"/>
      <c r="E198" s="29"/>
      <c r="F198" s="29"/>
      <c r="G198" s="29"/>
      <c r="H198" s="30"/>
      <c r="I198" s="30"/>
      <c r="J198" s="31"/>
      <c r="K198" s="29"/>
      <c r="L198" s="31"/>
      <c r="M198" s="29"/>
      <c r="N198" s="32" t="str">
        <f t="shared" ref="N198:N261" si="11">IF(O198="","",F198&amp;"|"&amp;O198)</f>
        <v/>
      </c>
      <c r="O198" s="32" t="str">
        <f>IF(OR(C198="",F198=""),"",COUNTIFS(F$6:F198,F198,C$6:C198,"&lt;&gt;"))</f>
        <v/>
      </c>
      <c r="P198" s="33" t="str">
        <f>IF($O198="","",IFERROR(CHOOSE(MATCH($F198,الإعدادات!$B$4:$B$7,0),INDEX('حضور سوريال'!$C$7:$C$36,$O198),INDEX('حضور غبريال'!$C$7:$C$36,$O198),INDEX('حضور رفائيل'!$C$7:$C$36,$O198),INDEX('حضور ميخائيل'!$C$7:$C$36,$O198)),""))</f>
        <v/>
      </c>
      <c r="Q198" s="33" t="str">
        <f>IF($O198="","",IFERROR(CHOOSE(MATCH($F198,الإعدادات!$B$4:$B$7,0),INDEX('حضور سوريال'!$D$7:$D$36,$O198),INDEX('حضور غبريال'!$D$7:$D$36,$O198),INDEX('حضور رفائيل'!$D$7:$D$36,$O198),INDEX('حضور ميخائيل'!$D$7:$D$36,$O198)),""))</f>
        <v/>
      </c>
      <c r="R198" s="34" t="str">
        <f>IF($O198="","",IFERROR(CHOOSE(MATCH($F198,الإعدادات!$B$4:$B$7,0),INDEX('حضور سوريال'!$F$7:$F$36,$O198),INDEX('حضور غبريال'!$F$7:$F$36,$O198),INDEX('حضور رفائيل'!$F$7:$F$36,$O198),INDEX('حضور ميخائيل'!$F$7:$F$36,$O198)),""))</f>
        <v/>
      </c>
      <c r="S198" s="33" t="str">
        <f>IF($O198="","",IFERROR(CHOOSE(MATCH($F198,الإعدادات!$B$4:$B$7,0),INDEX('حضور سوريال'!$G$7:$G$36,$O198),INDEX('حضور غبريال'!$G$7:$G$36,$O198),INDEX('حضور رفائيل'!$G$7:$G$36,$O198),INDEX('حضور ميخائيل'!$G$7:$G$36,$O198)),""))</f>
        <v/>
      </c>
      <c r="T198" s="35" t="str">
        <f>IF($O198="","",IFERROR(CHOOSE(MATCH($F198,الإعدادات!$B$4:$B$7,0),INDEX('حضور سوريال'!$H$7:$H$36,$O198),INDEX('حضور غبريال'!$H$7:$H$36,$O198),INDEX('حضور رفائيل'!$H$7:$H$36,$O198),INDEX('حضور ميخائيل'!$H$7:$H$36,$O198)),""))</f>
        <v/>
      </c>
      <c r="U198" s="36" t="str">
        <f>IF($O198="","",IFERROR(CHOOSE(MATCH($F198,الإعدادات!$B$4:$B$7,0),INDEX('حضور سوريال'!$I$7:$I$36,$O198),INDEX('حضور غبريال'!$I$7:$I$36,$O198),INDEX('حضور رفائيل'!$I$7:$I$36,$O198),INDEX('حضور ميخائيل'!$I$7:$I$36,$O198)),""))</f>
        <v/>
      </c>
      <c r="V198" t="str">
        <f>IF($O198="","",IFERROR(CHOOSE(MATCH($F198,الإعدادات!$B$4:$B$7,0),INDEX('حضور سوريال'!$BM$7:$BM$36,$O198),INDEX('حضور غبريال'!$BM$7:$BM$36,$O198),INDEX('حضور رفائيل'!$BM$7:$BM$36,$O198),INDEX('حضور ميخائيل'!$BM$7:$BM$36,$O198)),""))</f>
        <v/>
      </c>
      <c r="W198" t="str">
        <f>IF(OR(V198=3,V198=4),COUNTIFS(V$6:V198,3)+COUNTIFS(V$6:V198,4),"")</f>
        <v/>
      </c>
    </row>
    <row r="199" spans="1:23" ht="25.5" customHeight="1">
      <c r="A199" s="26" t="str">
        <f t="shared" si="9"/>
        <v/>
      </c>
      <c r="B199" s="27" t="str">
        <f t="shared" si="10"/>
        <v/>
      </c>
      <c r="C199" s="28"/>
      <c r="D199" s="29"/>
      <c r="E199" s="29"/>
      <c r="F199" s="29"/>
      <c r="G199" s="29"/>
      <c r="H199" s="30"/>
      <c r="I199" s="30"/>
      <c r="J199" s="31"/>
      <c r="K199" s="29"/>
      <c r="L199" s="31"/>
      <c r="M199" s="29"/>
      <c r="N199" s="32" t="str">
        <f t="shared" si="11"/>
        <v/>
      </c>
      <c r="O199" s="32" t="str">
        <f>IF(OR(C199="",F199=""),"",COUNTIFS(F$6:F199,F199,C$6:C199,"&lt;&gt;"))</f>
        <v/>
      </c>
      <c r="P199" s="33" t="str">
        <f>IF($O199="","",IFERROR(CHOOSE(MATCH($F199,الإعدادات!$B$4:$B$7,0),INDEX('حضور سوريال'!$C$7:$C$36,$O199),INDEX('حضور غبريال'!$C$7:$C$36,$O199),INDEX('حضور رفائيل'!$C$7:$C$36,$O199),INDEX('حضور ميخائيل'!$C$7:$C$36,$O199)),""))</f>
        <v/>
      </c>
      <c r="Q199" s="33" t="str">
        <f>IF($O199="","",IFERROR(CHOOSE(MATCH($F199,الإعدادات!$B$4:$B$7,0),INDEX('حضور سوريال'!$D$7:$D$36,$O199),INDEX('حضور غبريال'!$D$7:$D$36,$O199),INDEX('حضور رفائيل'!$D$7:$D$36,$O199),INDEX('حضور ميخائيل'!$D$7:$D$36,$O199)),""))</f>
        <v/>
      </c>
      <c r="R199" s="34" t="str">
        <f>IF($O199="","",IFERROR(CHOOSE(MATCH($F199,الإعدادات!$B$4:$B$7,0),INDEX('حضور سوريال'!$F$7:$F$36,$O199),INDEX('حضور غبريال'!$F$7:$F$36,$O199),INDEX('حضور رفائيل'!$F$7:$F$36,$O199),INDEX('حضور ميخائيل'!$F$7:$F$36,$O199)),""))</f>
        <v/>
      </c>
      <c r="S199" s="33" t="str">
        <f>IF($O199="","",IFERROR(CHOOSE(MATCH($F199,الإعدادات!$B$4:$B$7,0),INDEX('حضور سوريال'!$G$7:$G$36,$O199),INDEX('حضور غبريال'!$G$7:$G$36,$O199),INDEX('حضور رفائيل'!$G$7:$G$36,$O199),INDEX('حضور ميخائيل'!$G$7:$G$36,$O199)),""))</f>
        <v/>
      </c>
      <c r="T199" s="35" t="str">
        <f>IF($O199="","",IFERROR(CHOOSE(MATCH($F199,الإعدادات!$B$4:$B$7,0),INDEX('حضور سوريال'!$H$7:$H$36,$O199),INDEX('حضور غبريال'!$H$7:$H$36,$O199),INDEX('حضور رفائيل'!$H$7:$H$36,$O199),INDEX('حضور ميخائيل'!$H$7:$H$36,$O199)),""))</f>
        <v/>
      </c>
      <c r="U199" s="36" t="str">
        <f>IF($O199="","",IFERROR(CHOOSE(MATCH($F199,الإعدادات!$B$4:$B$7,0),INDEX('حضور سوريال'!$I$7:$I$36,$O199),INDEX('حضور غبريال'!$I$7:$I$36,$O199),INDEX('حضور رفائيل'!$I$7:$I$36,$O199),INDEX('حضور ميخائيل'!$I$7:$I$36,$O199)),""))</f>
        <v/>
      </c>
      <c r="V199" t="str">
        <f>IF($O199="","",IFERROR(CHOOSE(MATCH($F199,الإعدادات!$B$4:$B$7,0),INDEX('حضور سوريال'!$BM$7:$BM$36,$O199),INDEX('حضور غبريال'!$BM$7:$BM$36,$O199),INDEX('حضور رفائيل'!$BM$7:$BM$36,$O199),INDEX('حضور ميخائيل'!$BM$7:$BM$36,$O199)),""))</f>
        <v/>
      </c>
      <c r="W199" t="str">
        <f>IF(OR(V199=3,V199=4),COUNTIFS(V$6:V199,3)+COUNTIFS(V$6:V199,4),"")</f>
        <v/>
      </c>
    </row>
    <row r="200" spans="1:23" ht="25.5" customHeight="1">
      <c r="A200" s="26" t="str">
        <f t="shared" si="9"/>
        <v/>
      </c>
      <c r="B200" s="27" t="str">
        <f t="shared" si="10"/>
        <v/>
      </c>
      <c r="C200" s="28"/>
      <c r="D200" s="29"/>
      <c r="E200" s="29"/>
      <c r="F200" s="29"/>
      <c r="G200" s="29"/>
      <c r="H200" s="30"/>
      <c r="I200" s="30"/>
      <c r="J200" s="31"/>
      <c r="K200" s="29"/>
      <c r="L200" s="31"/>
      <c r="M200" s="29"/>
      <c r="N200" s="32" t="str">
        <f t="shared" si="11"/>
        <v/>
      </c>
      <c r="O200" s="32" t="str">
        <f>IF(OR(C200="",F200=""),"",COUNTIFS(F$6:F200,F200,C$6:C200,"&lt;&gt;"))</f>
        <v/>
      </c>
      <c r="P200" s="33" t="str">
        <f>IF($O200="","",IFERROR(CHOOSE(MATCH($F200,الإعدادات!$B$4:$B$7,0),INDEX('حضور سوريال'!$C$7:$C$36,$O200),INDEX('حضور غبريال'!$C$7:$C$36,$O200),INDEX('حضور رفائيل'!$C$7:$C$36,$O200),INDEX('حضور ميخائيل'!$C$7:$C$36,$O200)),""))</f>
        <v/>
      </c>
      <c r="Q200" s="33" t="str">
        <f>IF($O200="","",IFERROR(CHOOSE(MATCH($F200,الإعدادات!$B$4:$B$7,0),INDEX('حضور سوريال'!$D$7:$D$36,$O200),INDEX('حضور غبريال'!$D$7:$D$36,$O200),INDEX('حضور رفائيل'!$D$7:$D$36,$O200),INDEX('حضور ميخائيل'!$D$7:$D$36,$O200)),""))</f>
        <v/>
      </c>
      <c r="R200" s="34" t="str">
        <f>IF($O200="","",IFERROR(CHOOSE(MATCH($F200,الإعدادات!$B$4:$B$7,0),INDEX('حضور سوريال'!$F$7:$F$36,$O200),INDEX('حضور غبريال'!$F$7:$F$36,$O200),INDEX('حضور رفائيل'!$F$7:$F$36,$O200),INDEX('حضور ميخائيل'!$F$7:$F$36,$O200)),""))</f>
        <v/>
      </c>
      <c r="S200" s="33" t="str">
        <f>IF($O200="","",IFERROR(CHOOSE(MATCH($F200,الإعدادات!$B$4:$B$7,0),INDEX('حضور سوريال'!$G$7:$G$36,$O200),INDEX('حضور غبريال'!$G$7:$G$36,$O200),INDEX('حضور رفائيل'!$G$7:$G$36,$O200),INDEX('حضور ميخائيل'!$G$7:$G$36,$O200)),""))</f>
        <v/>
      </c>
      <c r="T200" s="35" t="str">
        <f>IF($O200="","",IFERROR(CHOOSE(MATCH($F200,الإعدادات!$B$4:$B$7,0),INDEX('حضور سوريال'!$H$7:$H$36,$O200),INDEX('حضور غبريال'!$H$7:$H$36,$O200),INDEX('حضور رفائيل'!$H$7:$H$36,$O200),INDEX('حضور ميخائيل'!$H$7:$H$36,$O200)),""))</f>
        <v/>
      </c>
      <c r="U200" s="36" t="str">
        <f>IF($O200="","",IFERROR(CHOOSE(MATCH($F200,الإعدادات!$B$4:$B$7,0),INDEX('حضور سوريال'!$I$7:$I$36,$O200),INDEX('حضور غبريال'!$I$7:$I$36,$O200),INDEX('حضور رفائيل'!$I$7:$I$36,$O200),INDEX('حضور ميخائيل'!$I$7:$I$36,$O200)),""))</f>
        <v/>
      </c>
      <c r="V200" t="str">
        <f>IF($O200="","",IFERROR(CHOOSE(MATCH($F200,الإعدادات!$B$4:$B$7,0),INDEX('حضور سوريال'!$BM$7:$BM$36,$O200),INDEX('حضور غبريال'!$BM$7:$BM$36,$O200),INDEX('حضور رفائيل'!$BM$7:$BM$36,$O200),INDEX('حضور ميخائيل'!$BM$7:$BM$36,$O200)),""))</f>
        <v/>
      </c>
      <c r="W200" t="str">
        <f>IF(OR(V200=3,V200=4),COUNTIFS(V$6:V200,3)+COUNTIFS(V$6:V200,4),"")</f>
        <v/>
      </c>
    </row>
    <row r="201" spans="1:23" ht="25.5" customHeight="1">
      <c r="A201" s="26" t="str">
        <f t="shared" si="9"/>
        <v/>
      </c>
      <c r="B201" s="27" t="str">
        <f t="shared" si="10"/>
        <v/>
      </c>
      <c r="C201" s="28"/>
      <c r="D201" s="29"/>
      <c r="E201" s="29"/>
      <c r="F201" s="29"/>
      <c r="G201" s="29"/>
      <c r="H201" s="30"/>
      <c r="I201" s="30"/>
      <c r="J201" s="31"/>
      <c r="K201" s="29"/>
      <c r="L201" s="31"/>
      <c r="M201" s="29"/>
      <c r="N201" s="32" t="str">
        <f t="shared" si="11"/>
        <v/>
      </c>
      <c r="O201" s="32" t="str">
        <f>IF(OR(C201="",F201=""),"",COUNTIFS(F$6:F201,F201,C$6:C201,"&lt;&gt;"))</f>
        <v/>
      </c>
      <c r="P201" s="33" t="str">
        <f>IF($O201="","",IFERROR(CHOOSE(MATCH($F201,الإعدادات!$B$4:$B$7,0),INDEX('حضور سوريال'!$C$7:$C$36,$O201),INDEX('حضور غبريال'!$C$7:$C$36,$O201),INDEX('حضور رفائيل'!$C$7:$C$36,$O201),INDEX('حضور ميخائيل'!$C$7:$C$36,$O201)),""))</f>
        <v/>
      </c>
      <c r="Q201" s="33" t="str">
        <f>IF($O201="","",IFERROR(CHOOSE(MATCH($F201,الإعدادات!$B$4:$B$7,0),INDEX('حضور سوريال'!$D$7:$D$36,$O201),INDEX('حضور غبريال'!$D$7:$D$36,$O201),INDEX('حضور رفائيل'!$D$7:$D$36,$O201),INDEX('حضور ميخائيل'!$D$7:$D$36,$O201)),""))</f>
        <v/>
      </c>
      <c r="R201" s="34" t="str">
        <f>IF($O201="","",IFERROR(CHOOSE(MATCH($F201,الإعدادات!$B$4:$B$7,0),INDEX('حضور سوريال'!$F$7:$F$36,$O201),INDEX('حضور غبريال'!$F$7:$F$36,$O201),INDEX('حضور رفائيل'!$F$7:$F$36,$O201),INDEX('حضور ميخائيل'!$F$7:$F$36,$O201)),""))</f>
        <v/>
      </c>
      <c r="S201" s="33" t="str">
        <f>IF($O201="","",IFERROR(CHOOSE(MATCH($F201,الإعدادات!$B$4:$B$7,0),INDEX('حضور سوريال'!$G$7:$G$36,$O201),INDEX('حضور غبريال'!$G$7:$G$36,$O201),INDEX('حضور رفائيل'!$G$7:$G$36,$O201),INDEX('حضور ميخائيل'!$G$7:$G$36,$O201)),""))</f>
        <v/>
      </c>
      <c r="T201" s="35" t="str">
        <f>IF($O201="","",IFERROR(CHOOSE(MATCH($F201,الإعدادات!$B$4:$B$7,0),INDEX('حضور سوريال'!$H$7:$H$36,$O201),INDEX('حضور غبريال'!$H$7:$H$36,$O201),INDEX('حضور رفائيل'!$H$7:$H$36,$O201),INDEX('حضور ميخائيل'!$H$7:$H$36,$O201)),""))</f>
        <v/>
      </c>
      <c r="U201" s="36" t="str">
        <f>IF($O201="","",IFERROR(CHOOSE(MATCH($F201,الإعدادات!$B$4:$B$7,0),INDEX('حضور سوريال'!$I$7:$I$36,$O201),INDEX('حضور غبريال'!$I$7:$I$36,$O201),INDEX('حضور رفائيل'!$I$7:$I$36,$O201),INDEX('حضور ميخائيل'!$I$7:$I$36,$O201)),""))</f>
        <v/>
      </c>
      <c r="V201" t="str">
        <f>IF($O201="","",IFERROR(CHOOSE(MATCH($F201,الإعدادات!$B$4:$B$7,0),INDEX('حضور سوريال'!$BM$7:$BM$36,$O201),INDEX('حضور غبريال'!$BM$7:$BM$36,$O201),INDEX('حضور رفائيل'!$BM$7:$BM$36,$O201),INDEX('حضور ميخائيل'!$BM$7:$BM$36,$O201)),""))</f>
        <v/>
      </c>
      <c r="W201" t="str">
        <f>IF(OR(V201=3,V201=4),COUNTIFS(V$6:V201,3)+COUNTIFS(V$6:V201,4),"")</f>
        <v/>
      </c>
    </row>
    <row r="202" spans="1:23" ht="25.5" customHeight="1">
      <c r="A202" s="26" t="str">
        <f t="shared" si="9"/>
        <v/>
      </c>
      <c r="B202" s="27" t="str">
        <f t="shared" si="10"/>
        <v/>
      </c>
      <c r="C202" s="28"/>
      <c r="D202" s="29"/>
      <c r="E202" s="29"/>
      <c r="F202" s="29"/>
      <c r="G202" s="29"/>
      <c r="H202" s="30"/>
      <c r="I202" s="30"/>
      <c r="J202" s="31"/>
      <c r="K202" s="29"/>
      <c r="L202" s="31"/>
      <c r="M202" s="29"/>
      <c r="N202" s="32" t="str">
        <f t="shared" si="11"/>
        <v/>
      </c>
      <c r="O202" s="32" t="str">
        <f>IF(OR(C202="",F202=""),"",COUNTIFS(F$6:F202,F202,C$6:C202,"&lt;&gt;"))</f>
        <v/>
      </c>
      <c r="P202" s="33" t="str">
        <f>IF($O202="","",IFERROR(CHOOSE(MATCH($F202,الإعدادات!$B$4:$B$7,0),INDEX('حضور سوريال'!$C$7:$C$36,$O202),INDEX('حضور غبريال'!$C$7:$C$36,$O202),INDEX('حضور رفائيل'!$C$7:$C$36,$O202),INDEX('حضور ميخائيل'!$C$7:$C$36,$O202)),""))</f>
        <v/>
      </c>
      <c r="Q202" s="33" t="str">
        <f>IF($O202="","",IFERROR(CHOOSE(MATCH($F202,الإعدادات!$B$4:$B$7,0),INDEX('حضور سوريال'!$D$7:$D$36,$O202),INDEX('حضور غبريال'!$D$7:$D$36,$O202),INDEX('حضور رفائيل'!$D$7:$D$36,$O202),INDEX('حضور ميخائيل'!$D$7:$D$36,$O202)),""))</f>
        <v/>
      </c>
      <c r="R202" s="34" t="str">
        <f>IF($O202="","",IFERROR(CHOOSE(MATCH($F202,الإعدادات!$B$4:$B$7,0),INDEX('حضور سوريال'!$F$7:$F$36,$O202),INDEX('حضور غبريال'!$F$7:$F$36,$O202),INDEX('حضور رفائيل'!$F$7:$F$36,$O202),INDEX('حضور ميخائيل'!$F$7:$F$36,$O202)),""))</f>
        <v/>
      </c>
      <c r="S202" s="33" t="str">
        <f>IF($O202="","",IFERROR(CHOOSE(MATCH($F202,الإعدادات!$B$4:$B$7,0),INDEX('حضور سوريال'!$G$7:$G$36,$O202),INDEX('حضور غبريال'!$G$7:$G$36,$O202),INDEX('حضور رفائيل'!$G$7:$G$36,$O202),INDEX('حضور ميخائيل'!$G$7:$G$36,$O202)),""))</f>
        <v/>
      </c>
      <c r="T202" s="35" t="str">
        <f>IF($O202="","",IFERROR(CHOOSE(MATCH($F202,الإعدادات!$B$4:$B$7,0),INDEX('حضور سوريال'!$H$7:$H$36,$O202),INDEX('حضور غبريال'!$H$7:$H$36,$O202),INDEX('حضور رفائيل'!$H$7:$H$36,$O202),INDEX('حضور ميخائيل'!$H$7:$H$36,$O202)),""))</f>
        <v/>
      </c>
      <c r="U202" s="36" t="str">
        <f>IF($O202="","",IFERROR(CHOOSE(MATCH($F202,الإعدادات!$B$4:$B$7,0),INDEX('حضور سوريال'!$I$7:$I$36,$O202),INDEX('حضور غبريال'!$I$7:$I$36,$O202),INDEX('حضور رفائيل'!$I$7:$I$36,$O202),INDEX('حضور ميخائيل'!$I$7:$I$36,$O202)),""))</f>
        <v/>
      </c>
      <c r="V202" t="str">
        <f>IF($O202="","",IFERROR(CHOOSE(MATCH($F202,الإعدادات!$B$4:$B$7,0),INDEX('حضور سوريال'!$BM$7:$BM$36,$O202),INDEX('حضور غبريال'!$BM$7:$BM$36,$O202),INDEX('حضور رفائيل'!$BM$7:$BM$36,$O202),INDEX('حضور ميخائيل'!$BM$7:$BM$36,$O202)),""))</f>
        <v/>
      </c>
      <c r="W202" t="str">
        <f>IF(OR(V202=3,V202=4),COUNTIFS(V$6:V202,3)+COUNTIFS(V$6:V202,4),"")</f>
        <v/>
      </c>
    </row>
    <row r="203" spans="1:23" ht="25.5" customHeight="1">
      <c r="A203" s="26" t="str">
        <f t="shared" si="9"/>
        <v/>
      </c>
      <c r="B203" s="27" t="str">
        <f t="shared" si="10"/>
        <v/>
      </c>
      <c r="C203" s="28"/>
      <c r="D203" s="29"/>
      <c r="E203" s="29"/>
      <c r="F203" s="29"/>
      <c r="G203" s="29"/>
      <c r="H203" s="30"/>
      <c r="I203" s="30"/>
      <c r="J203" s="31"/>
      <c r="K203" s="29"/>
      <c r="L203" s="31"/>
      <c r="M203" s="29"/>
      <c r="N203" s="32" t="str">
        <f t="shared" si="11"/>
        <v/>
      </c>
      <c r="O203" s="32" t="str">
        <f>IF(OR(C203="",F203=""),"",COUNTIFS(F$6:F203,F203,C$6:C203,"&lt;&gt;"))</f>
        <v/>
      </c>
      <c r="P203" s="33" t="str">
        <f>IF($O203="","",IFERROR(CHOOSE(MATCH($F203,الإعدادات!$B$4:$B$7,0),INDEX('حضور سوريال'!$C$7:$C$36,$O203),INDEX('حضور غبريال'!$C$7:$C$36,$O203),INDEX('حضور رفائيل'!$C$7:$C$36,$O203),INDEX('حضور ميخائيل'!$C$7:$C$36,$O203)),""))</f>
        <v/>
      </c>
      <c r="Q203" s="33" t="str">
        <f>IF($O203="","",IFERROR(CHOOSE(MATCH($F203,الإعدادات!$B$4:$B$7,0),INDEX('حضور سوريال'!$D$7:$D$36,$O203),INDEX('حضور غبريال'!$D$7:$D$36,$O203),INDEX('حضور رفائيل'!$D$7:$D$36,$O203),INDEX('حضور ميخائيل'!$D$7:$D$36,$O203)),""))</f>
        <v/>
      </c>
      <c r="R203" s="34" t="str">
        <f>IF($O203="","",IFERROR(CHOOSE(MATCH($F203,الإعدادات!$B$4:$B$7,0),INDEX('حضور سوريال'!$F$7:$F$36,$O203),INDEX('حضور غبريال'!$F$7:$F$36,$O203),INDEX('حضور رفائيل'!$F$7:$F$36,$O203),INDEX('حضور ميخائيل'!$F$7:$F$36,$O203)),""))</f>
        <v/>
      </c>
      <c r="S203" s="33" t="str">
        <f>IF($O203="","",IFERROR(CHOOSE(MATCH($F203,الإعدادات!$B$4:$B$7,0),INDEX('حضور سوريال'!$G$7:$G$36,$O203),INDEX('حضور غبريال'!$G$7:$G$36,$O203),INDEX('حضور رفائيل'!$G$7:$G$36,$O203),INDEX('حضور ميخائيل'!$G$7:$G$36,$O203)),""))</f>
        <v/>
      </c>
      <c r="T203" s="35" t="str">
        <f>IF($O203="","",IFERROR(CHOOSE(MATCH($F203,الإعدادات!$B$4:$B$7,0),INDEX('حضور سوريال'!$H$7:$H$36,$O203),INDEX('حضور غبريال'!$H$7:$H$36,$O203),INDEX('حضور رفائيل'!$H$7:$H$36,$O203),INDEX('حضور ميخائيل'!$H$7:$H$36,$O203)),""))</f>
        <v/>
      </c>
      <c r="U203" s="36" t="str">
        <f>IF($O203="","",IFERROR(CHOOSE(MATCH($F203,الإعدادات!$B$4:$B$7,0),INDEX('حضور سوريال'!$I$7:$I$36,$O203),INDEX('حضور غبريال'!$I$7:$I$36,$O203),INDEX('حضور رفائيل'!$I$7:$I$36,$O203),INDEX('حضور ميخائيل'!$I$7:$I$36,$O203)),""))</f>
        <v/>
      </c>
      <c r="V203" t="str">
        <f>IF($O203="","",IFERROR(CHOOSE(MATCH($F203,الإعدادات!$B$4:$B$7,0),INDEX('حضور سوريال'!$BM$7:$BM$36,$O203),INDEX('حضور غبريال'!$BM$7:$BM$36,$O203),INDEX('حضور رفائيل'!$BM$7:$BM$36,$O203),INDEX('حضور ميخائيل'!$BM$7:$BM$36,$O203)),""))</f>
        <v/>
      </c>
      <c r="W203" t="str">
        <f>IF(OR(V203=3,V203=4),COUNTIFS(V$6:V203,3)+COUNTIFS(V$6:V203,4),"")</f>
        <v/>
      </c>
    </row>
    <row r="204" spans="1:23" ht="25.5" customHeight="1">
      <c r="A204" s="26" t="str">
        <f t="shared" si="9"/>
        <v/>
      </c>
      <c r="B204" s="27" t="str">
        <f t="shared" si="10"/>
        <v/>
      </c>
      <c r="C204" s="28"/>
      <c r="D204" s="29"/>
      <c r="E204" s="29"/>
      <c r="F204" s="29"/>
      <c r="G204" s="29"/>
      <c r="H204" s="30"/>
      <c r="I204" s="30"/>
      <c r="J204" s="31"/>
      <c r="K204" s="29"/>
      <c r="L204" s="31"/>
      <c r="M204" s="29"/>
      <c r="N204" s="32" t="str">
        <f t="shared" si="11"/>
        <v/>
      </c>
      <c r="O204" s="32" t="str">
        <f>IF(OR(C204="",F204=""),"",COUNTIFS(F$6:F204,F204,C$6:C204,"&lt;&gt;"))</f>
        <v/>
      </c>
      <c r="P204" s="33" t="str">
        <f>IF($O204="","",IFERROR(CHOOSE(MATCH($F204,الإعدادات!$B$4:$B$7,0),INDEX('حضور سوريال'!$C$7:$C$36,$O204),INDEX('حضور غبريال'!$C$7:$C$36,$O204),INDEX('حضور رفائيل'!$C$7:$C$36,$O204),INDEX('حضور ميخائيل'!$C$7:$C$36,$O204)),""))</f>
        <v/>
      </c>
      <c r="Q204" s="33" t="str">
        <f>IF($O204="","",IFERROR(CHOOSE(MATCH($F204,الإعدادات!$B$4:$B$7,0),INDEX('حضور سوريال'!$D$7:$D$36,$O204),INDEX('حضور غبريال'!$D$7:$D$36,$O204),INDEX('حضور رفائيل'!$D$7:$D$36,$O204),INDEX('حضور ميخائيل'!$D$7:$D$36,$O204)),""))</f>
        <v/>
      </c>
      <c r="R204" s="34" t="str">
        <f>IF($O204="","",IFERROR(CHOOSE(MATCH($F204,الإعدادات!$B$4:$B$7,0),INDEX('حضور سوريال'!$F$7:$F$36,$O204),INDEX('حضور غبريال'!$F$7:$F$36,$O204),INDEX('حضور رفائيل'!$F$7:$F$36,$O204),INDEX('حضور ميخائيل'!$F$7:$F$36,$O204)),""))</f>
        <v/>
      </c>
      <c r="S204" s="33" t="str">
        <f>IF($O204="","",IFERROR(CHOOSE(MATCH($F204,الإعدادات!$B$4:$B$7,0),INDEX('حضور سوريال'!$G$7:$G$36,$O204),INDEX('حضور غبريال'!$G$7:$G$36,$O204),INDEX('حضور رفائيل'!$G$7:$G$36,$O204),INDEX('حضور ميخائيل'!$G$7:$G$36,$O204)),""))</f>
        <v/>
      </c>
      <c r="T204" s="35" t="str">
        <f>IF($O204="","",IFERROR(CHOOSE(MATCH($F204,الإعدادات!$B$4:$B$7,0),INDEX('حضور سوريال'!$H$7:$H$36,$O204),INDEX('حضور غبريال'!$H$7:$H$36,$O204),INDEX('حضور رفائيل'!$H$7:$H$36,$O204),INDEX('حضور ميخائيل'!$H$7:$H$36,$O204)),""))</f>
        <v/>
      </c>
      <c r="U204" s="36" t="str">
        <f>IF($O204="","",IFERROR(CHOOSE(MATCH($F204,الإعدادات!$B$4:$B$7,0),INDEX('حضور سوريال'!$I$7:$I$36,$O204),INDEX('حضور غبريال'!$I$7:$I$36,$O204),INDEX('حضور رفائيل'!$I$7:$I$36,$O204),INDEX('حضور ميخائيل'!$I$7:$I$36,$O204)),""))</f>
        <v/>
      </c>
      <c r="V204" t="str">
        <f>IF($O204="","",IFERROR(CHOOSE(MATCH($F204,الإعدادات!$B$4:$B$7,0),INDEX('حضور سوريال'!$BM$7:$BM$36,$O204),INDEX('حضور غبريال'!$BM$7:$BM$36,$O204),INDEX('حضور رفائيل'!$BM$7:$BM$36,$O204),INDEX('حضور ميخائيل'!$BM$7:$BM$36,$O204)),""))</f>
        <v/>
      </c>
      <c r="W204" t="str">
        <f>IF(OR(V204=3,V204=4),COUNTIFS(V$6:V204,3)+COUNTIFS(V$6:V204,4),"")</f>
        <v/>
      </c>
    </row>
    <row r="205" spans="1:23" ht="25.5" customHeight="1">
      <c r="A205" s="26" t="str">
        <f t="shared" si="9"/>
        <v/>
      </c>
      <c r="B205" s="27" t="str">
        <f t="shared" si="10"/>
        <v/>
      </c>
      <c r="C205" s="28"/>
      <c r="D205" s="29"/>
      <c r="E205" s="29"/>
      <c r="F205" s="29"/>
      <c r="G205" s="29"/>
      <c r="H205" s="30"/>
      <c r="I205" s="30"/>
      <c r="J205" s="31"/>
      <c r="K205" s="29"/>
      <c r="L205" s="31"/>
      <c r="M205" s="29"/>
      <c r="N205" s="32" t="str">
        <f t="shared" si="11"/>
        <v/>
      </c>
      <c r="O205" s="32" t="str">
        <f>IF(OR(C205="",F205=""),"",COUNTIFS(F$6:F205,F205,C$6:C205,"&lt;&gt;"))</f>
        <v/>
      </c>
      <c r="P205" s="33" t="str">
        <f>IF($O205="","",IFERROR(CHOOSE(MATCH($F205,الإعدادات!$B$4:$B$7,0),INDEX('حضور سوريال'!$C$7:$C$36,$O205),INDEX('حضور غبريال'!$C$7:$C$36,$O205),INDEX('حضور رفائيل'!$C$7:$C$36,$O205),INDEX('حضور ميخائيل'!$C$7:$C$36,$O205)),""))</f>
        <v/>
      </c>
      <c r="Q205" s="33" t="str">
        <f>IF($O205="","",IFERROR(CHOOSE(MATCH($F205,الإعدادات!$B$4:$B$7,0),INDEX('حضور سوريال'!$D$7:$D$36,$O205),INDEX('حضور غبريال'!$D$7:$D$36,$O205),INDEX('حضور رفائيل'!$D$7:$D$36,$O205),INDEX('حضور ميخائيل'!$D$7:$D$36,$O205)),""))</f>
        <v/>
      </c>
      <c r="R205" s="34" t="str">
        <f>IF($O205="","",IFERROR(CHOOSE(MATCH($F205,الإعدادات!$B$4:$B$7,0),INDEX('حضور سوريال'!$F$7:$F$36,$O205),INDEX('حضور غبريال'!$F$7:$F$36,$O205),INDEX('حضور رفائيل'!$F$7:$F$36,$O205),INDEX('حضور ميخائيل'!$F$7:$F$36,$O205)),""))</f>
        <v/>
      </c>
      <c r="S205" s="33" t="str">
        <f>IF($O205="","",IFERROR(CHOOSE(MATCH($F205,الإعدادات!$B$4:$B$7,0),INDEX('حضور سوريال'!$G$7:$G$36,$O205),INDEX('حضور غبريال'!$G$7:$G$36,$O205),INDEX('حضور رفائيل'!$G$7:$G$36,$O205),INDEX('حضور ميخائيل'!$G$7:$G$36,$O205)),""))</f>
        <v/>
      </c>
      <c r="T205" s="35" t="str">
        <f>IF($O205="","",IFERROR(CHOOSE(MATCH($F205,الإعدادات!$B$4:$B$7,0),INDEX('حضور سوريال'!$H$7:$H$36,$O205),INDEX('حضور غبريال'!$H$7:$H$36,$O205),INDEX('حضور رفائيل'!$H$7:$H$36,$O205),INDEX('حضور ميخائيل'!$H$7:$H$36,$O205)),""))</f>
        <v/>
      </c>
      <c r="U205" s="36" t="str">
        <f>IF($O205="","",IFERROR(CHOOSE(MATCH($F205,الإعدادات!$B$4:$B$7,0),INDEX('حضور سوريال'!$I$7:$I$36,$O205),INDEX('حضور غبريال'!$I$7:$I$36,$O205),INDEX('حضور رفائيل'!$I$7:$I$36,$O205),INDEX('حضور ميخائيل'!$I$7:$I$36,$O205)),""))</f>
        <v/>
      </c>
      <c r="V205" t="str">
        <f>IF($O205="","",IFERROR(CHOOSE(MATCH($F205,الإعدادات!$B$4:$B$7,0),INDEX('حضور سوريال'!$BM$7:$BM$36,$O205),INDEX('حضور غبريال'!$BM$7:$BM$36,$O205),INDEX('حضور رفائيل'!$BM$7:$BM$36,$O205),INDEX('حضور ميخائيل'!$BM$7:$BM$36,$O205)),""))</f>
        <v/>
      </c>
      <c r="W205" t="str">
        <f>IF(OR(V205=3,V205=4),COUNTIFS(V$6:V205,3)+COUNTIFS(V$6:V205,4),"")</f>
        <v/>
      </c>
    </row>
    <row r="206" spans="1:23" ht="25.5" customHeight="1">
      <c r="A206" s="26" t="str">
        <f t="shared" si="9"/>
        <v/>
      </c>
      <c r="B206" s="27" t="str">
        <f t="shared" si="10"/>
        <v/>
      </c>
      <c r="C206" s="28"/>
      <c r="D206" s="29"/>
      <c r="E206" s="29"/>
      <c r="F206" s="29"/>
      <c r="G206" s="29"/>
      <c r="H206" s="30"/>
      <c r="I206" s="30"/>
      <c r="J206" s="31"/>
      <c r="K206" s="29"/>
      <c r="L206" s="31"/>
      <c r="M206" s="29"/>
      <c r="N206" s="32" t="str">
        <f t="shared" si="11"/>
        <v/>
      </c>
      <c r="O206" s="32" t="str">
        <f>IF(OR(C206="",F206=""),"",COUNTIFS(F$6:F206,F206,C$6:C206,"&lt;&gt;"))</f>
        <v/>
      </c>
      <c r="P206" s="33" t="str">
        <f>IF($O206="","",IFERROR(CHOOSE(MATCH($F206,الإعدادات!$B$4:$B$7,0),INDEX('حضور سوريال'!$C$7:$C$36,$O206),INDEX('حضور غبريال'!$C$7:$C$36,$O206),INDEX('حضور رفائيل'!$C$7:$C$36,$O206),INDEX('حضور ميخائيل'!$C$7:$C$36,$O206)),""))</f>
        <v/>
      </c>
      <c r="Q206" s="33" t="str">
        <f>IF($O206="","",IFERROR(CHOOSE(MATCH($F206,الإعدادات!$B$4:$B$7,0),INDEX('حضور سوريال'!$D$7:$D$36,$O206),INDEX('حضور غبريال'!$D$7:$D$36,$O206),INDEX('حضور رفائيل'!$D$7:$D$36,$O206),INDEX('حضور ميخائيل'!$D$7:$D$36,$O206)),""))</f>
        <v/>
      </c>
      <c r="R206" s="34" t="str">
        <f>IF($O206="","",IFERROR(CHOOSE(MATCH($F206,الإعدادات!$B$4:$B$7,0),INDEX('حضور سوريال'!$F$7:$F$36,$O206),INDEX('حضور غبريال'!$F$7:$F$36,$O206),INDEX('حضور رفائيل'!$F$7:$F$36,$O206),INDEX('حضور ميخائيل'!$F$7:$F$36,$O206)),""))</f>
        <v/>
      </c>
      <c r="S206" s="33" t="str">
        <f>IF($O206="","",IFERROR(CHOOSE(MATCH($F206,الإعدادات!$B$4:$B$7,0),INDEX('حضور سوريال'!$G$7:$G$36,$O206),INDEX('حضور غبريال'!$G$7:$G$36,$O206),INDEX('حضور رفائيل'!$G$7:$G$36,$O206),INDEX('حضور ميخائيل'!$G$7:$G$36,$O206)),""))</f>
        <v/>
      </c>
      <c r="T206" s="35" t="str">
        <f>IF($O206="","",IFERROR(CHOOSE(MATCH($F206,الإعدادات!$B$4:$B$7,0),INDEX('حضور سوريال'!$H$7:$H$36,$O206),INDEX('حضور غبريال'!$H$7:$H$36,$O206),INDEX('حضور رفائيل'!$H$7:$H$36,$O206),INDEX('حضور ميخائيل'!$H$7:$H$36,$O206)),""))</f>
        <v/>
      </c>
      <c r="U206" s="36" t="str">
        <f>IF($O206="","",IFERROR(CHOOSE(MATCH($F206,الإعدادات!$B$4:$B$7,0),INDEX('حضور سوريال'!$I$7:$I$36,$O206),INDEX('حضور غبريال'!$I$7:$I$36,$O206),INDEX('حضور رفائيل'!$I$7:$I$36,$O206),INDEX('حضور ميخائيل'!$I$7:$I$36,$O206)),""))</f>
        <v/>
      </c>
      <c r="V206" t="str">
        <f>IF($O206="","",IFERROR(CHOOSE(MATCH($F206,الإعدادات!$B$4:$B$7,0),INDEX('حضور سوريال'!$BM$7:$BM$36,$O206),INDEX('حضور غبريال'!$BM$7:$BM$36,$O206),INDEX('حضور رفائيل'!$BM$7:$BM$36,$O206),INDEX('حضور ميخائيل'!$BM$7:$BM$36,$O206)),""))</f>
        <v/>
      </c>
      <c r="W206" t="str">
        <f>IF(OR(V206=3,V206=4),COUNTIFS(V$6:V206,3)+COUNTIFS(V$6:V206,4),"")</f>
        <v/>
      </c>
    </row>
    <row r="207" spans="1:23" ht="25.5" customHeight="1">
      <c r="A207" s="26" t="str">
        <f t="shared" si="9"/>
        <v/>
      </c>
      <c r="B207" s="27" t="str">
        <f t="shared" si="10"/>
        <v/>
      </c>
      <c r="C207" s="28"/>
      <c r="D207" s="29"/>
      <c r="E207" s="29"/>
      <c r="F207" s="29"/>
      <c r="G207" s="29"/>
      <c r="H207" s="30"/>
      <c r="I207" s="30"/>
      <c r="J207" s="31"/>
      <c r="K207" s="29"/>
      <c r="L207" s="31"/>
      <c r="M207" s="29"/>
      <c r="N207" s="32" t="str">
        <f t="shared" si="11"/>
        <v/>
      </c>
      <c r="O207" s="32" t="str">
        <f>IF(OR(C207="",F207=""),"",COUNTIFS(F$6:F207,F207,C$6:C207,"&lt;&gt;"))</f>
        <v/>
      </c>
      <c r="P207" s="33" t="str">
        <f>IF($O207="","",IFERROR(CHOOSE(MATCH($F207,الإعدادات!$B$4:$B$7,0),INDEX('حضور سوريال'!$C$7:$C$36,$O207),INDEX('حضور غبريال'!$C$7:$C$36,$O207),INDEX('حضور رفائيل'!$C$7:$C$36,$O207),INDEX('حضور ميخائيل'!$C$7:$C$36,$O207)),""))</f>
        <v/>
      </c>
      <c r="Q207" s="33" t="str">
        <f>IF($O207="","",IFERROR(CHOOSE(MATCH($F207,الإعدادات!$B$4:$B$7,0),INDEX('حضور سوريال'!$D$7:$D$36,$O207),INDEX('حضور غبريال'!$D$7:$D$36,$O207),INDEX('حضور رفائيل'!$D$7:$D$36,$O207),INDEX('حضور ميخائيل'!$D$7:$D$36,$O207)),""))</f>
        <v/>
      </c>
      <c r="R207" s="34" t="str">
        <f>IF($O207="","",IFERROR(CHOOSE(MATCH($F207,الإعدادات!$B$4:$B$7,0),INDEX('حضور سوريال'!$F$7:$F$36,$O207),INDEX('حضور غبريال'!$F$7:$F$36,$O207),INDEX('حضور رفائيل'!$F$7:$F$36,$O207),INDEX('حضور ميخائيل'!$F$7:$F$36,$O207)),""))</f>
        <v/>
      </c>
      <c r="S207" s="33" t="str">
        <f>IF($O207="","",IFERROR(CHOOSE(MATCH($F207,الإعدادات!$B$4:$B$7,0),INDEX('حضور سوريال'!$G$7:$G$36,$O207),INDEX('حضور غبريال'!$G$7:$G$36,$O207),INDEX('حضور رفائيل'!$G$7:$G$36,$O207),INDEX('حضور ميخائيل'!$G$7:$G$36,$O207)),""))</f>
        <v/>
      </c>
      <c r="T207" s="35" t="str">
        <f>IF($O207="","",IFERROR(CHOOSE(MATCH($F207,الإعدادات!$B$4:$B$7,0),INDEX('حضور سوريال'!$H$7:$H$36,$O207),INDEX('حضور غبريال'!$H$7:$H$36,$O207),INDEX('حضور رفائيل'!$H$7:$H$36,$O207),INDEX('حضور ميخائيل'!$H$7:$H$36,$O207)),""))</f>
        <v/>
      </c>
      <c r="U207" s="36" t="str">
        <f>IF($O207="","",IFERROR(CHOOSE(MATCH($F207,الإعدادات!$B$4:$B$7,0),INDEX('حضور سوريال'!$I$7:$I$36,$O207),INDEX('حضور غبريال'!$I$7:$I$36,$O207),INDEX('حضور رفائيل'!$I$7:$I$36,$O207),INDEX('حضور ميخائيل'!$I$7:$I$36,$O207)),""))</f>
        <v/>
      </c>
      <c r="V207" t="str">
        <f>IF($O207="","",IFERROR(CHOOSE(MATCH($F207,الإعدادات!$B$4:$B$7,0),INDEX('حضور سوريال'!$BM$7:$BM$36,$O207),INDEX('حضور غبريال'!$BM$7:$BM$36,$O207),INDEX('حضور رفائيل'!$BM$7:$BM$36,$O207),INDEX('حضور ميخائيل'!$BM$7:$BM$36,$O207)),""))</f>
        <v/>
      </c>
      <c r="W207" t="str">
        <f>IF(OR(V207=3,V207=4),COUNTIFS(V$6:V207,3)+COUNTIFS(V$6:V207,4),"")</f>
        <v/>
      </c>
    </row>
    <row r="208" spans="1:23" ht="25.5" customHeight="1">
      <c r="A208" s="26" t="str">
        <f t="shared" si="9"/>
        <v/>
      </c>
      <c r="B208" s="27" t="str">
        <f t="shared" si="10"/>
        <v/>
      </c>
      <c r="C208" s="28"/>
      <c r="D208" s="29"/>
      <c r="E208" s="29"/>
      <c r="F208" s="29"/>
      <c r="G208" s="29"/>
      <c r="H208" s="30"/>
      <c r="I208" s="30"/>
      <c r="J208" s="31"/>
      <c r="K208" s="29"/>
      <c r="L208" s="31"/>
      <c r="M208" s="29"/>
      <c r="N208" s="32" t="str">
        <f t="shared" si="11"/>
        <v/>
      </c>
      <c r="O208" s="32" t="str">
        <f>IF(OR(C208="",F208=""),"",COUNTIFS(F$6:F208,F208,C$6:C208,"&lt;&gt;"))</f>
        <v/>
      </c>
      <c r="P208" s="33" t="str">
        <f>IF($O208="","",IFERROR(CHOOSE(MATCH($F208,الإعدادات!$B$4:$B$7,0),INDEX('حضور سوريال'!$C$7:$C$36,$O208),INDEX('حضور غبريال'!$C$7:$C$36,$O208),INDEX('حضور رفائيل'!$C$7:$C$36,$O208),INDEX('حضور ميخائيل'!$C$7:$C$36,$O208)),""))</f>
        <v/>
      </c>
      <c r="Q208" s="33" t="str">
        <f>IF($O208="","",IFERROR(CHOOSE(MATCH($F208,الإعدادات!$B$4:$B$7,0),INDEX('حضور سوريال'!$D$7:$D$36,$O208),INDEX('حضور غبريال'!$D$7:$D$36,$O208),INDEX('حضور رفائيل'!$D$7:$D$36,$O208),INDEX('حضور ميخائيل'!$D$7:$D$36,$O208)),""))</f>
        <v/>
      </c>
      <c r="R208" s="34" t="str">
        <f>IF($O208="","",IFERROR(CHOOSE(MATCH($F208,الإعدادات!$B$4:$B$7,0),INDEX('حضور سوريال'!$F$7:$F$36,$O208),INDEX('حضور غبريال'!$F$7:$F$36,$O208),INDEX('حضور رفائيل'!$F$7:$F$36,$O208),INDEX('حضور ميخائيل'!$F$7:$F$36,$O208)),""))</f>
        <v/>
      </c>
      <c r="S208" s="33" t="str">
        <f>IF($O208="","",IFERROR(CHOOSE(MATCH($F208,الإعدادات!$B$4:$B$7,0),INDEX('حضور سوريال'!$G$7:$G$36,$O208),INDEX('حضور غبريال'!$G$7:$G$36,$O208),INDEX('حضور رفائيل'!$G$7:$G$36,$O208),INDEX('حضور ميخائيل'!$G$7:$G$36,$O208)),""))</f>
        <v/>
      </c>
      <c r="T208" s="35" t="str">
        <f>IF($O208="","",IFERROR(CHOOSE(MATCH($F208,الإعدادات!$B$4:$B$7,0),INDEX('حضور سوريال'!$H$7:$H$36,$O208),INDEX('حضور غبريال'!$H$7:$H$36,$O208),INDEX('حضور رفائيل'!$H$7:$H$36,$O208),INDEX('حضور ميخائيل'!$H$7:$H$36,$O208)),""))</f>
        <v/>
      </c>
      <c r="U208" s="36" t="str">
        <f>IF($O208="","",IFERROR(CHOOSE(MATCH($F208,الإعدادات!$B$4:$B$7,0),INDEX('حضور سوريال'!$I$7:$I$36,$O208),INDEX('حضور غبريال'!$I$7:$I$36,$O208),INDEX('حضور رفائيل'!$I$7:$I$36,$O208),INDEX('حضور ميخائيل'!$I$7:$I$36,$O208)),""))</f>
        <v/>
      </c>
      <c r="V208" t="str">
        <f>IF($O208="","",IFERROR(CHOOSE(MATCH($F208,الإعدادات!$B$4:$B$7,0),INDEX('حضور سوريال'!$BM$7:$BM$36,$O208),INDEX('حضور غبريال'!$BM$7:$BM$36,$O208),INDEX('حضور رفائيل'!$BM$7:$BM$36,$O208),INDEX('حضور ميخائيل'!$BM$7:$BM$36,$O208)),""))</f>
        <v/>
      </c>
      <c r="W208" t="str">
        <f>IF(OR(V208=3,V208=4),COUNTIFS(V$6:V208,3)+COUNTIFS(V$6:V208,4),"")</f>
        <v/>
      </c>
    </row>
    <row r="209" spans="1:23" ht="25.5" customHeight="1">
      <c r="A209" s="26" t="str">
        <f t="shared" si="9"/>
        <v/>
      </c>
      <c r="B209" s="27" t="str">
        <f t="shared" si="10"/>
        <v/>
      </c>
      <c r="C209" s="28"/>
      <c r="D209" s="29"/>
      <c r="E209" s="29"/>
      <c r="F209" s="29"/>
      <c r="G209" s="29"/>
      <c r="H209" s="30"/>
      <c r="I209" s="30"/>
      <c r="J209" s="31"/>
      <c r="K209" s="29"/>
      <c r="L209" s="31"/>
      <c r="M209" s="29"/>
      <c r="N209" s="32" t="str">
        <f t="shared" si="11"/>
        <v/>
      </c>
      <c r="O209" s="32" t="str">
        <f>IF(OR(C209="",F209=""),"",COUNTIFS(F$6:F209,F209,C$6:C209,"&lt;&gt;"))</f>
        <v/>
      </c>
      <c r="P209" s="33" t="str">
        <f>IF($O209="","",IFERROR(CHOOSE(MATCH($F209,الإعدادات!$B$4:$B$7,0),INDEX('حضور سوريال'!$C$7:$C$36,$O209),INDEX('حضور غبريال'!$C$7:$C$36,$O209),INDEX('حضور رفائيل'!$C$7:$C$36,$O209),INDEX('حضور ميخائيل'!$C$7:$C$36,$O209)),""))</f>
        <v/>
      </c>
      <c r="Q209" s="33" t="str">
        <f>IF($O209="","",IFERROR(CHOOSE(MATCH($F209,الإعدادات!$B$4:$B$7,0),INDEX('حضور سوريال'!$D$7:$D$36,$O209),INDEX('حضور غبريال'!$D$7:$D$36,$O209),INDEX('حضور رفائيل'!$D$7:$D$36,$O209),INDEX('حضور ميخائيل'!$D$7:$D$36,$O209)),""))</f>
        <v/>
      </c>
      <c r="R209" s="34" t="str">
        <f>IF($O209="","",IFERROR(CHOOSE(MATCH($F209,الإعدادات!$B$4:$B$7,0),INDEX('حضور سوريال'!$F$7:$F$36,$O209),INDEX('حضور غبريال'!$F$7:$F$36,$O209),INDEX('حضور رفائيل'!$F$7:$F$36,$O209),INDEX('حضور ميخائيل'!$F$7:$F$36,$O209)),""))</f>
        <v/>
      </c>
      <c r="S209" s="33" t="str">
        <f>IF($O209="","",IFERROR(CHOOSE(MATCH($F209,الإعدادات!$B$4:$B$7,0),INDEX('حضور سوريال'!$G$7:$G$36,$O209),INDEX('حضور غبريال'!$G$7:$G$36,$O209),INDEX('حضور رفائيل'!$G$7:$G$36,$O209),INDEX('حضور ميخائيل'!$G$7:$G$36,$O209)),""))</f>
        <v/>
      </c>
      <c r="T209" s="35" t="str">
        <f>IF($O209="","",IFERROR(CHOOSE(MATCH($F209,الإعدادات!$B$4:$B$7,0),INDEX('حضور سوريال'!$H$7:$H$36,$O209),INDEX('حضور غبريال'!$H$7:$H$36,$O209),INDEX('حضور رفائيل'!$H$7:$H$36,$O209),INDEX('حضور ميخائيل'!$H$7:$H$36,$O209)),""))</f>
        <v/>
      </c>
      <c r="U209" s="36" t="str">
        <f>IF($O209="","",IFERROR(CHOOSE(MATCH($F209,الإعدادات!$B$4:$B$7,0),INDEX('حضور سوريال'!$I$7:$I$36,$O209),INDEX('حضور غبريال'!$I$7:$I$36,$O209),INDEX('حضور رفائيل'!$I$7:$I$36,$O209),INDEX('حضور ميخائيل'!$I$7:$I$36,$O209)),""))</f>
        <v/>
      </c>
      <c r="V209" t="str">
        <f>IF($O209="","",IFERROR(CHOOSE(MATCH($F209,الإعدادات!$B$4:$B$7,0),INDEX('حضور سوريال'!$BM$7:$BM$36,$O209),INDEX('حضور غبريال'!$BM$7:$BM$36,$O209),INDEX('حضور رفائيل'!$BM$7:$BM$36,$O209),INDEX('حضور ميخائيل'!$BM$7:$BM$36,$O209)),""))</f>
        <v/>
      </c>
      <c r="W209" t="str">
        <f>IF(OR(V209=3,V209=4),COUNTIFS(V$6:V209,3)+COUNTIFS(V$6:V209,4),"")</f>
        <v/>
      </c>
    </row>
    <row r="210" spans="1:23" ht="25.5" customHeight="1">
      <c r="A210" s="26" t="str">
        <f t="shared" si="9"/>
        <v/>
      </c>
      <c r="B210" s="27" t="str">
        <f t="shared" si="10"/>
        <v/>
      </c>
      <c r="C210" s="28"/>
      <c r="D210" s="29"/>
      <c r="E210" s="29"/>
      <c r="F210" s="29"/>
      <c r="G210" s="29"/>
      <c r="H210" s="30"/>
      <c r="I210" s="30"/>
      <c r="J210" s="31"/>
      <c r="K210" s="29"/>
      <c r="L210" s="31"/>
      <c r="M210" s="29"/>
      <c r="N210" s="32" t="str">
        <f t="shared" si="11"/>
        <v/>
      </c>
      <c r="O210" s="32" t="str">
        <f>IF(OR(C210="",F210=""),"",COUNTIFS(F$6:F210,F210,C$6:C210,"&lt;&gt;"))</f>
        <v/>
      </c>
      <c r="P210" s="33" t="str">
        <f>IF($O210="","",IFERROR(CHOOSE(MATCH($F210,الإعدادات!$B$4:$B$7,0),INDEX('حضور سوريال'!$C$7:$C$36,$O210),INDEX('حضور غبريال'!$C$7:$C$36,$O210),INDEX('حضور رفائيل'!$C$7:$C$36,$O210),INDEX('حضور ميخائيل'!$C$7:$C$36,$O210)),""))</f>
        <v/>
      </c>
      <c r="Q210" s="33" t="str">
        <f>IF($O210="","",IFERROR(CHOOSE(MATCH($F210,الإعدادات!$B$4:$B$7,0),INDEX('حضور سوريال'!$D$7:$D$36,$O210),INDEX('حضور غبريال'!$D$7:$D$36,$O210),INDEX('حضور رفائيل'!$D$7:$D$36,$O210),INDEX('حضور ميخائيل'!$D$7:$D$36,$O210)),""))</f>
        <v/>
      </c>
      <c r="R210" s="34" t="str">
        <f>IF($O210="","",IFERROR(CHOOSE(MATCH($F210,الإعدادات!$B$4:$B$7,0),INDEX('حضور سوريال'!$F$7:$F$36,$O210),INDEX('حضور غبريال'!$F$7:$F$36,$O210),INDEX('حضور رفائيل'!$F$7:$F$36,$O210),INDEX('حضور ميخائيل'!$F$7:$F$36,$O210)),""))</f>
        <v/>
      </c>
      <c r="S210" s="33" t="str">
        <f>IF($O210="","",IFERROR(CHOOSE(MATCH($F210,الإعدادات!$B$4:$B$7,0),INDEX('حضور سوريال'!$G$7:$G$36,$O210),INDEX('حضور غبريال'!$G$7:$G$36,$O210),INDEX('حضور رفائيل'!$G$7:$G$36,$O210),INDEX('حضور ميخائيل'!$G$7:$G$36,$O210)),""))</f>
        <v/>
      </c>
      <c r="T210" s="35" t="str">
        <f>IF($O210="","",IFERROR(CHOOSE(MATCH($F210,الإعدادات!$B$4:$B$7,0),INDEX('حضور سوريال'!$H$7:$H$36,$O210),INDEX('حضور غبريال'!$H$7:$H$36,$O210),INDEX('حضور رفائيل'!$H$7:$H$36,$O210),INDEX('حضور ميخائيل'!$H$7:$H$36,$O210)),""))</f>
        <v/>
      </c>
      <c r="U210" s="36" t="str">
        <f>IF($O210="","",IFERROR(CHOOSE(MATCH($F210,الإعدادات!$B$4:$B$7,0),INDEX('حضور سوريال'!$I$7:$I$36,$O210),INDEX('حضور غبريال'!$I$7:$I$36,$O210),INDEX('حضور رفائيل'!$I$7:$I$36,$O210),INDEX('حضور ميخائيل'!$I$7:$I$36,$O210)),""))</f>
        <v/>
      </c>
      <c r="V210" t="str">
        <f>IF($O210="","",IFERROR(CHOOSE(MATCH($F210,الإعدادات!$B$4:$B$7,0),INDEX('حضور سوريال'!$BM$7:$BM$36,$O210),INDEX('حضور غبريال'!$BM$7:$BM$36,$O210),INDEX('حضور رفائيل'!$BM$7:$BM$36,$O210),INDEX('حضور ميخائيل'!$BM$7:$BM$36,$O210)),""))</f>
        <v/>
      </c>
      <c r="W210" t="str">
        <f>IF(OR(V210=3,V210=4),COUNTIFS(V$6:V210,3)+COUNTIFS(V$6:V210,4),"")</f>
        <v/>
      </c>
    </row>
    <row r="211" spans="1:23" ht="25.5" customHeight="1">
      <c r="A211" s="26" t="str">
        <f t="shared" si="9"/>
        <v/>
      </c>
      <c r="B211" s="27" t="str">
        <f t="shared" si="10"/>
        <v/>
      </c>
      <c r="C211" s="28"/>
      <c r="D211" s="29"/>
      <c r="E211" s="29"/>
      <c r="F211" s="29"/>
      <c r="G211" s="29"/>
      <c r="H211" s="30"/>
      <c r="I211" s="30"/>
      <c r="J211" s="31"/>
      <c r="K211" s="29"/>
      <c r="L211" s="31"/>
      <c r="M211" s="29"/>
      <c r="N211" s="32" t="str">
        <f t="shared" si="11"/>
        <v/>
      </c>
      <c r="O211" s="32" t="str">
        <f>IF(OR(C211="",F211=""),"",COUNTIFS(F$6:F211,F211,C$6:C211,"&lt;&gt;"))</f>
        <v/>
      </c>
      <c r="P211" s="33" t="str">
        <f>IF($O211="","",IFERROR(CHOOSE(MATCH($F211,الإعدادات!$B$4:$B$7,0),INDEX('حضور سوريال'!$C$7:$C$36,$O211),INDEX('حضور غبريال'!$C$7:$C$36,$O211),INDEX('حضور رفائيل'!$C$7:$C$36,$O211),INDEX('حضور ميخائيل'!$C$7:$C$36,$O211)),""))</f>
        <v/>
      </c>
      <c r="Q211" s="33" t="str">
        <f>IF($O211="","",IFERROR(CHOOSE(MATCH($F211,الإعدادات!$B$4:$B$7,0),INDEX('حضور سوريال'!$D$7:$D$36,$O211),INDEX('حضور غبريال'!$D$7:$D$36,$O211),INDEX('حضور رفائيل'!$D$7:$D$36,$O211),INDEX('حضور ميخائيل'!$D$7:$D$36,$O211)),""))</f>
        <v/>
      </c>
      <c r="R211" s="34" t="str">
        <f>IF($O211="","",IFERROR(CHOOSE(MATCH($F211,الإعدادات!$B$4:$B$7,0),INDEX('حضور سوريال'!$F$7:$F$36,$O211),INDEX('حضور غبريال'!$F$7:$F$36,$O211),INDEX('حضور رفائيل'!$F$7:$F$36,$O211),INDEX('حضور ميخائيل'!$F$7:$F$36,$O211)),""))</f>
        <v/>
      </c>
      <c r="S211" s="33" t="str">
        <f>IF($O211="","",IFERROR(CHOOSE(MATCH($F211,الإعدادات!$B$4:$B$7,0),INDEX('حضور سوريال'!$G$7:$G$36,$O211),INDEX('حضور غبريال'!$G$7:$G$36,$O211),INDEX('حضور رفائيل'!$G$7:$G$36,$O211),INDEX('حضور ميخائيل'!$G$7:$G$36,$O211)),""))</f>
        <v/>
      </c>
      <c r="T211" s="35" t="str">
        <f>IF($O211="","",IFERROR(CHOOSE(MATCH($F211,الإعدادات!$B$4:$B$7,0),INDEX('حضور سوريال'!$H$7:$H$36,$O211),INDEX('حضور غبريال'!$H$7:$H$36,$O211),INDEX('حضور رفائيل'!$H$7:$H$36,$O211),INDEX('حضور ميخائيل'!$H$7:$H$36,$O211)),""))</f>
        <v/>
      </c>
      <c r="U211" s="36" t="str">
        <f>IF($O211="","",IFERROR(CHOOSE(MATCH($F211,الإعدادات!$B$4:$B$7,0),INDEX('حضور سوريال'!$I$7:$I$36,$O211),INDEX('حضور غبريال'!$I$7:$I$36,$O211),INDEX('حضور رفائيل'!$I$7:$I$36,$O211),INDEX('حضور ميخائيل'!$I$7:$I$36,$O211)),""))</f>
        <v/>
      </c>
      <c r="V211" t="str">
        <f>IF($O211="","",IFERROR(CHOOSE(MATCH($F211,الإعدادات!$B$4:$B$7,0),INDEX('حضور سوريال'!$BM$7:$BM$36,$O211),INDEX('حضور غبريال'!$BM$7:$BM$36,$O211),INDEX('حضور رفائيل'!$BM$7:$BM$36,$O211),INDEX('حضور ميخائيل'!$BM$7:$BM$36,$O211)),""))</f>
        <v/>
      </c>
      <c r="W211" t="str">
        <f>IF(OR(V211=3,V211=4),COUNTIFS(V$6:V211,3)+COUNTIFS(V$6:V211,4),"")</f>
        <v/>
      </c>
    </row>
    <row r="212" spans="1:23" ht="25.5" customHeight="1">
      <c r="A212" s="26" t="str">
        <f t="shared" si="9"/>
        <v/>
      </c>
      <c r="B212" s="27" t="str">
        <f t="shared" si="10"/>
        <v/>
      </c>
      <c r="C212" s="28"/>
      <c r="D212" s="29"/>
      <c r="E212" s="29"/>
      <c r="F212" s="29"/>
      <c r="G212" s="29"/>
      <c r="H212" s="30"/>
      <c r="I212" s="30"/>
      <c r="J212" s="31"/>
      <c r="K212" s="29"/>
      <c r="L212" s="31"/>
      <c r="M212" s="29"/>
      <c r="N212" s="32" t="str">
        <f t="shared" si="11"/>
        <v/>
      </c>
      <c r="O212" s="32" t="str">
        <f>IF(OR(C212="",F212=""),"",COUNTIFS(F$6:F212,F212,C$6:C212,"&lt;&gt;"))</f>
        <v/>
      </c>
      <c r="P212" s="33" t="str">
        <f>IF($O212="","",IFERROR(CHOOSE(MATCH($F212,الإعدادات!$B$4:$B$7,0),INDEX('حضور سوريال'!$C$7:$C$36,$O212),INDEX('حضور غبريال'!$C$7:$C$36,$O212),INDEX('حضور رفائيل'!$C$7:$C$36,$O212),INDEX('حضور ميخائيل'!$C$7:$C$36,$O212)),""))</f>
        <v/>
      </c>
      <c r="Q212" s="33" t="str">
        <f>IF($O212="","",IFERROR(CHOOSE(MATCH($F212,الإعدادات!$B$4:$B$7,0),INDEX('حضور سوريال'!$D$7:$D$36,$O212),INDEX('حضور غبريال'!$D$7:$D$36,$O212),INDEX('حضور رفائيل'!$D$7:$D$36,$O212),INDEX('حضور ميخائيل'!$D$7:$D$36,$O212)),""))</f>
        <v/>
      </c>
      <c r="R212" s="34" t="str">
        <f>IF($O212="","",IFERROR(CHOOSE(MATCH($F212,الإعدادات!$B$4:$B$7,0),INDEX('حضور سوريال'!$F$7:$F$36,$O212),INDEX('حضور غبريال'!$F$7:$F$36,$O212),INDEX('حضور رفائيل'!$F$7:$F$36,$O212),INDEX('حضور ميخائيل'!$F$7:$F$36,$O212)),""))</f>
        <v/>
      </c>
      <c r="S212" s="33" t="str">
        <f>IF($O212="","",IFERROR(CHOOSE(MATCH($F212,الإعدادات!$B$4:$B$7,0),INDEX('حضور سوريال'!$G$7:$G$36,$O212),INDEX('حضور غبريال'!$G$7:$G$36,$O212),INDEX('حضور رفائيل'!$G$7:$G$36,$O212),INDEX('حضور ميخائيل'!$G$7:$G$36,$O212)),""))</f>
        <v/>
      </c>
      <c r="T212" s="35" t="str">
        <f>IF($O212="","",IFERROR(CHOOSE(MATCH($F212,الإعدادات!$B$4:$B$7,0),INDEX('حضور سوريال'!$H$7:$H$36,$O212),INDEX('حضور غبريال'!$H$7:$H$36,$O212),INDEX('حضور رفائيل'!$H$7:$H$36,$O212),INDEX('حضور ميخائيل'!$H$7:$H$36,$O212)),""))</f>
        <v/>
      </c>
      <c r="U212" s="36" t="str">
        <f>IF($O212="","",IFERROR(CHOOSE(MATCH($F212,الإعدادات!$B$4:$B$7,0),INDEX('حضور سوريال'!$I$7:$I$36,$O212),INDEX('حضور غبريال'!$I$7:$I$36,$O212),INDEX('حضور رفائيل'!$I$7:$I$36,$O212),INDEX('حضور ميخائيل'!$I$7:$I$36,$O212)),""))</f>
        <v/>
      </c>
      <c r="V212" t="str">
        <f>IF($O212="","",IFERROR(CHOOSE(MATCH($F212,الإعدادات!$B$4:$B$7,0),INDEX('حضور سوريال'!$BM$7:$BM$36,$O212),INDEX('حضور غبريال'!$BM$7:$BM$36,$O212),INDEX('حضور رفائيل'!$BM$7:$BM$36,$O212),INDEX('حضور ميخائيل'!$BM$7:$BM$36,$O212)),""))</f>
        <v/>
      </c>
      <c r="W212" t="str">
        <f>IF(OR(V212=3,V212=4),COUNTIFS(V$6:V212,3)+COUNTIFS(V$6:V212,4),"")</f>
        <v/>
      </c>
    </row>
    <row r="213" spans="1:23" ht="25.5" customHeight="1">
      <c r="A213" s="26" t="str">
        <f t="shared" si="9"/>
        <v/>
      </c>
      <c r="B213" s="27" t="str">
        <f t="shared" si="10"/>
        <v/>
      </c>
      <c r="C213" s="28"/>
      <c r="D213" s="29"/>
      <c r="E213" s="29"/>
      <c r="F213" s="29"/>
      <c r="G213" s="29"/>
      <c r="H213" s="30"/>
      <c r="I213" s="30"/>
      <c r="J213" s="31"/>
      <c r="K213" s="29"/>
      <c r="L213" s="31"/>
      <c r="M213" s="29"/>
      <c r="N213" s="32" t="str">
        <f t="shared" si="11"/>
        <v/>
      </c>
      <c r="O213" s="32" t="str">
        <f>IF(OR(C213="",F213=""),"",COUNTIFS(F$6:F213,F213,C$6:C213,"&lt;&gt;"))</f>
        <v/>
      </c>
      <c r="P213" s="33" t="str">
        <f>IF($O213="","",IFERROR(CHOOSE(MATCH($F213,الإعدادات!$B$4:$B$7,0),INDEX('حضور سوريال'!$C$7:$C$36,$O213),INDEX('حضور غبريال'!$C$7:$C$36,$O213),INDEX('حضور رفائيل'!$C$7:$C$36,$O213),INDEX('حضور ميخائيل'!$C$7:$C$36,$O213)),""))</f>
        <v/>
      </c>
      <c r="Q213" s="33" t="str">
        <f>IF($O213="","",IFERROR(CHOOSE(MATCH($F213,الإعدادات!$B$4:$B$7,0),INDEX('حضور سوريال'!$D$7:$D$36,$O213),INDEX('حضور غبريال'!$D$7:$D$36,$O213),INDEX('حضور رفائيل'!$D$7:$D$36,$O213),INDEX('حضور ميخائيل'!$D$7:$D$36,$O213)),""))</f>
        <v/>
      </c>
      <c r="R213" s="34" t="str">
        <f>IF($O213="","",IFERROR(CHOOSE(MATCH($F213,الإعدادات!$B$4:$B$7,0),INDEX('حضور سوريال'!$F$7:$F$36,$O213),INDEX('حضور غبريال'!$F$7:$F$36,$O213),INDEX('حضور رفائيل'!$F$7:$F$36,$O213),INDEX('حضور ميخائيل'!$F$7:$F$36,$O213)),""))</f>
        <v/>
      </c>
      <c r="S213" s="33" t="str">
        <f>IF($O213="","",IFERROR(CHOOSE(MATCH($F213,الإعدادات!$B$4:$B$7,0),INDEX('حضور سوريال'!$G$7:$G$36,$O213),INDEX('حضور غبريال'!$G$7:$G$36,$O213),INDEX('حضور رفائيل'!$G$7:$G$36,$O213),INDEX('حضور ميخائيل'!$G$7:$G$36,$O213)),""))</f>
        <v/>
      </c>
      <c r="T213" s="35" t="str">
        <f>IF($O213="","",IFERROR(CHOOSE(MATCH($F213,الإعدادات!$B$4:$B$7,0),INDEX('حضور سوريال'!$H$7:$H$36,$O213),INDEX('حضور غبريال'!$H$7:$H$36,$O213),INDEX('حضور رفائيل'!$H$7:$H$36,$O213),INDEX('حضور ميخائيل'!$H$7:$H$36,$O213)),""))</f>
        <v/>
      </c>
      <c r="U213" s="36" t="str">
        <f>IF($O213="","",IFERROR(CHOOSE(MATCH($F213,الإعدادات!$B$4:$B$7,0),INDEX('حضور سوريال'!$I$7:$I$36,$O213),INDEX('حضور غبريال'!$I$7:$I$36,$O213),INDEX('حضور رفائيل'!$I$7:$I$36,$O213),INDEX('حضور ميخائيل'!$I$7:$I$36,$O213)),""))</f>
        <v/>
      </c>
      <c r="V213" t="str">
        <f>IF($O213="","",IFERROR(CHOOSE(MATCH($F213,الإعدادات!$B$4:$B$7,0),INDEX('حضور سوريال'!$BM$7:$BM$36,$O213),INDEX('حضور غبريال'!$BM$7:$BM$36,$O213),INDEX('حضور رفائيل'!$BM$7:$BM$36,$O213),INDEX('حضور ميخائيل'!$BM$7:$BM$36,$O213)),""))</f>
        <v/>
      </c>
      <c r="W213" t="str">
        <f>IF(OR(V213=3,V213=4),COUNTIFS(V$6:V213,3)+COUNTIFS(V$6:V213,4),"")</f>
        <v/>
      </c>
    </row>
    <row r="214" spans="1:23" ht="25.5" customHeight="1">
      <c r="A214" s="26" t="str">
        <f t="shared" si="9"/>
        <v/>
      </c>
      <c r="B214" s="27" t="str">
        <f t="shared" si="10"/>
        <v/>
      </c>
      <c r="C214" s="28"/>
      <c r="D214" s="29"/>
      <c r="E214" s="29"/>
      <c r="F214" s="29"/>
      <c r="G214" s="29"/>
      <c r="H214" s="30"/>
      <c r="I214" s="30"/>
      <c r="J214" s="31"/>
      <c r="K214" s="29"/>
      <c r="L214" s="31"/>
      <c r="M214" s="29"/>
      <c r="N214" s="32" t="str">
        <f t="shared" si="11"/>
        <v/>
      </c>
      <c r="O214" s="32" t="str">
        <f>IF(OR(C214="",F214=""),"",COUNTIFS(F$6:F214,F214,C$6:C214,"&lt;&gt;"))</f>
        <v/>
      </c>
      <c r="P214" s="33" t="str">
        <f>IF($O214="","",IFERROR(CHOOSE(MATCH($F214,الإعدادات!$B$4:$B$7,0),INDEX('حضور سوريال'!$C$7:$C$36,$O214),INDEX('حضور غبريال'!$C$7:$C$36,$O214),INDEX('حضور رفائيل'!$C$7:$C$36,$O214),INDEX('حضور ميخائيل'!$C$7:$C$36,$O214)),""))</f>
        <v/>
      </c>
      <c r="Q214" s="33" t="str">
        <f>IF($O214="","",IFERROR(CHOOSE(MATCH($F214,الإعدادات!$B$4:$B$7,0),INDEX('حضور سوريال'!$D$7:$D$36,$O214),INDEX('حضور غبريال'!$D$7:$D$36,$O214),INDEX('حضور رفائيل'!$D$7:$D$36,$O214),INDEX('حضور ميخائيل'!$D$7:$D$36,$O214)),""))</f>
        <v/>
      </c>
      <c r="R214" s="34" t="str">
        <f>IF($O214="","",IFERROR(CHOOSE(MATCH($F214,الإعدادات!$B$4:$B$7,0),INDEX('حضور سوريال'!$F$7:$F$36,$O214),INDEX('حضور غبريال'!$F$7:$F$36,$O214),INDEX('حضور رفائيل'!$F$7:$F$36,$O214),INDEX('حضور ميخائيل'!$F$7:$F$36,$O214)),""))</f>
        <v/>
      </c>
      <c r="S214" s="33" t="str">
        <f>IF($O214="","",IFERROR(CHOOSE(MATCH($F214,الإعدادات!$B$4:$B$7,0),INDEX('حضور سوريال'!$G$7:$G$36,$O214),INDEX('حضور غبريال'!$G$7:$G$36,$O214),INDEX('حضور رفائيل'!$G$7:$G$36,$O214),INDEX('حضور ميخائيل'!$G$7:$G$36,$O214)),""))</f>
        <v/>
      </c>
      <c r="T214" s="35" t="str">
        <f>IF($O214="","",IFERROR(CHOOSE(MATCH($F214,الإعدادات!$B$4:$B$7,0),INDEX('حضور سوريال'!$H$7:$H$36,$O214),INDEX('حضور غبريال'!$H$7:$H$36,$O214),INDEX('حضور رفائيل'!$H$7:$H$36,$O214),INDEX('حضور ميخائيل'!$H$7:$H$36,$O214)),""))</f>
        <v/>
      </c>
      <c r="U214" s="36" t="str">
        <f>IF($O214="","",IFERROR(CHOOSE(MATCH($F214,الإعدادات!$B$4:$B$7,0),INDEX('حضور سوريال'!$I$7:$I$36,$O214),INDEX('حضور غبريال'!$I$7:$I$36,$O214),INDEX('حضور رفائيل'!$I$7:$I$36,$O214),INDEX('حضور ميخائيل'!$I$7:$I$36,$O214)),""))</f>
        <v/>
      </c>
      <c r="V214" t="str">
        <f>IF($O214="","",IFERROR(CHOOSE(MATCH($F214,الإعدادات!$B$4:$B$7,0),INDEX('حضور سوريال'!$BM$7:$BM$36,$O214),INDEX('حضور غبريال'!$BM$7:$BM$36,$O214),INDEX('حضور رفائيل'!$BM$7:$BM$36,$O214),INDEX('حضور ميخائيل'!$BM$7:$BM$36,$O214)),""))</f>
        <v/>
      </c>
      <c r="W214" t="str">
        <f>IF(OR(V214=3,V214=4),COUNTIFS(V$6:V214,3)+COUNTIFS(V$6:V214,4),"")</f>
        <v/>
      </c>
    </row>
    <row r="215" spans="1:23" ht="25.5" customHeight="1">
      <c r="A215" s="26" t="str">
        <f t="shared" si="9"/>
        <v/>
      </c>
      <c r="B215" s="27" t="str">
        <f t="shared" si="10"/>
        <v/>
      </c>
      <c r="C215" s="28"/>
      <c r="D215" s="29"/>
      <c r="E215" s="29"/>
      <c r="F215" s="29"/>
      <c r="G215" s="29"/>
      <c r="H215" s="30"/>
      <c r="I215" s="30"/>
      <c r="J215" s="31"/>
      <c r="K215" s="29"/>
      <c r="L215" s="31"/>
      <c r="M215" s="29"/>
      <c r="N215" s="32" t="str">
        <f t="shared" si="11"/>
        <v/>
      </c>
      <c r="O215" s="32" t="str">
        <f>IF(OR(C215="",F215=""),"",COUNTIFS(F$6:F215,F215,C$6:C215,"&lt;&gt;"))</f>
        <v/>
      </c>
      <c r="P215" s="33" t="str">
        <f>IF($O215="","",IFERROR(CHOOSE(MATCH($F215,الإعدادات!$B$4:$B$7,0),INDEX('حضور سوريال'!$C$7:$C$36,$O215),INDEX('حضور غبريال'!$C$7:$C$36,$O215),INDEX('حضور رفائيل'!$C$7:$C$36,$O215),INDEX('حضور ميخائيل'!$C$7:$C$36,$O215)),""))</f>
        <v/>
      </c>
      <c r="Q215" s="33" t="str">
        <f>IF($O215="","",IFERROR(CHOOSE(MATCH($F215,الإعدادات!$B$4:$B$7,0),INDEX('حضور سوريال'!$D$7:$D$36,$O215),INDEX('حضور غبريال'!$D$7:$D$36,$O215),INDEX('حضور رفائيل'!$D$7:$D$36,$O215),INDEX('حضور ميخائيل'!$D$7:$D$36,$O215)),""))</f>
        <v/>
      </c>
      <c r="R215" s="34" t="str">
        <f>IF($O215="","",IFERROR(CHOOSE(MATCH($F215,الإعدادات!$B$4:$B$7,0),INDEX('حضور سوريال'!$F$7:$F$36,$O215),INDEX('حضور غبريال'!$F$7:$F$36,$O215),INDEX('حضور رفائيل'!$F$7:$F$36,$O215),INDEX('حضور ميخائيل'!$F$7:$F$36,$O215)),""))</f>
        <v/>
      </c>
      <c r="S215" s="33" t="str">
        <f>IF($O215="","",IFERROR(CHOOSE(MATCH($F215,الإعدادات!$B$4:$B$7,0),INDEX('حضور سوريال'!$G$7:$G$36,$O215),INDEX('حضور غبريال'!$G$7:$G$36,$O215),INDEX('حضور رفائيل'!$G$7:$G$36,$O215),INDEX('حضور ميخائيل'!$G$7:$G$36,$O215)),""))</f>
        <v/>
      </c>
      <c r="T215" s="35" t="str">
        <f>IF($O215="","",IFERROR(CHOOSE(MATCH($F215,الإعدادات!$B$4:$B$7,0),INDEX('حضور سوريال'!$H$7:$H$36,$O215),INDEX('حضور غبريال'!$H$7:$H$36,$O215),INDEX('حضور رفائيل'!$H$7:$H$36,$O215),INDEX('حضور ميخائيل'!$H$7:$H$36,$O215)),""))</f>
        <v/>
      </c>
      <c r="U215" s="36" t="str">
        <f>IF($O215="","",IFERROR(CHOOSE(MATCH($F215,الإعدادات!$B$4:$B$7,0),INDEX('حضور سوريال'!$I$7:$I$36,$O215),INDEX('حضور غبريال'!$I$7:$I$36,$O215),INDEX('حضور رفائيل'!$I$7:$I$36,$O215),INDEX('حضور ميخائيل'!$I$7:$I$36,$O215)),""))</f>
        <v/>
      </c>
      <c r="V215" t="str">
        <f>IF($O215="","",IFERROR(CHOOSE(MATCH($F215,الإعدادات!$B$4:$B$7,0),INDEX('حضور سوريال'!$BM$7:$BM$36,$O215),INDEX('حضور غبريال'!$BM$7:$BM$36,$O215),INDEX('حضور رفائيل'!$BM$7:$BM$36,$O215),INDEX('حضور ميخائيل'!$BM$7:$BM$36,$O215)),""))</f>
        <v/>
      </c>
      <c r="W215" t="str">
        <f>IF(OR(V215=3,V215=4),COUNTIFS(V$6:V215,3)+COUNTIFS(V$6:V215,4),"")</f>
        <v/>
      </c>
    </row>
    <row r="216" spans="1:23" ht="25.5" customHeight="1">
      <c r="A216" s="26" t="str">
        <f t="shared" si="9"/>
        <v/>
      </c>
      <c r="B216" s="27" t="str">
        <f t="shared" si="10"/>
        <v/>
      </c>
      <c r="C216" s="28"/>
      <c r="D216" s="29"/>
      <c r="E216" s="29"/>
      <c r="F216" s="29"/>
      <c r="G216" s="29"/>
      <c r="H216" s="30"/>
      <c r="I216" s="30"/>
      <c r="J216" s="31"/>
      <c r="K216" s="29"/>
      <c r="L216" s="31"/>
      <c r="M216" s="29"/>
      <c r="N216" s="32" t="str">
        <f t="shared" si="11"/>
        <v/>
      </c>
      <c r="O216" s="32" t="str">
        <f>IF(OR(C216="",F216=""),"",COUNTIFS(F$6:F216,F216,C$6:C216,"&lt;&gt;"))</f>
        <v/>
      </c>
      <c r="P216" s="33" t="str">
        <f>IF($O216="","",IFERROR(CHOOSE(MATCH($F216,الإعدادات!$B$4:$B$7,0),INDEX('حضور سوريال'!$C$7:$C$36,$O216),INDEX('حضور غبريال'!$C$7:$C$36,$O216),INDEX('حضور رفائيل'!$C$7:$C$36,$O216),INDEX('حضور ميخائيل'!$C$7:$C$36,$O216)),""))</f>
        <v/>
      </c>
      <c r="Q216" s="33" t="str">
        <f>IF($O216="","",IFERROR(CHOOSE(MATCH($F216,الإعدادات!$B$4:$B$7,0),INDEX('حضور سوريال'!$D$7:$D$36,$O216),INDEX('حضور غبريال'!$D$7:$D$36,$O216),INDEX('حضور رفائيل'!$D$7:$D$36,$O216),INDEX('حضور ميخائيل'!$D$7:$D$36,$O216)),""))</f>
        <v/>
      </c>
      <c r="R216" s="34" t="str">
        <f>IF($O216="","",IFERROR(CHOOSE(MATCH($F216,الإعدادات!$B$4:$B$7,0),INDEX('حضور سوريال'!$F$7:$F$36,$O216),INDEX('حضور غبريال'!$F$7:$F$36,$O216),INDEX('حضور رفائيل'!$F$7:$F$36,$O216),INDEX('حضور ميخائيل'!$F$7:$F$36,$O216)),""))</f>
        <v/>
      </c>
      <c r="S216" s="33" t="str">
        <f>IF($O216="","",IFERROR(CHOOSE(MATCH($F216,الإعدادات!$B$4:$B$7,0),INDEX('حضور سوريال'!$G$7:$G$36,$O216),INDEX('حضور غبريال'!$G$7:$G$36,$O216),INDEX('حضور رفائيل'!$G$7:$G$36,$O216),INDEX('حضور ميخائيل'!$G$7:$G$36,$O216)),""))</f>
        <v/>
      </c>
      <c r="T216" s="35" t="str">
        <f>IF($O216="","",IFERROR(CHOOSE(MATCH($F216,الإعدادات!$B$4:$B$7,0),INDEX('حضور سوريال'!$H$7:$H$36,$O216),INDEX('حضور غبريال'!$H$7:$H$36,$O216),INDEX('حضور رفائيل'!$H$7:$H$36,$O216),INDEX('حضور ميخائيل'!$H$7:$H$36,$O216)),""))</f>
        <v/>
      </c>
      <c r="U216" s="36" t="str">
        <f>IF($O216="","",IFERROR(CHOOSE(MATCH($F216,الإعدادات!$B$4:$B$7,0),INDEX('حضور سوريال'!$I$7:$I$36,$O216),INDEX('حضور غبريال'!$I$7:$I$36,$O216),INDEX('حضور رفائيل'!$I$7:$I$36,$O216),INDEX('حضور ميخائيل'!$I$7:$I$36,$O216)),""))</f>
        <v/>
      </c>
      <c r="V216" t="str">
        <f>IF($O216="","",IFERROR(CHOOSE(MATCH($F216,الإعدادات!$B$4:$B$7,0),INDEX('حضور سوريال'!$BM$7:$BM$36,$O216),INDEX('حضور غبريال'!$BM$7:$BM$36,$O216),INDEX('حضور رفائيل'!$BM$7:$BM$36,$O216),INDEX('حضور ميخائيل'!$BM$7:$BM$36,$O216)),""))</f>
        <v/>
      </c>
      <c r="W216" t="str">
        <f>IF(OR(V216=3,V216=4),COUNTIFS(V$6:V216,3)+COUNTIFS(V$6:V216,4),"")</f>
        <v/>
      </c>
    </row>
    <row r="217" spans="1:23" ht="25.5" customHeight="1">
      <c r="A217" s="26" t="str">
        <f t="shared" si="9"/>
        <v/>
      </c>
      <c r="B217" s="27" t="str">
        <f t="shared" si="10"/>
        <v/>
      </c>
      <c r="C217" s="28"/>
      <c r="D217" s="29"/>
      <c r="E217" s="29"/>
      <c r="F217" s="29"/>
      <c r="G217" s="29"/>
      <c r="H217" s="30"/>
      <c r="I217" s="30"/>
      <c r="J217" s="31"/>
      <c r="K217" s="29"/>
      <c r="L217" s="31"/>
      <c r="M217" s="29"/>
      <c r="N217" s="32" t="str">
        <f t="shared" si="11"/>
        <v/>
      </c>
      <c r="O217" s="32" t="str">
        <f>IF(OR(C217="",F217=""),"",COUNTIFS(F$6:F217,F217,C$6:C217,"&lt;&gt;"))</f>
        <v/>
      </c>
      <c r="P217" s="33" t="str">
        <f>IF($O217="","",IFERROR(CHOOSE(MATCH($F217,الإعدادات!$B$4:$B$7,0),INDEX('حضور سوريال'!$C$7:$C$36,$O217),INDEX('حضور غبريال'!$C$7:$C$36,$O217),INDEX('حضور رفائيل'!$C$7:$C$36,$O217),INDEX('حضور ميخائيل'!$C$7:$C$36,$O217)),""))</f>
        <v/>
      </c>
      <c r="Q217" s="33" t="str">
        <f>IF($O217="","",IFERROR(CHOOSE(MATCH($F217,الإعدادات!$B$4:$B$7,0),INDEX('حضور سوريال'!$D$7:$D$36,$O217),INDEX('حضور غبريال'!$D$7:$D$36,$O217),INDEX('حضور رفائيل'!$D$7:$D$36,$O217),INDEX('حضور ميخائيل'!$D$7:$D$36,$O217)),""))</f>
        <v/>
      </c>
      <c r="R217" s="34" t="str">
        <f>IF($O217="","",IFERROR(CHOOSE(MATCH($F217,الإعدادات!$B$4:$B$7,0),INDEX('حضور سوريال'!$F$7:$F$36,$O217),INDEX('حضور غبريال'!$F$7:$F$36,$O217),INDEX('حضور رفائيل'!$F$7:$F$36,$O217),INDEX('حضور ميخائيل'!$F$7:$F$36,$O217)),""))</f>
        <v/>
      </c>
      <c r="S217" s="33" t="str">
        <f>IF($O217="","",IFERROR(CHOOSE(MATCH($F217,الإعدادات!$B$4:$B$7,0),INDEX('حضور سوريال'!$G$7:$G$36,$O217),INDEX('حضور غبريال'!$G$7:$G$36,$O217),INDEX('حضور رفائيل'!$G$7:$G$36,$O217),INDEX('حضور ميخائيل'!$G$7:$G$36,$O217)),""))</f>
        <v/>
      </c>
      <c r="T217" s="35" t="str">
        <f>IF($O217="","",IFERROR(CHOOSE(MATCH($F217,الإعدادات!$B$4:$B$7,0),INDEX('حضور سوريال'!$H$7:$H$36,$O217),INDEX('حضور غبريال'!$H$7:$H$36,$O217),INDEX('حضور رفائيل'!$H$7:$H$36,$O217),INDEX('حضور ميخائيل'!$H$7:$H$36,$O217)),""))</f>
        <v/>
      </c>
      <c r="U217" s="36" t="str">
        <f>IF($O217="","",IFERROR(CHOOSE(MATCH($F217,الإعدادات!$B$4:$B$7,0),INDEX('حضور سوريال'!$I$7:$I$36,$O217),INDEX('حضور غبريال'!$I$7:$I$36,$O217),INDEX('حضور رفائيل'!$I$7:$I$36,$O217),INDEX('حضور ميخائيل'!$I$7:$I$36,$O217)),""))</f>
        <v/>
      </c>
      <c r="V217" t="str">
        <f>IF($O217="","",IFERROR(CHOOSE(MATCH($F217,الإعدادات!$B$4:$B$7,0),INDEX('حضور سوريال'!$BM$7:$BM$36,$O217),INDEX('حضور غبريال'!$BM$7:$BM$36,$O217),INDEX('حضور رفائيل'!$BM$7:$BM$36,$O217),INDEX('حضور ميخائيل'!$BM$7:$BM$36,$O217)),""))</f>
        <v/>
      </c>
      <c r="W217" t="str">
        <f>IF(OR(V217=3,V217=4),COUNTIFS(V$6:V217,3)+COUNTIFS(V$6:V217,4),"")</f>
        <v/>
      </c>
    </row>
    <row r="218" spans="1:23" ht="25.5" customHeight="1">
      <c r="A218" s="26" t="str">
        <f t="shared" si="9"/>
        <v/>
      </c>
      <c r="B218" s="27" t="str">
        <f t="shared" si="10"/>
        <v/>
      </c>
      <c r="C218" s="28"/>
      <c r="D218" s="29"/>
      <c r="E218" s="29"/>
      <c r="F218" s="29"/>
      <c r="G218" s="29"/>
      <c r="H218" s="30"/>
      <c r="I218" s="30"/>
      <c r="J218" s="31"/>
      <c r="K218" s="29"/>
      <c r="L218" s="31"/>
      <c r="M218" s="29"/>
      <c r="N218" s="32" t="str">
        <f t="shared" si="11"/>
        <v/>
      </c>
      <c r="O218" s="32" t="str">
        <f>IF(OR(C218="",F218=""),"",COUNTIFS(F$6:F218,F218,C$6:C218,"&lt;&gt;"))</f>
        <v/>
      </c>
      <c r="P218" s="33" t="str">
        <f>IF($O218="","",IFERROR(CHOOSE(MATCH($F218,الإعدادات!$B$4:$B$7,0),INDEX('حضور سوريال'!$C$7:$C$36,$O218),INDEX('حضور غبريال'!$C$7:$C$36,$O218),INDEX('حضور رفائيل'!$C$7:$C$36,$O218),INDEX('حضور ميخائيل'!$C$7:$C$36,$O218)),""))</f>
        <v/>
      </c>
      <c r="Q218" s="33" t="str">
        <f>IF($O218="","",IFERROR(CHOOSE(MATCH($F218,الإعدادات!$B$4:$B$7,0),INDEX('حضور سوريال'!$D$7:$D$36,$O218),INDEX('حضور غبريال'!$D$7:$D$36,$O218),INDEX('حضور رفائيل'!$D$7:$D$36,$O218),INDEX('حضور ميخائيل'!$D$7:$D$36,$O218)),""))</f>
        <v/>
      </c>
      <c r="R218" s="34" t="str">
        <f>IF($O218="","",IFERROR(CHOOSE(MATCH($F218,الإعدادات!$B$4:$B$7,0),INDEX('حضور سوريال'!$F$7:$F$36,$O218),INDEX('حضور غبريال'!$F$7:$F$36,$O218),INDEX('حضور رفائيل'!$F$7:$F$36,$O218),INDEX('حضور ميخائيل'!$F$7:$F$36,$O218)),""))</f>
        <v/>
      </c>
      <c r="S218" s="33" t="str">
        <f>IF($O218="","",IFERROR(CHOOSE(MATCH($F218,الإعدادات!$B$4:$B$7,0),INDEX('حضور سوريال'!$G$7:$G$36,$O218),INDEX('حضور غبريال'!$G$7:$G$36,$O218),INDEX('حضور رفائيل'!$G$7:$G$36,$O218),INDEX('حضور ميخائيل'!$G$7:$G$36,$O218)),""))</f>
        <v/>
      </c>
      <c r="T218" s="35" t="str">
        <f>IF($O218="","",IFERROR(CHOOSE(MATCH($F218,الإعدادات!$B$4:$B$7,0),INDEX('حضور سوريال'!$H$7:$H$36,$O218),INDEX('حضور غبريال'!$H$7:$H$36,$O218),INDEX('حضور رفائيل'!$H$7:$H$36,$O218),INDEX('حضور ميخائيل'!$H$7:$H$36,$O218)),""))</f>
        <v/>
      </c>
      <c r="U218" s="36" t="str">
        <f>IF($O218="","",IFERROR(CHOOSE(MATCH($F218,الإعدادات!$B$4:$B$7,0),INDEX('حضور سوريال'!$I$7:$I$36,$O218),INDEX('حضور غبريال'!$I$7:$I$36,$O218),INDEX('حضور رفائيل'!$I$7:$I$36,$O218),INDEX('حضور ميخائيل'!$I$7:$I$36,$O218)),""))</f>
        <v/>
      </c>
      <c r="V218" t="str">
        <f>IF($O218="","",IFERROR(CHOOSE(MATCH($F218,الإعدادات!$B$4:$B$7,0),INDEX('حضور سوريال'!$BM$7:$BM$36,$O218),INDEX('حضور غبريال'!$BM$7:$BM$36,$O218),INDEX('حضور رفائيل'!$BM$7:$BM$36,$O218),INDEX('حضور ميخائيل'!$BM$7:$BM$36,$O218)),""))</f>
        <v/>
      </c>
      <c r="W218" t="str">
        <f>IF(OR(V218=3,V218=4),COUNTIFS(V$6:V218,3)+COUNTIFS(V$6:V218,4),"")</f>
        <v/>
      </c>
    </row>
    <row r="219" spans="1:23" ht="25.5" customHeight="1">
      <c r="A219" s="26" t="str">
        <f t="shared" si="9"/>
        <v/>
      </c>
      <c r="B219" s="27" t="str">
        <f t="shared" si="10"/>
        <v/>
      </c>
      <c r="C219" s="28"/>
      <c r="D219" s="29"/>
      <c r="E219" s="29"/>
      <c r="F219" s="29"/>
      <c r="G219" s="29"/>
      <c r="H219" s="30"/>
      <c r="I219" s="30"/>
      <c r="J219" s="31"/>
      <c r="K219" s="29"/>
      <c r="L219" s="31"/>
      <c r="M219" s="29"/>
      <c r="N219" s="32" t="str">
        <f t="shared" si="11"/>
        <v/>
      </c>
      <c r="O219" s="32" t="str">
        <f>IF(OR(C219="",F219=""),"",COUNTIFS(F$6:F219,F219,C$6:C219,"&lt;&gt;"))</f>
        <v/>
      </c>
      <c r="P219" s="33" t="str">
        <f>IF($O219="","",IFERROR(CHOOSE(MATCH($F219,الإعدادات!$B$4:$B$7,0),INDEX('حضور سوريال'!$C$7:$C$36,$O219),INDEX('حضور غبريال'!$C$7:$C$36,$O219),INDEX('حضور رفائيل'!$C$7:$C$36,$O219),INDEX('حضور ميخائيل'!$C$7:$C$36,$O219)),""))</f>
        <v/>
      </c>
      <c r="Q219" s="33" t="str">
        <f>IF($O219="","",IFERROR(CHOOSE(MATCH($F219,الإعدادات!$B$4:$B$7,0),INDEX('حضور سوريال'!$D$7:$D$36,$O219),INDEX('حضور غبريال'!$D$7:$D$36,$O219),INDEX('حضور رفائيل'!$D$7:$D$36,$O219),INDEX('حضور ميخائيل'!$D$7:$D$36,$O219)),""))</f>
        <v/>
      </c>
      <c r="R219" s="34" t="str">
        <f>IF($O219="","",IFERROR(CHOOSE(MATCH($F219,الإعدادات!$B$4:$B$7,0),INDEX('حضور سوريال'!$F$7:$F$36,$O219),INDEX('حضور غبريال'!$F$7:$F$36,$O219),INDEX('حضور رفائيل'!$F$7:$F$36,$O219),INDEX('حضور ميخائيل'!$F$7:$F$36,$O219)),""))</f>
        <v/>
      </c>
      <c r="S219" s="33" t="str">
        <f>IF($O219="","",IFERROR(CHOOSE(MATCH($F219,الإعدادات!$B$4:$B$7,0),INDEX('حضور سوريال'!$G$7:$G$36,$O219),INDEX('حضور غبريال'!$G$7:$G$36,$O219),INDEX('حضور رفائيل'!$G$7:$G$36,$O219),INDEX('حضور ميخائيل'!$G$7:$G$36,$O219)),""))</f>
        <v/>
      </c>
      <c r="T219" s="35" t="str">
        <f>IF($O219="","",IFERROR(CHOOSE(MATCH($F219,الإعدادات!$B$4:$B$7,0),INDEX('حضور سوريال'!$H$7:$H$36,$O219),INDEX('حضور غبريال'!$H$7:$H$36,$O219),INDEX('حضور رفائيل'!$H$7:$H$36,$O219),INDEX('حضور ميخائيل'!$H$7:$H$36,$O219)),""))</f>
        <v/>
      </c>
      <c r="U219" s="36" t="str">
        <f>IF($O219="","",IFERROR(CHOOSE(MATCH($F219,الإعدادات!$B$4:$B$7,0),INDEX('حضور سوريال'!$I$7:$I$36,$O219),INDEX('حضور غبريال'!$I$7:$I$36,$O219),INDEX('حضور رفائيل'!$I$7:$I$36,$O219),INDEX('حضور ميخائيل'!$I$7:$I$36,$O219)),""))</f>
        <v/>
      </c>
      <c r="V219" t="str">
        <f>IF($O219="","",IFERROR(CHOOSE(MATCH($F219,الإعدادات!$B$4:$B$7,0),INDEX('حضور سوريال'!$BM$7:$BM$36,$O219),INDEX('حضور غبريال'!$BM$7:$BM$36,$O219),INDEX('حضور رفائيل'!$BM$7:$BM$36,$O219),INDEX('حضور ميخائيل'!$BM$7:$BM$36,$O219)),""))</f>
        <v/>
      </c>
      <c r="W219" t="str">
        <f>IF(OR(V219=3,V219=4),COUNTIFS(V$6:V219,3)+COUNTIFS(V$6:V219,4),"")</f>
        <v/>
      </c>
    </row>
    <row r="220" spans="1:23" ht="25.5" customHeight="1">
      <c r="A220" s="26" t="str">
        <f t="shared" si="9"/>
        <v/>
      </c>
      <c r="B220" s="27" t="str">
        <f t="shared" si="10"/>
        <v/>
      </c>
      <c r="C220" s="28"/>
      <c r="D220" s="29"/>
      <c r="E220" s="29"/>
      <c r="F220" s="29"/>
      <c r="G220" s="29"/>
      <c r="H220" s="30"/>
      <c r="I220" s="30"/>
      <c r="J220" s="31"/>
      <c r="K220" s="29"/>
      <c r="L220" s="31"/>
      <c r="M220" s="29"/>
      <c r="N220" s="32" t="str">
        <f t="shared" si="11"/>
        <v/>
      </c>
      <c r="O220" s="32" t="str">
        <f>IF(OR(C220="",F220=""),"",COUNTIFS(F$6:F220,F220,C$6:C220,"&lt;&gt;"))</f>
        <v/>
      </c>
      <c r="P220" s="33" t="str">
        <f>IF($O220="","",IFERROR(CHOOSE(MATCH($F220,الإعدادات!$B$4:$B$7,0),INDEX('حضور سوريال'!$C$7:$C$36,$O220),INDEX('حضور غبريال'!$C$7:$C$36,$O220),INDEX('حضور رفائيل'!$C$7:$C$36,$O220),INDEX('حضور ميخائيل'!$C$7:$C$36,$O220)),""))</f>
        <v/>
      </c>
      <c r="Q220" s="33" t="str">
        <f>IF($O220="","",IFERROR(CHOOSE(MATCH($F220,الإعدادات!$B$4:$B$7,0),INDEX('حضور سوريال'!$D$7:$D$36,$O220),INDEX('حضور غبريال'!$D$7:$D$36,$O220),INDEX('حضور رفائيل'!$D$7:$D$36,$O220),INDEX('حضور ميخائيل'!$D$7:$D$36,$O220)),""))</f>
        <v/>
      </c>
      <c r="R220" s="34" t="str">
        <f>IF($O220="","",IFERROR(CHOOSE(MATCH($F220,الإعدادات!$B$4:$B$7,0),INDEX('حضور سوريال'!$F$7:$F$36,$O220),INDEX('حضور غبريال'!$F$7:$F$36,$O220),INDEX('حضور رفائيل'!$F$7:$F$36,$O220),INDEX('حضور ميخائيل'!$F$7:$F$36,$O220)),""))</f>
        <v/>
      </c>
      <c r="S220" s="33" t="str">
        <f>IF($O220="","",IFERROR(CHOOSE(MATCH($F220,الإعدادات!$B$4:$B$7,0),INDEX('حضور سوريال'!$G$7:$G$36,$O220),INDEX('حضور غبريال'!$G$7:$G$36,$O220),INDEX('حضور رفائيل'!$G$7:$G$36,$O220),INDEX('حضور ميخائيل'!$G$7:$G$36,$O220)),""))</f>
        <v/>
      </c>
      <c r="T220" s="35" t="str">
        <f>IF($O220="","",IFERROR(CHOOSE(MATCH($F220,الإعدادات!$B$4:$B$7,0),INDEX('حضور سوريال'!$H$7:$H$36,$O220),INDEX('حضور غبريال'!$H$7:$H$36,$O220),INDEX('حضور رفائيل'!$H$7:$H$36,$O220),INDEX('حضور ميخائيل'!$H$7:$H$36,$O220)),""))</f>
        <v/>
      </c>
      <c r="U220" s="36" t="str">
        <f>IF($O220="","",IFERROR(CHOOSE(MATCH($F220,الإعدادات!$B$4:$B$7,0),INDEX('حضور سوريال'!$I$7:$I$36,$O220),INDEX('حضور غبريال'!$I$7:$I$36,$O220),INDEX('حضور رفائيل'!$I$7:$I$36,$O220),INDEX('حضور ميخائيل'!$I$7:$I$36,$O220)),""))</f>
        <v/>
      </c>
      <c r="V220" t="str">
        <f>IF($O220="","",IFERROR(CHOOSE(MATCH($F220,الإعدادات!$B$4:$B$7,0),INDEX('حضور سوريال'!$BM$7:$BM$36,$O220),INDEX('حضور غبريال'!$BM$7:$BM$36,$O220),INDEX('حضور رفائيل'!$BM$7:$BM$36,$O220),INDEX('حضور ميخائيل'!$BM$7:$BM$36,$O220)),""))</f>
        <v/>
      </c>
      <c r="W220" t="str">
        <f>IF(OR(V220=3,V220=4),COUNTIFS(V$6:V220,3)+COUNTIFS(V$6:V220,4),"")</f>
        <v/>
      </c>
    </row>
    <row r="221" spans="1:23" ht="25.5" customHeight="1">
      <c r="A221" s="26" t="str">
        <f t="shared" si="9"/>
        <v/>
      </c>
      <c r="B221" s="27" t="str">
        <f t="shared" si="10"/>
        <v/>
      </c>
      <c r="C221" s="28"/>
      <c r="D221" s="29"/>
      <c r="E221" s="29"/>
      <c r="F221" s="29"/>
      <c r="G221" s="29"/>
      <c r="H221" s="30"/>
      <c r="I221" s="30"/>
      <c r="J221" s="31"/>
      <c r="K221" s="29"/>
      <c r="L221" s="31"/>
      <c r="M221" s="29"/>
      <c r="N221" s="32" t="str">
        <f t="shared" si="11"/>
        <v/>
      </c>
      <c r="O221" s="32" t="str">
        <f>IF(OR(C221="",F221=""),"",COUNTIFS(F$6:F221,F221,C$6:C221,"&lt;&gt;"))</f>
        <v/>
      </c>
      <c r="P221" s="33" t="str">
        <f>IF($O221="","",IFERROR(CHOOSE(MATCH($F221,الإعدادات!$B$4:$B$7,0),INDEX('حضور سوريال'!$C$7:$C$36,$O221),INDEX('حضور غبريال'!$C$7:$C$36,$O221),INDEX('حضور رفائيل'!$C$7:$C$36,$O221),INDEX('حضور ميخائيل'!$C$7:$C$36,$O221)),""))</f>
        <v/>
      </c>
      <c r="Q221" s="33" t="str">
        <f>IF($O221="","",IFERROR(CHOOSE(MATCH($F221,الإعدادات!$B$4:$B$7,0),INDEX('حضور سوريال'!$D$7:$D$36,$O221),INDEX('حضور غبريال'!$D$7:$D$36,$O221),INDEX('حضور رفائيل'!$D$7:$D$36,$O221),INDEX('حضور ميخائيل'!$D$7:$D$36,$O221)),""))</f>
        <v/>
      </c>
      <c r="R221" s="34" t="str">
        <f>IF($O221="","",IFERROR(CHOOSE(MATCH($F221,الإعدادات!$B$4:$B$7,0),INDEX('حضور سوريال'!$F$7:$F$36,$O221),INDEX('حضور غبريال'!$F$7:$F$36,$O221),INDEX('حضور رفائيل'!$F$7:$F$36,$O221),INDEX('حضور ميخائيل'!$F$7:$F$36,$O221)),""))</f>
        <v/>
      </c>
      <c r="S221" s="33" t="str">
        <f>IF($O221="","",IFERROR(CHOOSE(MATCH($F221,الإعدادات!$B$4:$B$7,0),INDEX('حضور سوريال'!$G$7:$G$36,$O221),INDEX('حضور غبريال'!$G$7:$G$36,$O221),INDEX('حضور رفائيل'!$G$7:$G$36,$O221),INDEX('حضور ميخائيل'!$G$7:$G$36,$O221)),""))</f>
        <v/>
      </c>
      <c r="T221" s="35" t="str">
        <f>IF($O221="","",IFERROR(CHOOSE(MATCH($F221,الإعدادات!$B$4:$B$7,0),INDEX('حضور سوريال'!$H$7:$H$36,$O221),INDEX('حضور غبريال'!$H$7:$H$36,$O221),INDEX('حضور رفائيل'!$H$7:$H$36,$O221),INDEX('حضور ميخائيل'!$H$7:$H$36,$O221)),""))</f>
        <v/>
      </c>
      <c r="U221" s="36" t="str">
        <f>IF($O221="","",IFERROR(CHOOSE(MATCH($F221,الإعدادات!$B$4:$B$7,0),INDEX('حضور سوريال'!$I$7:$I$36,$O221),INDEX('حضور غبريال'!$I$7:$I$36,$O221),INDEX('حضور رفائيل'!$I$7:$I$36,$O221),INDEX('حضور ميخائيل'!$I$7:$I$36,$O221)),""))</f>
        <v/>
      </c>
      <c r="V221" t="str">
        <f>IF($O221="","",IFERROR(CHOOSE(MATCH($F221,الإعدادات!$B$4:$B$7,0),INDEX('حضور سوريال'!$BM$7:$BM$36,$O221),INDEX('حضور غبريال'!$BM$7:$BM$36,$O221),INDEX('حضور رفائيل'!$BM$7:$BM$36,$O221),INDEX('حضور ميخائيل'!$BM$7:$BM$36,$O221)),""))</f>
        <v/>
      </c>
      <c r="W221" t="str">
        <f>IF(OR(V221=3,V221=4),COUNTIFS(V$6:V221,3)+COUNTIFS(V$6:V221,4),"")</f>
        <v/>
      </c>
    </row>
    <row r="222" spans="1:23" ht="25.5" customHeight="1">
      <c r="A222" s="26" t="str">
        <f t="shared" si="9"/>
        <v/>
      </c>
      <c r="B222" s="27" t="str">
        <f t="shared" si="10"/>
        <v/>
      </c>
      <c r="C222" s="28"/>
      <c r="D222" s="29"/>
      <c r="E222" s="29"/>
      <c r="F222" s="29"/>
      <c r="G222" s="29"/>
      <c r="H222" s="30"/>
      <c r="I222" s="30"/>
      <c r="J222" s="31"/>
      <c r="K222" s="29"/>
      <c r="L222" s="31"/>
      <c r="M222" s="29"/>
      <c r="N222" s="32" t="str">
        <f t="shared" si="11"/>
        <v/>
      </c>
      <c r="O222" s="32" t="str">
        <f>IF(OR(C222="",F222=""),"",COUNTIFS(F$6:F222,F222,C$6:C222,"&lt;&gt;"))</f>
        <v/>
      </c>
      <c r="P222" s="33" t="str">
        <f>IF($O222="","",IFERROR(CHOOSE(MATCH($F222,الإعدادات!$B$4:$B$7,0),INDEX('حضور سوريال'!$C$7:$C$36,$O222),INDEX('حضور غبريال'!$C$7:$C$36,$O222),INDEX('حضور رفائيل'!$C$7:$C$36,$O222),INDEX('حضور ميخائيل'!$C$7:$C$36,$O222)),""))</f>
        <v/>
      </c>
      <c r="Q222" s="33" t="str">
        <f>IF($O222="","",IFERROR(CHOOSE(MATCH($F222,الإعدادات!$B$4:$B$7,0),INDEX('حضور سوريال'!$D$7:$D$36,$O222),INDEX('حضور غبريال'!$D$7:$D$36,$O222),INDEX('حضور رفائيل'!$D$7:$D$36,$O222),INDEX('حضور ميخائيل'!$D$7:$D$36,$O222)),""))</f>
        <v/>
      </c>
      <c r="R222" s="34" t="str">
        <f>IF($O222="","",IFERROR(CHOOSE(MATCH($F222,الإعدادات!$B$4:$B$7,0),INDEX('حضور سوريال'!$F$7:$F$36,$O222),INDEX('حضور غبريال'!$F$7:$F$36,$O222),INDEX('حضور رفائيل'!$F$7:$F$36,$O222),INDEX('حضور ميخائيل'!$F$7:$F$36,$O222)),""))</f>
        <v/>
      </c>
      <c r="S222" s="33" t="str">
        <f>IF($O222="","",IFERROR(CHOOSE(MATCH($F222,الإعدادات!$B$4:$B$7,0),INDEX('حضور سوريال'!$G$7:$G$36,$O222),INDEX('حضور غبريال'!$G$7:$G$36,$O222),INDEX('حضور رفائيل'!$G$7:$G$36,$O222),INDEX('حضور ميخائيل'!$G$7:$G$36,$O222)),""))</f>
        <v/>
      </c>
      <c r="T222" s="35" t="str">
        <f>IF($O222="","",IFERROR(CHOOSE(MATCH($F222,الإعدادات!$B$4:$B$7,0),INDEX('حضور سوريال'!$H$7:$H$36,$O222),INDEX('حضور غبريال'!$H$7:$H$36,$O222),INDEX('حضور رفائيل'!$H$7:$H$36,$O222),INDEX('حضور ميخائيل'!$H$7:$H$36,$O222)),""))</f>
        <v/>
      </c>
      <c r="U222" s="36" t="str">
        <f>IF($O222="","",IFERROR(CHOOSE(MATCH($F222,الإعدادات!$B$4:$B$7,0),INDEX('حضور سوريال'!$I$7:$I$36,$O222),INDEX('حضور غبريال'!$I$7:$I$36,$O222),INDEX('حضور رفائيل'!$I$7:$I$36,$O222),INDEX('حضور ميخائيل'!$I$7:$I$36,$O222)),""))</f>
        <v/>
      </c>
      <c r="V222" t="str">
        <f>IF($O222="","",IFERROR(CHOOSE(MATCH($F222,الإعدادات!$B$4:$B$7,0),INDEX('حضور سوريال'!$BM$7:$BM$36,$O222),INDEX('حضور غبريال'!$BM$7:$BM$36,$O222),INDEX('حضور رفائيل'!$BM$7:$BM$36,$O222),INDEX('حضور ميخائيل'!$BM$7:$BM$36,$O222)),""))</f>
        <v/>
      </c>
      <c r="W222" t="str">
        <f>IF(OR(V222=3,V222=4),COUNTIFS(V$6:V222,3)+COUNTIFS(V$6:V222,4),"")</f>
        <v/>
      </c>
    </row>
    <row r="223" spans="1:23" ht="25.5" customHeight="1">
      <c r="A223" s="26" t="str">
        <f t="shared" si="9"/>
        <v/>
      </c>
      <c r="B223" s="27" t="str">
        <f t="shared" si="10"/>
        <v/>
      </c>
      <c r="C223" s="28"/>
      <c r="D223" s="29"/>
      <c r="E223" s="29"/>
      <c r="F223" s="29"/>
      <c r="G223" s="29"/>
      <c r="H223" s="30"/>
      <c r="I223" s="30"/>
      <c r="J223" s="31"/>
      <c r="K223" s="29"/>
      <c r="L223" s="31"/>
      <c r="M223" s="29"/>
      <c r="N223" s="32" t="str">
        <f t="shared" si="11"/>
        <v/>
      </c>
      <c r="O223" s="32" t="str">
        <f>IF(OR(C223="",F223=""),"",COUNTIFS(F$6:F223,F223,C$6:C223,"&lt;&gt;"))</f>
        <v/>
      </c>
      <c r="P223" s="33" t="str">
        <f>IF($O223="","",IFERROR(CHOOSE(MATCH($F223,الإعدادات!$B$4:$B$7,0),INDEX('حضور سوريال'!$C$7:$C$36,$O223),INDEX('حضور غبريال'!$C$7:$C$36,$O223),INDEX('حضور رفائيل'!$C$7:$C$36,$O223),INDEX('حضور ميخائيل'!$C$7:$C$36,$O223)),""))</f>
        <v/>
      </c>
      <c r="Q223" s="33" t="str">
        <f>IF($O223="","",IFERROR(CHOOSE(MATCH($F223,الإعدادات!$B$4:$B$7,0),INDEX('حضور سوريال'!$D$7:$D$36,$O223),INDEX('حضور غبريال'!$D$7:$D$36,$O223),INDEX('حضور رفائيل'!$D$7:$D$36,$O223),INDEX('حضور ميخائيل'!$D$7:$D$36,$O223)),""))</f>
        <v/>
      </c>
      <c r="R223" s="34" t="str">
        <f>IF($O223="","",IFERROR(CHOOSE(MATCH($F223,الإعدادات!$B$4:$B$7,0),INDEX('حضور سوريال'!$F$7:$F$36,$O223),INDEX('حضور غبريال'!$F$7:$F$36,$O223),INDEX('حضور رفائيل'!$F$7:$F$36,$O223),INDEX('حضور ميخائيل'!$F$7:$F$36,$O223)),""))</f>
        <v/>
      </c>
      <c r="S223" s="33" t="str">
        <f>IF($O223="","",IFERROR(CHOOSE(MATCH($F223,الإعدادات!$B$4:$B$7,0),INDEX('حضور سوريال'!$G$7:$G$36,$O223),INDEX('حضور غبريال'!$G$7:$G$36,$O223),INDEX('حضور رفائيل'!$G$7:$G$36,$O223),INDEX('حضور ميخائيل'!$G$7:$G$36,$O223)),""))</f>
        <v/>
      </c>
      <c r="T223" s="35" t="str">
        <f>IF($O223="","",IFERROR(CHOOSE(MATCH($F223,الإعدادات!$B$4:$B$7,0),INDEX('حضور سوريال'!$H$7:$H$36,$O223),INDEX('حضور غبريال'!$H$7:$H$36,$O223),INDEX('حضور رفائيل'!$H$7:$H$36,$O223),INDEX('حضور ميخائيل'!$H$7:$H$36,$O223)),""))</f>
        <v/>
      </c>
      <c r="U223" s="36" t="str">
        <f>IF($O223="","",IFERROR(CHOOSE(MATCH($F223,الإعدادات!$B$4:$B$7,0),INDEX('حضور سوريال'!$I$7:$I$36,$O223),INDEX('حضور غبريال'!$I$7:$I$36,$O223),INDEX('حضور رفائيل'!$I$7:$I$36,$O223),INDEX('حضور ميخائيل'!$I$7:$I$36,$O223)),""))</f>
        <v/>
      </c>
      <c r="V223" t="str">
        <f>IF($O223="","",IFERROR(CHOOSE(MATCH($F223,الإعدادات!$B$4:$B$7,0),INDEX('حضور سوريال'!$BM$7:$BM$36,$O223),INDEX('حضور غبريال'!$BM$7:$BM$36,$O223),INDEX('حضور رفائيل'!$BM$7:$BM$36,$O223),INDEX('حضور ميخائيل'!$BM$7:$BM$36,$O223)),""))</f>
        <v/>
      </c>
      <c r="W223" t="str">
        <f>IF(OR(V223=3,V223=4),COUNTIFS(V$6:V223,3)+COUNTIFS(V$6:V223,4),"")</f>
        <v/>
      </c>
    </row>
    <row r="224" spans="1:23" ht="25.5" customHeight="1">
      <c r="A224" s="26" t="str">
        <f t="shared" si="9"/>
        <v/>
      </c>
      <c r="B224" s="27" t="str">
        <f t="shared" si="10"/>
        <v/>
      </c>
      <c r="C224" s="28"/>
      <c r="D224" s="29"/>
      <c r="E224" s="29"/>
      <c r="F224" s="29"/>
      <c r="G224" s="29"/>
      <c r="H224" s="30"/>
      <c r="I224" s="30"/>
      <c r="J224" s="31"/>
      <c r="K224" s="29"/>
      <c r="L224" s="31"/>
      <c r="M224" s="29"/>
      <c r="N224" s="32" t="str">
        <f t="shared" si="11"/>
        <v/>
      </c>
      <c r="O224" s="32" t="str">
        <f>IF(OR(C224="",F224=""),"",COUNTIFS(F$6:F224,F224,C$6:C224,"&lt;&gt;"))</f>
        <v/>
      </c>
      <c r="P224" s="33" t="str">
        <f>IF($O224="","",IFERROR(CHOOSE(MATCH($F224,الإعدادات!$B$4:$B$7,0),INDEX('حضور سوريال'!$C$7:$C$36,$O224),INDEX('حضور غبريال'!$C$7:$C$36,$O224),INDEX('حضور رفائيل'!$C$7:$C$36,$O224),INDEX('حضور ميخائيل'!$C$7:$C$36,$O224)),""))</f>
        <v/>
      </c>
      <c r="Q224" s="33" t="str">
        <f>IF($O224="","",IFERROR(CHOOSE(MATCH($F224,الإعدادات!$B$4:$B$7,0),INDEX('حضور سوريال'!$D$7:$D$36,$O224),INDEX('حضور غبريال'!$D$7:$D$36,$O224),INDEX('حضور رفائيل'!$D$7:$D$36,$O224),INDEX('حضور ميخائيل'!$D$7:$D$36,$O224)),""))</f>
        <v/>
      </c>
      <c r="R224" s="34" t="str">
        <f>IF($O224="","",IFERROR(CHOOSE(MATCH($F224,الإعدادات!$B$4:$B$7,0),INDEX('حضور سوريال'!$F$7:$F$36,$O224),INDEX('حضور غبريال'!$F$7:$F$36,$O224),INDEX('حضور رفائيل'!$F$7:$F$36,$O224),INDEX('حضور ميخائيل'!$F$7:$F$36,$O224)),""))</f>
        <v/>
      </c>
      <c r="S224" s="33" t="str">
        <f>IF($O224="","",IFERROR(CHOOSE(MATCH($F224,الإعدادات!$B$4:$B$7,0),INDEX('حضور سوريال'!$G$7:$G$36,$O224),INDEX('حضور غبريال'!$G$7:$G$36,$O224),INDEX('حضور رفائيل'!$G$7:$G$36,$O224),INDEX('حضور ميخائيل'!$G$7:$G$36,$O224)),""))</f>
        <v/>
      </c>
      <c r="T224" s="35" t="str">
        <f>IF($O224="","",IFERROR(CHOOSE(MATCH($F224,الإعدادات!$B$4:$B$7,0),INDEX('حضور سوريال'!$H$7:$H$36,$O224),INDEX('حضور غبريال'!$H$7:$H$36,$O224),INDEX('حضور رفائيل'!$H$7:$H$36,$O224),INDEX('حضور ميخائيل'!$H$7:$H$36,$O224)),""))</f>
        <v/>
      </c>
      <c r="U224" s="36" t="str">
        <f>IF($O224="","",IFERROR(CHOOSE(MATCH($F224,الإعدادات!$B$4:$B$7,0),INDEX('حضور سوريال'!$I$7:$I$36,$O224),INDEX('حضور غبريال'!$I$7:$I$36,$O224),INDEX('حضور رفائيل'!$I$7:$I$36,$O224),INDEX('حضور ميخائيل'!$I$7:$I$36,$O224)),""))</f>
        <v/>
      </c>
      <c r="V224" t="str">
        <f>IF($O224="","",IFERROR(CHOOSE(MATCH($F224,الإعدادات!$B$4:$B$7,0),INDEX('حضور سوريال'!$BM$7:$BM$36,$O224),INDEX('حضور غبريال'!$BM$7:$BM$36,$O224),INDEX('حضور رفائيل'!$BM$7:$BM$36,$O224),INDEX('حضور ميخائيل'!$BM$7:$BM$36,$O224)),""))</f>
        <v/>
      </c>
      <c r="W224" t="str">
        <f>IF(OR(V224=3,V224=4),COUNTIFS(V$6:V224,3)+COUNTIFS(V$6:V224,4),"")</f>
        <v/>
      </c>
    </row>
    <row r="225" spans="1:23" ht="25.5" customHeight="1">
      <c r="A225" s="26" t="str">
        <f t="shared" si="9"/>
        <v/>
      </c>
      <c r="B225" s="27" t="str">
        <f t="shared" si="10"/>
        <v/>
      </c>
      <c r="C225" s="28"/>
      <c r="D225" s="29"/>
      <c r="E225" s="29"/>
      <c r="F225" s="29"/>
      <c r="G225" s="29"/>
      <c r="H225" s="30"/>
      <c r="I225" s="30"/>
      <c r="J225" s="31"/>
      <c r="K225" s="29"/>
      <c r="L225" s="31"/>
      <c r="M225" s="29"/>
      <c r="N225" s="32" t="str">
        <f t="shared" si="11"/>
        <v/>
      </c>
      <c r="O225" s="32" t="str">
        <f>IF(OR(C225="",F225=""),"",COUNTIFS(F$6:F225,F225,C$6:C225,"&lt;&gt;"))</f>
        <v/>
      </c>
      <c r="P225" s="33" t="str">
        <f>IF($O225="","",IFERROR(CHOOSE(MATCH($F225,الإعدادات!$B$4:$B$7,0),INDEX('حضور سوريال'!$C$7:$C$36,$O225),INDEX('حضور غبريال'!$C$7:$C$36,$O225),INDEX('حضور رفائيل'!$C$7:$C$36,$O225),INDEX('حضور ميخائيل'!$C$7:$C$36,$O225)),""))</f>
        <v/>
      </c>
      <c r="Q225" s="33" t="str">
        <f>IF($O225="","",IFERROR(CHOOSE(MATCH($F225,الإعدادات!$B$4:$B$7,0),INDEX('حضور سوريال'!$D$7:$D$36,$O225),INDEX('حضور غبريال'!$D$7:$D$36,$O225),INDEX('حضور رفائيل'!$D$7:$D$36,$O225),INDEX('حضور ميخائيل'!$D$7:$D$36,$O225)),""))</f>
        <v/>
      </c>
      <c r="R225" s="34" t="str">
        <f>IF($O225="","",IFERROR(CHOOSE(MATCH($F225,الإعدادات!$B$4:$B$7,0),INDEX('حضور سوريال'!$F$7:$F$36,$O225),INDEX('حضور غبريال'!$F$7:$F$36,$O225),INDEX('حضور رفائيل'!$F$7:$F$36,$O225),INDEX('حضور ميخائيل'!$F$7:$F$36,$O225)),""))</f>
        <v/>
      </c>
      <c r="S225" s="33" t="str">
        <f>IF($O225="","",IFERROR(CHOOSE(MATCH($F225,الإعدادات!$B$4:$B$7,0),INDEX('حضور سوريال'!$G$7:$G$36,$O225),INDEX('حضور غبريال'!$G$7:$G$36,$O225),INDEX('حضور رفائيل'!$G$7:$G$36,$O225),INDEX('حضور ميخائيل'!$G$7:$G$36,$O225)),""))</f>
        <v/>
      </c>
      <c r="T225" s="35" t="str">
        <f>IF($O225="","",IFERROR(CHOOSE(MATCH($F225,الإعدادات!$B$4:$B$7,0),INDEX('حضور سوريال'!$H$7:$H$36,$O225),INDEX('حضور غبريال'!$H$7:$H$36,$O225),INDEX('حضور رفائيل'!$H$7:$H$36,$O225),INDEX('حضور ميخائيل'!$H$7:$H$36,$O225)),""))</f>
        <v/>
      </c>
      <c r="U225" s="36" t="str">
        <f>IF($O225="","",IFERROR(CHOOSE(MATCH($F225,الإعدادات!$B$4:$B$7,0),INDEX('حضور سوريال'!$I$7:$I$36,$O225),INDEX('حضور غبريال'!$I$7:$I$36,$O225),INDEX('حضور رفائيل'!$I$7:$I$36,$O225),INDEX('حضور ميخائيل'!$I$7:$I$36,$O225)),""))</f>
        <v/>
      </c>
      <c r="V225" t="str">
        <f>IF($O225="","",IFERROR(CHOOSE(MATCH($F225,الإعدادات!$B$4:$B$7,0),INDEX('حضور سوريال'!$BM$7:$BM$36,$O225),INDEX('حضور غبريال'!$BM$7:$BM$36,$O225),INDEX('حضور رفائيل'!$BM$7:$BM$36,$O225),INDEX('حضور ميخائيل'!$BM$7:$BM$36,$O225)),""))</f>
        <v/>
      </c>
      <c r="W225" t="str">
        <f>IF(OR(V225=3,V225=4),COUNTIFS(V$6:V225,3)+COUNTIFS(V$6:V225,4),"")</f>
        <v/>
      </c>
    </row>
    <row r="226" spans="1:23" ht="25.5" customHeight="1">
      <c r="A226" s="26" t="str">
        <f t="shared" si="9"/>
        <v/>
      </c>
      <c r="B226" s="27" t="str">
        <f t="shared" si="10"/>
        <v/>
      </c>
      <c r="C226" s="28"/>
      <c r="D226" s="29"/>
      <c r="E226" s="29"/>
      <c r="F226" s="29"/>
      <c r="G226" s="29"/>
      <c r="H226" s="30"/>
      <c r="I226" s="30"/>
      <c r="J226" s="31"/>
      <c r="K226" s="29"/>
      <c r="L226" s="31"/>
      <c r="M226" s="29"/>
      <c r="N226" s="32" t="str">
        <f t="shared" si="11"/>
        <v/>
      </c>
      <c r="O226" s="32" t="str">
        <f>IF(OR(C226="",F226=""),"",COUNTIFS(F$6:F226,F226,C$6:C226,"&lt;&gt;"))</f>
        <v/>
      </c>
      <c r="P226" s="33" t="str">
        <f>IF($O226="","",IFERROR(CHOOSE(MATCH($F226,الإعدادات!$B$4:$B$7,0),INDEX('حضور سوريال'!$C$7:$C$36,$O226),INDEX('حضور غبريال'!$C$7:$C$36,$O226),INDEX('حضور رفائيل'!$C$7:$C$36,$O226),INDEX('حضور ميخائيل'!$C$7:$C$36,$O226)),""))</f>
        <v/>
      </c>
      <c r="Q226" s="33" t="str">
        <f>IF($O226="","",IFERROR(CHOOSE(MATCH($F226,الإعدادات!$B$4:$B$7,0),INDEX('حضور سوريال'!$D$7:$D$36,$O226),INDEX('حضور غبريال'!$D$7:$D$36,$O226),INDEX('حضور رفائيل'!$D$7:$D$36,$O226),INDEX('حضور ميخائيل'!$D$7:$D$36,$O226)),""))</f>
        <v/>
      </c>
      <c r="R226" s="34" t="str">
        <f>IF($O226="","",IFERROR(CHOOSE(MATCH($F226,الإعدادات!$B$4:$B$7,0),INDEX('حضور سوريال'!$F$7:$F$36,$O226),INDEX('حضور غبريال'!$F$7:$F$36,$O226),INDEX('حضور رفائيل'!$F$7:$F$36,$O226),INDEX('حضور ميخائيل'!$F$7:$F$36,$O226)),""))</f>
        <v/>
      </c>
      <c r="S226" s="33" t="str">
        <f>IF($O226="","",IFERROR(CHOOSE(MATCH($F226,الإعدادات!$B$4:$B$7,0),INDEX('حضور سوريال'!$G$7:$G$36,$O226),INDEX('حضور غبريال'!$G$7:$G$36,$O226),INDEX('حضور رفائيل'!$G$7:$G$36,$O226),INDEX('حضور ميخائيل'!$G$7:$G$36,$O226)),""))</f>
        <v/>
      </c>
      <c r="T226" s="35" t="str">
        <f>IF($O226="","",IFERROR(CHOOSE(MATCH($F226,الإعدادات!$B$4:$B$7,0),INDEX('حضور سوريال'!$H$7:$H$36,$O226),INDEX('حضور غبريال'!$H$7:$H$36,$O226),INDEX('حضور رفائيل'!$H$7:$H$36,$O226),INDEX('حضور ميخائيل'!$H$7:$H$36,$O226)),""))</f>
        <v/>
      </c>
      <c r="U226" s="36" t="str">
        <f>IF($O226="","",IFERROR(CHOOSE(MATCH($F226,الإعدادات!$B$4:$B$7,0),INDEX('حضور سوريال'!$I$7:$I$36,$O226),INDEX('حضور غبريال'!$I$7:$I$36,$O226),INDEX('حضور رفائيل'!$I$7:$I$36,$O226),INDEX('حضور ميخائيل'!$I$7:$I$36,$O226)),""))</f>
        <v/>
      </c>
      <c r="V226" t="str">
        <f>IF($O226="","",IFERROR(CHOOSE(MATCH($F226,الإعدادات!$B$4:$B$7,0),INDEX('حضور سوريال'!$BM$7:$BM$36,$O226),INDEX('حضور غبريال'!$BM$7:$BM$36,$O226),INDEX('حضور رفائيل'!$BM$7:$BM$36,$O226),INDEX('حضور ميخائيل'!$BM$7:$BM$36,$O226)),""))</f>
        <v/>
      </c>
      <c r="W226" t="str">
        <f>IF(OR(V226=3,V226=4),COUNTIFS(V$6:V226,3)+COUNTIFS(V$6:V226,4),"")</f>
        <v/>
      </c>
    </row>
    <row r="227" spans="1:23" ht="25.5" customHeight="1">
      <c r="A227" s="26" t="str">
        <f t="shared" si="9"/>
        <v/>
      </c>
      <c r="B227" s="27" t="str">
        <f t="shared" si="10"/>
        <v/>
      </c>
      <c r="C227" s="28"/>
      <c r="D227" s="29"/>
      <c r="E227" s="29"/>
      <c r="F227" s="29"/>
      <c r="G227" s="29"/>
      <c r="H227" s="30"/>
      <c r="I227" s="30"/>
      <c r="J227" s="31"/>
      <c r="K227" s="29"/>
      <c r="L227" s="31"/>
      <c r="M227" s="29"/>
      <c r="N227" s="32" t="str">
        <f t="shared" si="11"/>
        <v/>
      </c>
      <c r="O227" s="32" t="str">
        <f>IF(OR(C227="",F227=""),"",COUNTIFS(F$6:F227,F227,C$6:C227,"&lt;&gt;"))</f>
        <v/>
      </c>
      <c r="P227" s="33" t="str">
        <f>IF($O227="","",IFERROR(CHOOSE(MATCH($F227,الإعدادات!$B$4:$B$7,0),INDEX('حضور سوريال'!$C$7:$C$36,$O227),INDEX('حضور غبريال'!$C$7:$C$36,$O227),INDEX('حضور رفائيل'!$C$7:$C$36,$O227),INDEX('حضور ميخائيل'!$C$7:$C$36,$O227)),""))</f>
        <v/>
      </c>
      <c r="Q227" s="33" t="str">
        <f>IF($O227="","",IFERROR(CHOOSE(MATCH($F227,الإعدادات!$B$4:$B$7,0),INDEX('حضور سوريال'!$D$7:$D$36,$O227),INDEX('حضور غبريال'!$D$7:$D$36,$O227),INDEX('حضور رفائيل'!$D$7:$D$36,$O227),INDEX('حضور ميخائيل'!$D$7:$D$36,$O227)),""))</f>
        <v/>
      </c>
      <c r="R227" s="34" t="str">
        <f>IF($O227="","",IFERROR(CHOOSE(MATCH($F227,الإعدادات!$B$4:$B$7,0),INDEX('حضور سوريال'!$F$7:$F$36,$O227),INDEX('حضور غبريال'!$F$7:$F$36,$O227),INDEX('حضور رفائيل'!$F$7:$F$36,$O227),INDEX('حضور ميخائيل'!$F$7:$F$36,$O227)),""))</f>
        <v/>
      </c>
      <c r="S227" s="33" t="str">
        <f>IF($O227="","",IFERROR(CHOOSE(MATCH($F227,الإعدادات!$B$4:$B$7,0),INDEX('حضور سوريال'!$G$7:$G$36,$O227),INDEX('حضور غبريال'!$G$7:$G$36,$O227),INDEX('حضور رفائيل'!$G$7:$G$36,$O227),INDEX('حضور ميخائيل'!$G$7:$G$36,$O227)),""))</f>
        <v/>
      </c>
      <c r="T227" s="35" t="str">
        <f>IF($O227="","",IFERROR(CHOOSE(MATCH($F227,الإعدادات!$B$4:$B$7,0),INDEX('حضور سوريال'!$H$7:$H$36,$O227),INDEX('حضور غبريال'!$H$7:$H$36,$O227),INDEX('حضور رفائيل'!$H$7:$H$36,$O227),INDEX('حضور ميخائيل'!$H$7:$H$36,$O227)),""))</f>
        <v/>
      </c>
      <c r="U227" s="36" t="str">
        <f>IF($O227="","",IFERROR(CHOOSE(MATCH($F227,الإعدادات!$B$4:$B$7,0),INDEX('حضور سوريال'!$I$7:$I$36,$O227),INDEX('حضور غبريال'!$I$7:$I$36,$O227),INDEX('حضور رفائيل'!$I$7:$I$36,$O227),INDEX('حضور ميخائيل'!$I$7:$I$36,$O227)),""))</f>
        <v/>
      </c>
      <c r="V227" t="str">
        <f>IF($O227="","",IFERROR(CHOOSE(MATCH($F227,الإعدادات!$B$4:$B$7,0),INDEX('حضور سوريال'!$BM$7:$BM$36,$O227),INDEX('حضور غبريال'!$BM$7:$BM$36,$O227),INDEX('حضور رفائيل'!$BM$7:$BM$36,$O227),INDEX('حضور ميخائيل'!$BM$7:$BM$36,$O227)),""))</f>
        <v/>
      </c>
      <c r="W227" t="str">
        <f>IF(OR(V227=3,V227=4),COUNTIFS(V$6:V227,3)+COUNTIFS(V$6:V227,4),"")</f>
        <v/>
      </c>
    </row>
    <row r="228" spans="1:23" ht="25.5" customHeight="1">
      <c r="A228" s="26" t="str">
        <f t="shared" si="9"/>
        <v/>
      </c>
      <c r="B228" s="27" t="str">
        <f t="shared" si="10"/>
        <v/>
      </c>
      <c r="C228" s="28"/>
      <c r="D228" s="29"/>
      <c r="E228" s="29"/>
      <c r="F228" s="29"/>
      <c r="G228" s="29"/>
      <c r="H228" s="30"/>
      <c r="I228" s="30"/>
      <c r="J228" s="31"/>
      <c r="K228" s="29"/>
      <c r="L228" s="31"/>
      <c r="M228" s="29"/>
      <c r="N228" s="32" t="str">
        <f t="shared" si="11"/>
        <v/>
      </c>
      <c r="O228" s="32" t="str">
        <f>IF(OR(C228="",F228=""),"",COUNTIFS(F$6:F228,F228,C$6:C228,"&lt;&gt;"))</f>
        <v/>
      </c>
      <c r="P228" s="33" t="str">
        <f>IF($O228="","",IFERROR(CHOOSE(MATCH($F228,الإعدادات!$B$4:$B$7,0),INDEX('حضور سوريال'!$C$7:$C$36,$O228),INDEX('حضور غبريال'!$C$7:$C$36,$O228),INDEX('حضور رفائيل'!$C$7:$C$36,$O228),INDEX('حضور ميخائيل'!$C$7:$C$36,$O228)),""))</f>
        <v/>
      </c>
      <c r="Q228" s="33" t="str">
        <f>IF($O228="","",IFERROR(CHOOSE(MATCH($F228,الإعدادات!$B$4:$B$7,0),INDEX('حضور سوريال'!$D$7:$D$36,$O228),INDEX('حضور غبريال'!$D$7:$D$36,$O228),INDEX('حضور رفائيل'!$D$7:$D$36,$O228),INDEX('حضور ميخائيل'!$D$7:$D$36,$O228)),""))</f>
        <v/>
      </c>
      <c r="R228" s="34" t="str">
        <f>IF($O228="","",IFERROR(CHOOSE(MATCH($F228,الإعدادات!$B$4:$B$7,0),INDEX('حضور سوريال'!$F$7:$F$36,$O228),INDEX('حضور غبريال'!$F$7:$F$36,$O228),INDEX('حضور رفائيل'!$F$7:$F$36,$O228),INDEX('حضور ميخائيل'!$F$7:$F$36,$O228)),""))</f>
        <v/>
      </c>
      <c r="S228" s="33" t="str">
        <f>IF($O228="","",IFERROR(CHOOSE(MATCH($F228,الإعدادات!$B$4:$B$7,0),INDEX('حضور سوريال'!$G$7:$G$36,$O228),INDEX('حضور غبريال'!$G$7:$G$36,$O228),INDEX('حضور رفائيل'!$G$7:$G$36,$O228),INDEX('حضور ميخائيل'!$G$7:$G$36,$O228)),""))</f>
        <v/>
      </c>
      <c r="T228" s="35" t="str">
        <f>IF($O228="","",IFERROR(CHOOSE(MATCH($F228,الإعدادات!$B$4:$B$7,0),INDEX('حضور سوريال'!$H$7:$H$36,$O228),INDEX('حضور غبريال'!$H$7:$H$36,$O228),INDEX('حضور رفائيل'!$H$7:$H$36,$O228),INDEX('حضور ميخائيل'!$H$7:$H$36,$O228)),""))</f>
        <v/>
      </c>
      <c r="U228" s="36" t="str">
        <f>IF($O228="","",IFERROR(CHOOSE(MATCH($F228,الإعدادات!$B$4:$B$7,0),INDEX('حضور سوريال'!$I$7:$I$36,$O228),INDEX('حضور غبريال'!$I$7:$I$36,$O228),INDEX('حضور رفائيل'!$I$7:$I$36,$O228),INDEX('حضور ميخائيل'!$I$7:$I$36,$O228)),""))</f>
        <v/>
      </c>
      <c r="V228" t="str">
        <f>IF($O228="","",IFERROR(CHOOSE(MATCH($F228,الإعدادات!$B$4:$B$7,0),INDEX('حضور سوريال'!$BM$7:$BM$36,$O228),INDEX('حضور غبريال'!$BM$7:$BM$36,$O228),INDEX('حضور رفائيل'!$BM$7:$BM$36,$O228),INDEX('حضور ميخائيل'!$BM$7:$BM$36,$O228)),""))</f>
        <v/>
      </c>
      <c r="W228" t="str">
        <f>IF(OR(V228=3,V228=4),COUNTIFS(V$6:V228,3)+COUNTIFS(V$6:V228,4),"")</f>
        <v/>
      </c>
    </row>
    <row r="229" spans="1:23" ht="25.5" customHeight="1">
      <c r="A229" s="26" t="str">
        <f t="shared" si="9"/>
        <v/>
      </c>
      <c r="B229" s="27" t="str">
        <f t="shared" si="10"/>
        <v/>
      </c>
      <c r="C229" s="28"/>
      <c r="D229" s="29"/>
      <c r="E229" s="29"/>
      <c r="F229" s="29"/>
      <c r="G229" s="29"/>
      <c r="H229" s="30"/>
      <c r="I229" s="30"/>
      <c r="J229" s="31"/>
      <c r="K229" s="29"/>
      <c r="L229" s="31"/>
      <c r="M229" s="29"/>
      <c r="N229" s="32" t="str">
        <f t="shared" si="11"/>
        <v/>
      </c>
      <c r="O229" s="32" t="str">
        <f>IF(OR(C229="",F229=""),"",COUNTIFS(F$6:F229,F229,C$6:C229,"&lt;&gt;"))</f>
        <v/>
      </c>
      <c r="P229" s="33" t="str">
        <f>IF($O229="","",IFERROR(CHOOSE(MATCH($F229,الإعدادات!$B$4:$B$7,0),INDEX('حضور سوريال'!$C$7:$C$36,$O229),INDEX('حضور غبريال'!$C$7:$C$36,$O229),INDEX('حضور رفائيل'!$C$7:$C$36,$O229),INDEX('حضور ميخائيل'!$C$7:$C$36,$O229)),""))</f>
        <v/>
      </c>
      <c r="Q229" s="33" t="str">
        <f>IF($O229="","",IFERROR(CHOOSE(MATCH($F229,الإعدادات!$B$4:$B$7,0),INDEX('حضور سوريال'!$D$7:$D$36,$O229),INDEX('حضور غبريال'!$D$7:$D$36,$O229),INDEX('حضور رفائيل'!$D$7:$D$36,$O229),INDEX('حضور ميخائيل'!$D$7:$D$36,$O229)),""))</f>
        <v/>
      </c>
      <c r="R229" s="34" t="str">
        <f>IF($O229="","",IFERROR(CHOOSE(MATCH($F229,الإعدادات!$B$4:$B$7,0),INDEX('حضور سوريال'!$F$7:$F$36,$O229),INDEX('حضور غبريال'!$F$7:$F$36,$O229),INDEX('حضور رفائيل'!$F$7:$F$36,$O229),INDEX('حضور ميخائيل'!$F$7:$F$36,$O229)),""))</f>
        <v/>
      </c>
      <c r="S229" s="33" t="str">
        <f>IF($O229="","",IFERROR(CHOOSE(MATCH($F229,الإعدادات!$B$4:$B$7,0),INDEX('حضور سوريال'!$G$7:$G$36,$O229),INDEX('حضور غبريال'!$G$7:$G$36,$O229),INDEX('حضور رفائيل'!$G$7:$G$36,$O229),INDEX('حضور ميخائيل'!$G$7:$G$36,$O229)),""))</f>
        <v/>
      </c>
      <c r="T229" s="35" t="str">
        <f>IF($O229="","",IFERROR(CHOOSE(MATCH($F229,الإعدادات!$B$4:$B$7,0),INDEX('حضور سوريال'!$H$7:$H$36,$O229),INDEX('حضور غبريال'!$H$7:$H$36,$O229),INDEX('حضور رفائيل'!$H$7:$H$36,$O229),INDEX('حضور ميخائيل'!$H$7:$H$36,$O229)),""))</f>
        <v/>
      </c>
      <c r="U229" s="36" t="str">
        <f>IF($O229="","",IFERROR(CHOOSE(MATCH($F229,الإعدادات!$B$4:$B$7,0),INDEX('حضور سوريال'!$I$7:$I$36,$O229),INDEX('حضور غبريال'!$I$7:$I$36,$O229),INDEX('حضور رفائيل'!$I$7:$I$36,$O229),INDEX('حضور ميخائيل'!$I$7:$I$36,$O229)),""))</f>
        <v/>
      </c>
      <c r="V229" t="str">
        <f>IF($O229="","",IFERROR(CHOOSE(MATCH($F229,الإعدادات!$B$4:$B$7,0),INDEX('حضور سوريال'!$BM$7:$BM$36,$O229),INDEX('حضور غبريال'!$BM$7:$BM$36,$O229),INDEX('حضور رفائيل'!$BM$7:$BM$36,$O229),INDEX('حضور ميخائيل'!$BM$7:$BM$36,$O229)),""))</f>
        <v/>
      </c>
      <c r="W229" t="str">
        <f>IF(OR(V229=3,V229=4),COUNTIFS(V$6:V229,3)+COUNTIFS(V$6:V229,4),"")</f>
        <v/>
      </c>
    </row>
    <row r="230" spans="1:23" ht="25.5" customHeight="1">
      <c r="A230" s="26" t="str">
        <f t="shared" si="9"/>
        <v/>
      </c>
      <c r="B230" s="27" t="str">
        <f t="shared" si="10"/>
        <v/>
      </c>
      <c r="C230" s="28"/>
      <c r="D230" s="29"/>
      <c r="E230" s="29"/>
      <c r="F230" s="29"/>
      <c r="G230" s="29"/>
      <c r="H230" s="30"/>
      <c r="I230" s="30"/>
      <c r="J230" s="31"/>
      <c r="K230" s="29"/>
      <c r="L230" s="31"/>
      <c r="M230" s="29"/>
      <c r="N230" s="32" t="str">
        <f t="shared" si="11"/>
        <v/>
      </c>
      <c r="O230" s="32" t="str">
        <f>IF(OR(C230="",F230=""),"",COUNTIFS(F$6:F230,F230,C$6:C230,"&lt;&gt;"))</f>
        <v/>
      </c>
      <c r="P230" s="33" t="str">
        <f>IF($O230="","",IFERROR(CHOOSE(MATCH($F230,الإعدادات!$B$4:$B$7,0),INDEX('حضور سوريال'!$C$7:$C$36,$O230),INDEX('حضور غبريال'!$C$7:$C$36,$O230),INDEX('حضور رفائيل'!$C$7:$C$36,$O230),INDEX('حضور ميخائيل'!$C$7:$C$36,$O230)),""))</f>
        <v/>
      </c>
      <c r="Q230" s="33" t="str">
        <f>IF($O230="","",IFERROR(CHOOSE(MATCH($F230,الإعدادات!$B$4:$B$7,0),INDEX('حضور سوريال'!$D$7:$D$36,$O230),INDEX('حضور غبريال'!$D$7:$D$36,$O230),INDEX('حضور رفائيل'!$D$7:$D$36,$O230),INDEX('حضور ميخائيل'!$D$7:$D$36,$O230)),""))</f>
        <v/>
      </c>
      <c r="R230" s="34" t="str">
        <f>IF($O230="","",IFERROR(CHOOSE(MATCH($F230,الإعدادات!$B$4:$B$7,0),INDEX('حضور سوريال'!$F$7:$F$36,$O230),INDEX('حضور غبريال'!$F$7:$F$36,$O230),INDEX('حضور رفائيل'!$F$7:$F$36,$O230),INDEX('حضور ميخائيل'!$F$7:$F$36,$O230)),""))</f>
        <v/>
      </c>
      <c r="S230" s="33" t="str">
        <f>IF($O230="","",IFERROR(CHOOSE(MATCH($F230,الإعدادات!$B$4:$B$7,0),INDEX('حضور سوريال'!$G$7:$G$36,$O230),INDEX('حضور غبريال'!$G$7:$G$36,$O230),INDEX('حضور رفائيل'!$G$7:$G$36,$O230),INDEX('حضور ميخائيل'!$G$7:$G$36,$O230)),""))</f>
        <v/>
      </c>
      <c r="T230" s="35" t="str">
        <f>IF($O230="","",IFERROR(CHOOSE(MATCH($F230,الإعدادات!$B$4:$B$7,0),INDEX('حضور سوريال'!$H$7:$H$36,$O230),INDEX('حضور غبريال'!$H$7:$H$36,$O230),INDEX('حضور رفائيل'!$H$7:$H$36,$O230),INDEX('حضور ميخائيل'!$H$7:$H$36,$O230)),""))</f>
        <v/>
      </c>
      <c r="U230" s="36" t="str">
        <f>IF($O230="","",IFERROR(CHOOSE(MATCH($F230,الإعدادات!$B$4:$B$7,0),INDEX('حضور سوريال'!$I$7:$I$36,$O230),INDEX('حضور غبريال'!$I$7:$I$36,$O230),INDEX('حضور رفائيل'!$I$7:$I$36,$O230),INDEX('حضور ميخائيل'!$I$7:$I$36,$O230)),""))</f>
        <v/>
      </c>
      <c r="V230" t="str">
        <f>IF($O230="","",IFERROR(CHOOSE(MATCH($F230,الإعدادات!$B$4:$B$7,0),INDEX('حضور سوريال'!$BM$7:$BM$36,$O230),INDEX('حضور غبريال'!$BM$7:$BM$36,$O230),INDEX('حضور رفائيل'!$BM$7:$BM$36,$O230),INDEX('حضور ميخائيل'!$BM$7:$BM$36,$O230)),""))</f>
        <v/>
      </c>
      <c r="W230" t="str">
        <f>IF(OR(V230=3,V230=4),COUNTIFS(V$6:V230,3)+COUNTIFS(V$6:V230,4),"")</f>
        <v/>
      </c>
    </row>
    <row r="231" spans="1:23" ht="25.5" customHeight="1">
      <c r="A231" s="26" t="str">
        <f t="shared" si="9"/>
        <v/>
      </c>
      <c r="B231" s="27" t="str">
        <f t="shared" si="10"/>
        <v/>
      </c>
      <c r="C231" s="28"/>
      <c r="D231" s="29"/>
      <c r="E231" s="29"/>
      <c r="F231" s="29"/>
      <c r="G231" s="29"/>
      <c r="H231" s="30"/>
      <c r="I231" s="30"/>
      <c r="J231" s="31"/>
      <c r="K231" s="29"/>
      <c r="L231" s="31"/>
      <c r="M231" s="29"/>
      <c r="N231" s="32" t="str">
        <f t="shared" si="11"/>
        <v/>
      </c>
      <c r="O231" s="32" t="str">
        <f>IF(OR(C231="",F231=""),"",COUNTIFS(F$6:F231,F231,C$6:C231,"&lt;&gt;"))</f>
        <v/>
      </c>
      <c r="P231" s="33" t="str">
        <f>IF($O231="","",IFERROR(CHOOSE(MATCH($F231,الإعدادات!$B$4:$B$7,0),INDEX('حضور سوريال'!$C$7:$C$36,$O231),INDEX('حضور غبريال'!$C$7:$C$36,$O231),INDEX('حضور رفائيل'!$C$7:$C$36,$O231),INDEX('حضور ميخائيل'!$C$7:$C$36,$O231)),""))</f>
        <v/>
      </c>
      <c r="Q231" s="33" t="str">
        <f>IF($O231="","",IFERROR(CHOOSE(MATCH($F231,الإعدادات!$B$4:$B$7,0),INDEX('حضور سوريال'!$D$7:$D$36,$O231),INDEX('حضور غبريال'!$D$7:$D$36,$O231),INDEX('حضور رفائيل'!$D$7:$D$36,$O231),INDEX('حضور ميخائيل'!$D$7:$D$36,$O231)),""))</f>
        <v/>
      </c>
      <c r="R231" s="34" t="str">
        <f>IF($O231="","",IFERROR(CHOOSE(MATCH($F231,الإعدادات!$B$4:$B$7,0),INDEX('حضور سوريال'!$F$7:$F$36,$O231),INDEX('حضور غبريال'!$F$7:$F$36,$O231),INDEX('حضور رفائيل'!$F$7:$F$36,$O231),INDEX('حضور ميخائيل'!$F$7:$F$36,$O231)),""))</f>
        <v/>
      </c>
      <c r="S231" s="33" t="str">
        <f>IF($O231="","",IFERROR(CHOOSE(MATCH($F231,الإعدادات!$B$4:$B$7,0),INDEX('حضور سوريال'!$G$7:$G$36,$O231),INDEX('حضور غبريال'!$G$7:$G$36,$O231),INDEX('حضور رفائيل'!$G$7:$G$36,$O231),INDEX('حضور ميخائيل'!$G$7:$G$36,$O231)),""))</f>
        <v/>
      </c>
      <c r="T231" s="35" t="str">
        <f>IF($O231="","",IFERROR(CHOOSE(MATCH($F231,الإعدادات!$B$4:$B$7,0),INDEX('حضور سوريال'!$H$7:$H$36,$O231),INDEX('حضور غبريال'!$H$7:$H$36,$O231),INDEX('حضور رفائيل'!$H$7:$H$36,$O231),INDEX('حضور ميخائيل'!$H$7:$H$36,$O231)),""))</f>
        <v/>
      </c>
      <c r="U231" s="36" t="str">
        <f>IF($O231="","",IFERROR(CHOOSE(MATCH($F231,الإعدادات!$B$4:$B$7,0),INDEX('حضور سوريال'!$I$7:$I$36,$O231),INDEX('حضور غبريال'!$I$7:$I$36,$O231),INDEX('حضور رفائيل'!$I$7:$I$36,$O231),INDEX('حضور ميخائيل'!$I$7:$I$36,$O231)),""))</f>
        <v/>
      </c>
      <c r="V231" t="str">
        <f>IF($O231="","",IFERROR(CHOOSE(MATCH($F231,الإعدادات!$B$4:$B$7,0),INDEX('حضور سوريال'!$BM$7:$BM$36,$O231),INDEX('حضور غبريال'!$BM$7:$BM$36,$O231),INDEX('حضور رفائيل'!$BM$7:$BM$36,$O231),INDEX('حضور ميخائيل'!$BM$7:$BM$36,$O231)),""))</f>
        <v/>
      </c>
      <c r="W231" t="str">
        <f>IF(OR(V231=3,V231=4),COUNTIFS(V$6:V231,3)+COUNTIFS(V$6:V231,4),"")</f>
        <v/>
      </c>
    </row>
    <row r="232" spans="1:23" ht="25.5" customHeight="1">
      <c r="A232" s="26" t="str">
        <f t="shared" si="9"/>
        <v/>
      </c>
      <c r="B232" s="27" t="str">
        <f t="shared" si="10"/>
        <v/>
      </c>
      <c r="C232" s="28"/>
      <c r="D232" s="29"/>
      <c r="E232" s="29"/>
      <c r="F232" s="29"/>
      <c r="G232" s="29"/>
      <c r="H232" s="30"/>
      <c r="I232" s="30"/>
      <c r="J232" s="31"/>
      <c r="K232" s="29"/>
      <c r="L232" s="31"/>
      <c r="M232" s="29"/>
      <c r="N232" s="32" t="str">
        <f t="shared" si="11"/>
        <v/>
      </c>
      <c r="O232" s="32" t="str">
        <f>IF(OR(C232="",F232=""),"",COUNTIFS(F$6:F232,F232,C$6:C232,"&lt;&gt;"))</f>
        <v/>
      </c>
      <c r="P232" s="33" t="str">
        <f>IF($O232="","",IFERROR(CHOOSE(MATCH($F232,الإعدادات!$B$4:$B$7,0),INDEX('حضور سوريال'!$C$7:$C$36,$O232),INDEX('حضور غبريال'!$C$7:$C$36,$O232),INDEX('حضور رفائيل'!$C$7:$C$36,$O232),INDEX('حضور ميخائيل'!$C$7:$C$36,$O232)),""))</f>
        <v/>
      </c>
      <c r="Q232" s="33" t="str">
        <f>IF($O232="","",IFERROR(CHOOSE(MATCH($F232,الإعدادات!$B$4:$B$7,0),INDEX('حضور سوريال'!$D$7:$D$36,$O232),INDEX('حضور غبريال'!$D$7:$D$36,$O232),INDEX('حضور رفائيل'!$D$7:$D$36,$O232),INDEX('حضور ميخائيل'!$D$7:$D$36,$O232)),""))</f>
        <v/>
      </c>
      <c r="R232" s="34" t="str">
        <f>IF($O232="","",IFERROR(CHOOSE(MATCH($F232,الإعدادات!$B$4:$B$7,0),INDEX('حضور سوريال'!$F$7:$F$36,$O232),INDEX('حضور غبريال'!$F$7:$F$36,$O232),INDEX('حضور رفائيل'!$F$7:$F$36,$O232),INDEX('حضور ميخائيل'!$F$7:$F$36,$O232)),""))</f>
        <v/>
      </c>
      <c r="S232" s="33" t="str">
        <f>IF($O232="","",IFERROR(CHOOSE(MATCH($F232,الإعدادات!$B$4:$B$7,0),INDEX('حضور سوريال'!$G$7:$G$36,$O232),INDEX('حضور غبريال'!$G$7:$G$36,$O232),INDEX('حضور رفائيل'!$G$7:$G$36,$O232),INDEX('حضور ميخائيل'!$G$7:$G$36,$O232)),""))</f>
        <v/>
      </c>
      <c r="T232" s="35" t="str">
        <f>IF($O232="","",IFERROR(CHOOSE(MATCH($F232,الإعدادات!$B$4:$B$7,0),INDEX('حضور سوريال'!$H$7:$H$36,$O232),INDEX('حضور غبريال'!$H$7:$H$36,$O232),INDEX('حضور رفائيل'!$H$7:$H$36,$O232),INDEX('حضور ميخائيل'!$H$7:$H$36,$O232)),""))</f>
        <v/>
      </c>
      <c r="U232" s="36" t="str">
        <f>IF($O232="","",IFERROR(CHOOSE(MATCH($F232,الإعدادات!$B$4:$B$7,0),INDEX('حضور سوريال'!$I$7:$I$36,$O232),INDEX('حضور غبريال'!$I$7:$I$36,$O232),INDEX('حضور رفائيل'!$I$7:$I$36,$O232),INDEX('حضور ميخائيل'!$I$7:$I$36,$O232)),""))</f>
        <v/>
      </c>
      <c r="V232" t="str">
        <f>IF($O232="","",IFERROR(CHOOSE(MATCH($F232,الإعدادات!$B$4:$B$7,0),INDEX('حضور سوريال'!$BM$7:$BM$36,$O232),INDEX('حضور غبريال'!$BM$7:$BM$36,$O232),INDEX('حضور رفائيل'!$BM$7:$BM$36,$O232),INDEX('حضور ميخائيل'!$BM$7:$BM$36,$O232)),""))</f>
        <v/>
      </c>
      <c r="W232" t="str">
        <f>IF(OR(V232=3,V232=4),COUNTIFS(V$6:V232,3)+COUNTIFS(V$6:V232,4),"")</f>
        <v/>
      </c>
    </row>
    <row r="233" spans="1:23" ht="25.5" customHeight="1">
      <c r="A233" s="26" t="str">
        <f t="shared" si="9"/>
        <v/>
      </c>
      <c r="B233" s="27" t="str">
        <f t="shared" si="10"/>
        <v/>
      </c>
      <c r="C233" s="28"/>
      <c r="D233" s="29"/>
      <c r="E233" s="29"/>
      <c r="F233" s="29"/>
      <c r="G233" s="29"/>
      <c r="H233" s="30"/>
      <c r="I233" s="30"/>
      <c r="J233" s="31"/>
      <c r="K233" s="29"/>
      <c r="L233" s="31"/>
      <c r="M233" s="29"/>
      <c r="N233" s="32" t="str">
        <f t="shared" si="11"/>
        <v/>
      </c>
      <c r="O233" s="32" t="str">
        <f>IF(OR(C233="",F233=""),"",COUNTIFS(F$6:F233,F233,C$6:C233,"&lt;&gt;"))</f>
        <v/>
      </c>
      <c r="P233" s="33" t="str">
        <f>IF($O233="","",IFERROR(CHOOSE(MATCH($F233,الإعدادات!$B$4:$B$7,0),INDEX('حضور سوريال'!$C$7:$C$36,$O233),INDEX('حضور غبريال'!$C$7:$C$36,$O233),INDEX('حضور رفائيل'!$C$7:$C$36,$O233),INDEX('حضور ميخائيل'!$C$7:$C$36,$O233)),""))</f>
        <v/>
      </c>
      <c r="Q233" s="33" t="str">
        <f>IF($O233="","",IFERROR(CHOOSE(MATCH($F233,الإعدادات!$B$4:$B$7,0),INDEX('حضور سوريال'!$D$7:$D$36,$O233),INDEX('حضور غبريال'!$D$7:$D$36,$O233),INDEX('حضور رفائيل'!$D$7:$D$36,$O233),INDEX('حضور ميخائيل'!$D$7:$D$36,$O233)),""))</f>
        <v/>
      </c>
      <c r="R233" s="34" t="str">
        <f>IF($O233="","",IFERROR(CHOOSE(MATCH($F233,الإعدادات!$B$4:$B$7,0),INDEX('حضور سوريال'!$F$7:$F$36,$O233),INDEX('حضور غبريال'!$F$7:$F$36,$O233),INDEX('حضور رفائيل'!$F$7:$F$36,$O233),INDEX('حضور ميخائيل'!$F$7:$F$36,$O233)),""))</f>
        <v/>
      </c>
      <c r="S233" s="33" t="str">
        <f>IF($O233="","",IFERROR(CHOOSE(MATCH($F233,الإعدادات!$B$4:$B$7,0),INDEX('حضور سوريال'!$G$7:$G$36,$O233),INDEX('حضور غبريال'!$G$7:$G$36,$O233),INDEX('حضور رفائيل'!$G$7:$G$36,$O233),INDEX('حضور ميخائيل'!$G$7:$G$36,$O233)),""))</f>
        <v/>
      </c>
      <c r="T233" s="35" t="str">
        <f>IF($O233="","",IFERROR(CHOOSE(MATCH($F233,الإعدادات!$B$4:$B$7,0),INDEX('حضور سوريال'!$H$7:$H$36,$O233),INDEX('حضور غبريال'!$H$7:$H$36,$O233),INDEX('حضور رفائيل'!$H$7:$H$36,$O233),INDEX('حضور ميخائيل'!$H$7:$H$36,$O233)),""))</f>
        <v/>
      </c>
      <c r="U233" s="36" t="str">
        <f>IF($O233="","",IFERROR(CHOOSE(MATCH($F233,الإعدادات!$B$4:$B$7,0),INDEX('حضور سوريال'!$I$7:$I$36,$O233),INDEX('حضور غبريال'!$I$7:$I$36,$O233),INDEX('حضور رفائيل'!$I$7:$I$36,$O233),INDEX('حضور ميخائيل'!$I$7:$I$36,$O233)),""))</f>
        <v/>
      </c>
      <c r="V233" t="str">
        <f>IF($O233="","",IFERROR(CHOOSE(MATCH($F233,الإعدادات!$B$4:$B$7,0),INDEX('حضور سوريال'!$BM$7:$BM$36,$O233),INDEX('حضور غبريال'!$BM$7:$BM$36,$O233),INDEX('حضور رفائيل'!$BM$7:$BM$36,$O233),INDEX('حضور ميخائيل'!$BM$7:$BM$36,$O233)),""))</f>
        <v/>
      </c>
      <c r="W233" t="str">
        <f>IF(OR(V233=3,V233=4),COUNTIFS(V$6:V233,3)+COUNTIFS(V$6:V233,4),"")</f>
        <v/>
      </c>
    </row>
    <row r="234" spans="1:23" ht="25.5" customHeight="1">
      <c r="A234" s="26" t="str">
        <f t="shared" si="9"/>
        <v/>
      </c>
      <c r="B234" s="27" t="str">
        <f t="shared" si="10"/>
        <v/>
      </c>
      <c r="C234" s="28"/>
      <c r="D234" s="29"/>
      <c r="E234" s="29"/>
      <c r="F234" s="29"/>
      <c r="G234" s="29"/>
      <c r="H234" s="30"/>
      <c r="I234" s="30"/>
      <c r="J234" s="31"/>
      <c r="K234" s="29"/>
      <c r="L234" s="31"/>
      <c r="M234" s="29"/>
      <c r="N234" s="32" t="str">
        <f t="shared" si="11"/>
        <v/>
      </c>
      <c r="O234" s="32" t="str">
        <f>IF(OR(C234="",F234=""),"",COUNTIFS(F$6:F234,F234,C$6:C234,"&lt;&gt;"))</f>
        <v/>
      </c>
      <c r="P234" s="33" t="str">
        <f>IF($O234="","",IFERROR(CHOOSE(MATCH($F234,الإعدادات!$B$4:$B$7,0),INDEX('حضور سوريال'!$C$7:$C$36,$O234),INDEX('حضور غبريال'!$C$7:$C$36,$O234),INDEX('حضور رفائيل'!$C$7:$C$36,$O234),INDEX('حضور ميخائيل'!$C$7:$C$36,$O234)),""))</f>
        <v/>
      </c>
      <c r="Q234" s="33" t="str">
        <f>IF($O234="","",IFERROR(CHOOSE(MATCH($F234,الإعدادات!$B$4:$B$7,0),INDEX('حضور سوريال'!$D$7:$D$36,$O234),INDEX('حضور غبريال'!$D$7:$D$36,$O234),INDEX('حضور رفائيل'!$D$7:$D$36,$O234),INDEX('حضور ميخائيل'!$D$7:$D$36,$O234)),""))</f>
        <v/>
      </c>
      <c r="R234" s="34" t="str">
        <f>IF($O234="","",IFERROR(CHOOSE(MATCH($F234,الإعدادات!$B$4:$B$7,0),INDEX('حضور سوريال'!$F$7:$F$36,$O234),INDEX('حضور غبريال'!$F$7:$F$36,$O234),INDEX('حضور رفائيل'!$F$7:$F$36,$O234),INDEX('حضور ميخائيل'!$F$7:$F$36,$O234)),""))</f>
        <v/>
      </c>
      <c r="S234" s="33" t="str">
        <f>IF($O234="","",IFERROR(CHOOSE(MATCH($F234,الإعدادات!$B$4:$B$7,0),INDEX('حضور سوريال'!$G$7:$G$36,$O234),INDEX('حضور غبريال'!$G$7:$G$36,$O234),INDEX('حضور رفائيل'!$G$7:$G$36,$O234),INDEX('حضور ميخائيل'!$G$7:$G$36,$O234)),""))</f>
        <v/>
      </c>
      <c r="T234" s="35" t="str">
        <f>IF($O234="","",IFERROR(CHOOSE(MATCH($F234,الإعدادات!$B$4:$B$7,0),INDEX('حضور سوريال'!$H$7:$H$36,$O234),INDEX('حضور غبريال'!$H$7:$H$36,$O234),INDEX('حضور رفائيل'!$H$7:$H$36,$O234),INDEX('حضور ميخائيل'!$H$7:$H$36,$O234)),""))</f>
        <v/>
      </c>
      <c r="U234" s="36" t="str">
        <f>IF($O234="","",IFERROR(CHOOSE(MATCH($F234,الإعدادات!$B$4:$B$7,0),INDEX('حضور سوريال'!$I$7:$I$36,$O234),INDEX('حضور غبريال'!$I$7:$I$36,$O234),INDEX('حضور رفائيل'!$I$7:$I$36,$O234),INDEX('حضور ميخائيل'!$I$7:$I$36,$O234)),""))</f>
        <v/>
      </c>
      <c r="V234" t="str">
        <f>IF($O234="","",IFERROR(CHOOSE(MATCH($F234,الإعدادات!$B$4:$B$7,0),INDEX('حضور سوريال'!$BM$7:$BM$36,$O234),INDEX('حضور غبريال'!$BM$7:$BM$36,$O234),INDEX('حضور رفائيل'!$BM$7:$BM$36,$O234),INDEX('حضور ميخائيل'!$BM$7:$BM$36,$O234)),""))</f>
        <v/>
      </c>
      <c r="W234" t="str">
        <f>IF(OR(V234=3,V234=4),COUNTIFS(V$6:V234,3)+COUNTIFS(V$6:V234,4),"")</f>
        <v/>
      </c>
    </row>
    <row r="235" spans="1:23" ht="25.5" customHeight="1">
      <c r="A235" s="26" t="str">
        <f t="shared" si="9"/>
        <v/>
      </c>
      <c r="B235" s="27" t="str">
        <f t="shared" si="10"/>
        <v/>
      </c>
      <c r="C235" s="28"/>
      <c r="D235" s="29"/>
      <c r="E235" s="29"/>
      <c r="F235" s="29"/>
      <c r="G235" s="29"/>
      <c r="H235" s="30"/>
      <c r="I235" s="30"/>
      <c r="J235" s="31"/>
      <c r="K235" s="29"/>
      <c r="L235" s="31"/>
      <c r="M235" s="29"/>
      <c r="N235" s="32" t="str">
        <f t="shared" si="11"/>
        <v/>
      </c>
      <c r="O235" s="32" t="str">
        <f>IF(OR(C235="",F235=""),"",COUNTIFS(F$6:F235,F235,C$6:C235,"&lt;&gt;"))</f>
        <v/>
      </c>
      <c r="P235" s="33" t="str">
        <f>IF($O235="","",IFERROR(CHOOSE(MATCH($F235,الإعدادات!$B$4:$B$7,0),INDEX('حضور سوريال'!$C$7:$C$36,$O235),INDEX('حضور غبريال'!$C$7:$C$36,$O235),INDEX('حضور رفائيل'!$C$7:$C$36,$O235),INDEX('حضور ميخائيل'!$C$7:$C$36,$O235)),""))</f>
        <v/>
      </c>
      <c r="Q235" s="33" t="str">
        <f>IF($O235="","",IFERROR(CHOOSE(MATCH($F235,الإعدادات!$B$4:$B$7,0),INDEX('حضور سوريال'!$D$7:$D$36,$O235),INDEX('حضور غبريال'!$D$7:$D$36,$O235),INDEX('حضور رفائيل'!$D$7:$D$36,$O235),INDEX('حضور ميخائيل'!$D$7:$D$36,$O235)),""))</f>
        <v/>
      </c>
      <c r="R235" s="34" t="str">
        <f>IF($O235="","",IFERROR(CHOOSE(MATCH($F235,الإعدادات!$B$4:$B$7,0),INDEX('حضور سوريال'!$F$7:$F$36,$O235),INDEX('حضور غبريال'!$F$7:$F$36,$O235),INDEX('حضور رفائيل'!$F$7:$F$36,$O235),INDEX('حضور ميخائيل'!$F$7:$F$36,$O235)),""))</f>
        <v/>
      </c>
      <c r="S235" s="33" t="str">
        <f>IF($O235="","",IFERROR(CHOOSE(MATCH($F235,الإعدادات!$B$4:$B$7,0),INDEX('حضور سوريال'!$G$7:$G$36,$O235),INDEX('حضور غبريال'!$G$7:$G$36,$O235),INDEX('حضور رفائيل'!$G$7:$G$36,$O235),INDEX('حضور ميخائيل'!$G$7:$G$36,$O235)),""))</f>
        <v/>
      </c>
      <c r="T235" s="35" t="str">
        <f>IF($O235="","",IFERROR(CHOOSE(MATCH($F235,الإعدادات!$B$4:$B$7,0),INDEX('حضور سوريال'!$H$7:$H$36,$O235),INDEX('حضور غبريال'!$H$7:$H$36,$O235),INDEX('حضور رفائيل'!$H$7:$H$36,$O235),INDEX('حضور ميخائيل'!$H$7:$H$36,$O235)),""))</f>
        <v/>
      </c>
      <c r="U235" s="36" t="str">
        <f>IF($O235="","",IFERROR(CHOOSE(MATCH($F235,الإعدادات!$B$4:$B$7,0),INDEX('حضور سوريال'!$I$7:$I$36,$O235),INDEX('حضور غبريال'!$I$7:$I$36,$O235),INDEX('حضور رفائيل'!$I$7:$I$36,$O235),INDEX('حضور ميخائيل'!$I$7:$I$36,$O235)),""))</f>
        <v/>
      </c>
      <c r="V235" t="str">
        <f>IF($O235="","",IFERROR(CHOOSE(MATCH($F235,الإعدادات!$B$4:$B$7,0),INDEX('حضور سوريال'!$BM$7:$BM$36,$O235),INDEX('حضور غبريال'!$BM$7:$BM$36,$O235),INDEX('حضور رفائيل'!$BM$7:$BM$36,$O235),INDEX('حضور ميخائيل'!$BM$7:$BM$36,$O235)),""))</f>
        <v/>
      </c>
      <c r="W235" t="str">
        <f>IF(OR(V235=3,V235=4),COUNTIFS(V$6:V235,3)+COUNTIFS(V$6:V235,4),"")</f>
        <v/>
      </c>
    </row>
    <row r="236" spans="1:23" ht="25.5" customHeight="1">
      <c r="A236" s="26" t="str">
        <f t="shared" si="9"/>
        <v/>
      </c>
      <c r="B236" s="27" t="str">
        <f t="shared" si="10"/>
        <v/>
      </c>
      <c r="C236" s="28"/>
      <c r="D236" s="29"/>
      <c r="E236" s="29"/>
      <c r="F236" s="29"/>
      <c r="G236" s="29"/>
      <c r="H236" s="30"/>
      <c r="I236" s="30"/>
      <c r="J236" s="31"/>
      <c r="K236" s="29"/>
      <c r="L236" s="31"/>
      <c r="M236" s="29"/>
      <c r="N236" s="32" t="str">
        <f t="shared" si="11"/>
        <v/>
      </c>
      <c r="O236" s="32" t="str">
        <f>IF(OR(C236="",F236=""),"",COUNTIFS(F$6:F236,F236,C$6:C236,"&lt;&gt;"))</f>
        <v/>
      </c>
      <c r="P236" s="33" t="str">
        <f>IF($O236="","",IFERROR(CHOOSE(MATCH($F236,الإعدادات!$B$4:$B$7,0),INDEX('حضور سوريال'!$C$7:$C$36,$O236),INDEX('حضور غبريال'!$C$7:$C$36,$O236),INDEX('حضور رفائيل'!$C$7:$C$36,$O236),INDEX('حضور ميخائيل'!$C$7:$C$36,$O236)),""))</f>
        <v/>
      </c>
      <c r="Q236" s="33" t="str">
        <f>IF($O236="","",IFERROR(CHOOSE(MATCH($F236,الإعدادات!$B$4:$B$7,0),INDEX('حضور سوريال'!$D$7:$D$36,$O236),INDEX('حضور غبريال'!$D$7:$D$36,$O236),INDEX('حضور رفائيل'!$D$7:$D$36,$O236),INDEX('حضور ميخائيل'!$D$7:$D$36,$O236)),""))</f>
        <v/>
      </c>
      <c r="R236" s="34" t="str">
        <f>IF($O236="","",IFERROR(CHOOSE(MATCH($F236,الإعدادات!$B$4:$B$7,0),INDEX('حضور سوريال'!$F$7:$F$36,$O236),INDEX('حضور غبريال'!$F$7:$F$36,$O236),INDEX('حضور رفائيل'!$F$7:$F$36,$O236),INDEX('حضور ميخائيل'!$F$7:$F$36,$O236)),""))</f>
        <v/>
      </c>
      <c r="S236" s="33" t="str">
        <f>IF($O236="","",IFERROR(CHOOSE(MATCH($F236,الإعدادات!$B$4:$B$7,0),INDEX('حضور سوريال'!$G$7:$G$36,$O236),INDEX('حضور غبريال'!$G$7:$G$36,$O236),INDEX('حضور رفائيل'!$G$7:$G$36,$O236),INDEX('حضور ميخائيل'!$G$7:$G$36,$O236)),""))</f>
        <v/>
      </c>
      <c r="T236" s="35" t="str">
        <f>IF($O236="","",IFERROR(CHOOSE(MATCH($F236,الإعدادات!$B$4:$B$7,0),INDEX('حضور سوريال'!$H$7:$H$36,$O236),INDEX('حضور غبريال'!$H$7:$H$36,$O236),INDEX('حضور رفائيل'!$H$7:$H$36,$O236),INDEX('حضور ميخائيل'!$H$7:$H$36,$O236)),""))</f>
        <v/>
      </c>
      <c r="U236" s="36" t="str">
        <f>IF($O236="","",IFERROR(CHOOSE(MATCH($F236,الإعدادات!$B$4:$B$7,0),INDEX('حضور سوريال'!$I$7:$I$36,$O236),INDEX('حضور غبريال'!$I$7:$I$36,$O236),INDEX('حضور رفائيل'!$I$7:$I$36,$O236),INDEX('حضور ميخائيل'!$I$7:$I$36,$O236)),""))</f>
        <v/>
      </c>
      <c r="V236" t="str">
        <f>IF($O236="","",IFERROR(CHOOSE(MATCH($F236,الإعدادات!$B$4:$B$7,0),INDEX('حضور سوريال'!$BM$7:$BM$36,$O236),INDEX('حضور غبريال'!$BM$7:$BM$36,$O236),INDEX('حضور رفائيل'!$BM$7:$BM$36,$O236),INDEX('حضور ميخائيل'!$BM$7:$BM$36,$O236)),""))</f>
        <v/>
      </c>
      <c r="W236" t="str">
        <f>IF(OR(V236=3,V236=4),COUNTIFS(V$6:V236,3)+COUNTIFS(V$6:V236,4),"")</f>
        <v/>
      </c>
    </row>
    <row r="237" spans="1:23" ht="25.5" customHeight="1">
      <c r="A237" s="26" t="str">
        <f t="shared" si="9"/>
        <v/>
      </c>
      <c r="B237" s="27" t="str">
        <f t="shared" si="10"/>
        <v/>
      </c>
      <c r="C237" s="28"/>
      <c r="D237" s="29"/>
      <c r="E237" s="29"/>
      <c r="F237" s="29"/>
      <c r="G237" s="29"/>
      <c r="H237" s="30"/>
      <c r="I237" s="30"/>
      <c r="J237" s="31"/>
      <c r="K237" s="29"/>
      <c r="L237" s="31"/>
      <c r="M237" s="29"/>
      <c r="N237" s="32" t="str">
        <f t="shared" si="11"/>
        <v/>
      </c>
      <c r="O237" s="32" t="str">
        <f>IF(OR(C237="",F237=""),"",COUNTIFS(F$6:F237,F237,C$6:C237,"&lt;&gt;"))</f>
        <v/>
      </c>
      <c r="P237" s="33" t="str">
        <f>IF($O237="","",IFERROR(CHOOSE(MATCH($F237,الإعدادات!$B$4:$B$7,0),INDEX('حضور سوريال'!$C$7:$C$36,$O237),INDEX('حضور غبريال'!$C$7:$C$36,$O237),INDEX('حضور رفائيل'!$C$7:$C$36,$O237),INDEX('حضور ميخائيل'!$C$7:$C$36,$O237)),""))</f>
        <v/>
      </c>
      <c r="Q237" s="33" t="str">
        <f>IF($O237="","",IFERROR(CHOOSE(MATCH($F237,الإعدادات!$B$4:$B$7,0),INDEX('حضور سوريال'!$D$7:$D$36,$O237),INDEX('حضور غبريال'!$D$7:$D$36,$O237),INDEX('حضور رفائيل'!$D$7:$D$36,$O237),INDEX('حضور ميخائيل'!$D$7:$D$36,$O237)),""))</f>
        <v/>
      </c>
      <c r="R237" s="34" t="str">
        <f>IF($O237="","",IFERROR(CHOOSE(MATCH($F237,الإعدادات!$B$4:$B$7,0),INDEX('حضور سوريال'!$F$7:$F$36,$O237),INDEX('حضور غبريال'!$F$7:$F$36,$O237),INDEX('حضور رفائيل'!$F$7:$F$36,$O237),INDEX('حضور ميخائيل'!$F$7:$F$36,$O237)),""))</f>
        <v/>
      </c>
      <c r="S237" s="33" t="str">
        <f>IF($O237="","",IFERROR(CHOOSE(MATCH($F237,الإعدادات!$B$4:$B$7,0),INDEX('حضور سوريال'!$G$7:$G$36,$O237),INDEX('حضور غبريال'!$G$7:$G$36,$O237),INDEX('حضور رفائيل'!$G$7:$G$36,$O237),INDEX('حضور ميخائيل'!$G$7:$G$36,$O237)),""))</f>
        <v/>
      </c>
      <c r="T237" s="35" t="str">
        <f>IF($O237="","",IFERROR(CHOOSE(MATCH($F237,الإعدادات!$B$4:$B$7,0),INDEX('حضور سوريال'!$H$7:$H$36,$O237),INDEX('حضور غبريال'!$H$7:$H$36,$O237),INDEX('حضور رفائيل'!$H$7:$H$36,$O237),INDEX('حضور ميخائيل'!$H$7:$H$36,$O237)),""))</f>
        <v/>
      </c>
      <c r="U237" s="36" t="str">
        <f>IF($O237="","",IFERROR(CHOOSE(MATCH($F237,الإعدادات!$B$4:$B$7,0),INDEX('حضور سوريال'!$I$7:$I$36,$O237),INDEX('حضور غبريال'!$I$7:$I$36,$O237),INDEX('حضور رفائيل'!$I$7:$I$36,$O237),INDEX('حضور ميخائيل'!$I$7:$I$36,$O237)),""))</f>
        <v/>
      </c>
      <c r="V237" t="str">
        <f>IF($O237="","",IFERROR(CHOOSE(MATCH($F237,الإعدادات!$B$4:$B$7,0),INDEX('حضور سوريال'!$BM$7:$BM$36,$O237),INDEX('حضور غبريال'!$BM$7:$BM$36,$O237),INDEX('حضور رفائيل'!$BM$7:$BM$36,$O237),INDEX('حضور ميخائيل'!$BM$7:$BM$36,$O237)),""))</f>
        <v/>
      </c>
      <c r="W237" t="str">
        <f>IF(OR(V237=3,V237=4),COUNTIFS(V$6:V237,3)+COUNTIFS(V$6:V237,4),"")</f>
        <v/>
      </c>
    </row>
    <row r="238" spans="1:23" ht="25.5" customHeight="1">
      <c r="A238" s="26" t="str">
        <f t="shared" si="9"/>
        <v/>
      </c>
      <c r="B238" s="27" t="str">
        <f t="shared" si="10"/>
        <v/>
      </c>
      <c r="C238" s="28"/>
      <c r="D238" s="29"/>
      <c r="E238" s="29"/>
      <c r="F238" s="29"/>
      <c r="G238" s="29"/>
      <c r="H238" s="30"/>
      <c r="I238" s="30"/>
      <c r="J238" s="31"/>
      <c r="K238" s="29"/>
      <c r="L238" s="31"/>
      <c r="M238" s="29"/>
      <c r="N238" s="32" t="str">
        <f t="shared" si="11"/>
        <v/>
      </c>
      <c r="O238" s="32" t="str">
        <f>IF(OR(C238="",F238=""),"",COUNTIFS(F$6:F238,F238,C$6:C238,"&lt;&gt;"))</f>
        <v/>
      </c>
      <c r="P238" s="33" t="str">
        <f>IF($O238="","",IFERROR(CHOOSE(MATCH($F238,الإعدادات!$B$4:$B$7,0),INDEX('حضور سوريال'!$C$7:$C$36,$O238),INDEX('حضور غبريال'!$C$7:$C$36,$O238),INDEX('حضور رفائيل'!$C$7:$C$36,$O238),INDEX('حضور ميخائيل'!$C$7:$C$36,$O238)),""))</f>
        <v/>
      </c>
      <c r="Q238" s="33" t="str">
        <f>IF($O238="","",IFERROR(CHOOSE(MATCH($F238,الإعدادات!$B$4:$B$7,0),INDEX('حضور سوريال'!$D$7:$D$36,$O238),INDEX('حضور غبريال'!$D$7:$D$36,$O238),INDEX('حضور رفائيل'!$D$7:$D$36,$O238),INDEX('حضور ميخائيل'!$D$7:$D$36,$O238)),""))</f>
        <v/>
      </c>
      <c r="R238" s="34" t="str">
        <f>IF($O238="","",IFERROR(CHOOSE(MATCH($F238,الإعدادات!$B$4:$B$7,0),INDEX('حضور سوريال'!$F$7:$F$36,$O238),INDEX('حضور غبريال'!$F$7:$F$36,$O238),INDEX('حضور رفائيل'!$F$7:$F$36,$O238),INDEX('حضور ميخائيل'!$F$7:$F$36,$O238)),""))</f>
        <v/>
      </c>
      <c r="S238" s="33" t="str">
        <f>IF($O238="","",IFERROR(CHOOSE(MATCH($F238,الإعدادات!$B$4:$B$7,0),INDEX('حضور سوريال'!$G$7:$G$36,$O238),INDEX('حضور غبريال'!$G$7:$G$36,$O238),INDEX('حضور رفائيل'!$G$7:$G$36,$O238),INDEX('حضور ميخائيل'!$G$7:$G$36,$O238)),""))</f>
        <v/>
      </c>
      <c r="T238" s="35" t="str">
        <f>IF($O238="","",IFERROR(CHOOSE(MATCH($F238,الإعدادات!$B$4:$B$7,0),INDEX('حضور سوريال'!$H$7:$H$36,$O238),INDEX('حضور غبريال'!$H$7:$H$36,$O238),INDEX('حضور رفائيل'!$H$7:$H$36,$O238),INDEX('حضور ميخائيل'!$H$7:$H$36,$O238)),""))</f>
        <v/>
      </c>
      <c r="U238" s="36" t="str">
        <f>IF($O238="","",IFERROR(CHOOSE(MATCH($F238,الإعدادات!$B$4:$B$7,0),INDEX('حضور سوريال'!$I$7:$I$36,$O238),INDEX('حضور غبريال'!$I$7:$I$36,$O238),INDEX('حضور رفائيل'!$I$7:$I$36,$O238),INDEX('حضور ميخائيل'!$I$7:$I$36,$O238)),""))</f>
        <v/>
      </c>
      <c r="V238" t="str">
        <f>IF($O238="","",IFERROR(CHOOSE(MATCH($F238,الإعدادات!$B$4:$B$7,0),INDEX('حضور سوريال'!$BM$7:$BM$36,$O238),INDEX('حضور غبريال'!$BM$7:$BM$36,$O238),INDEX('حضور رفائيل'!$BM$7:$BM$36,$O238),INDEX('حضور ميخائيل'!$BM$7:$BM$36,$O238)),""))</f>
        <v/>
      </c>
      <c r="W238" t="str">
        <f>IF(OR(V238=3,V238=4),COUNTIFS(V$6:V238,3)+COUNTIFS(V$6:V238,4),"")</f>
        <v/>
      </c>
    </row>
    <row r="239" spans="1:23" ht="25.5" customHeight="1">
      <c r="A239" s="26" t="str">
        <f t="shared" si="9"/>
        <v/>
      </c>
      <c r="B239" s="27" t="str">
        <f t="shared" si="10"/>
        <v/>
      </c>
      <c r="C239" s="28"/>
      <c r="D239" s="29"/>
      <c r="E239" s="29"/>
      <c r="F239" s="29"/>
      <c r="G239" s="29"/>
      <c r="H239" s="30"/>
      <c r="I239" s="30"/>
      <c r="J239" s="31"/>
      <c r="K239" s="29"/>
      <c r="L239" s="31"/>
      <c r="M239" s="29"/>
      <c r="N239" s="32" t="str">
        <f t="shared" si="11"/>
        <v/>
      </c>
      <c r="O239" s="32" t="str">
        <f>IF(OR(C239="",F239=""),"",COUNTIFS(F$6:F239,F239,C$6:C239,"&lt;&gt;"))</f>
        <v/>
      </c>
      <c r="P239" s="33" t="str">
        <f>IF($O239="","",IFERROR(CHOOSE(MATCH($F239,الإعدادات!$B$4:$B$7,0),INDEX('حضور سوريال'!$C$7:$C$36,$O239),INDEX('حضور غبريال'!$C$7:$C$36,$O239),INDEX('حضور رفائيل'!$C$7:$C$36,$O239),INDEX('حضور ميخائيل'!$C$7:$C$36,$O239)),""))</f>
        <v/>
      </c>
      <c r="Q239" s="33" t="str">
        <f>IF($O239="","",IFERROR(CHOOSE(MATCH($F239,الإعدادات!$B$4:$B$7,0),INDEX('حضور سوريال'!$D$7:$D$36,$O239),INDEX('حضور غبريال'!$D$7:$D$36,$O239),INDEX('حضور رفائيل'!$D$7:$D$36,$O239),INDEX('حضور ميخائيل'!$D$7:$D$36,$O239)),""))</f>
        <v/>
      </c>
      <c r="R239" s="34" t="str">
        <f>IF($O239="","",IFERROR(CHOOSE(MATCH($F239,الإعدادات!$B$4:$B$7,0),INDEX('حضور سوريال'!$F$7:$F$36,$O239),INDEX('حضور غبريال'!$F$7:$F$36,$O239),INDEX('حضور رفائيل'!$F$7:$F$36,$O239),INDEX('حضور ميخائيل'!$F$7:$F$36,$O239)),""))</f>
        <v/>
      </c>
      <c r="S239" s="33" t="str">
        <f>IF($O239="","",IFERROR(CHOOSE(MATCH($F239,الإعدادات!$B$4:$B$7,0),INDEX('حضور سوريال'!$G$7:$G$36,$O239),INDEX('حضور غبريال'!$G$7:$G$36,$O239),INDEX('حضور رفائيل'!$G$7:$G$36,$O239),INDEX('حضور ميخائيل'!$G$7:$G$36,$O239)),""))</f>
        <v/>
      </c>
      <c r="T239" s="35" t="str">
        <f>IF($O239="","",IFERROR(CHOOSE(MATCH($F239,الإعدادات!$B$4:$B$7,0),INDEX('حضور سوريال'!$H$7:$H$36,$O239),INDEX('حضور غبريال'!$H$7:$H$36,$O239),INDEX('حضور رفائيل'!$H$7:$H$36,$O239),INDEX('حضور ميخائيل'!$H$7:$H$36,$O239)),""))</f>
        <v/>
      </c>
      <c r="U239" s="36" t="str">
        <f>IF($O239="","",IFERROR(CHOOSE(MATCH($F239,الإعدادات!$B$4:$B$7,0),INDEX('حضور سوريال'!$I$7:$I$36,$O239),INDEX('حضور غبريال'!$I$7:$I$36,$O239),INDEX('حضور رفائيل'!$I$7:$I$36,$O239),INDEX('حضور ميخائيل'!$I$7:$I$36,$O239)),""))</f>
        <v/>
      </c>
      <c r="V239" t="str">
        <f>IF($O239="","",IFERROR(CHOOSE(MATCH($F239,الإعدادات!$B$4:$B$7,0),INDEX('حضور سوريال'!$BM$7:$BM$36,$O239),INDEX('حضور غبريال'!$BM$7:$BM$36,$O239),INDEX('حضور رفائيل'!$BM$7:$BM$36,$O239),INDEX('حضور ميخائيل'!$BM$7:$BM$36,$O239)),""))</f>
        <v/>
      </c>
      <c r="W239" t="str">
        <f>IF(OR(V239=3,V239=4),COUNTIFS(V$6:V239,3)+COUNTIFS(V$6:V239,4),"")</f>
        <v/>
      </c>
    </row>
    <row r="240" spans="1:23" ht="25.5" customHeight="1">
      <c r="A240" s="26" t="str">
        <f t="shared" si="9"/>
        <v/>
      </c>
      <c r="B240" s="27" t="str">
        <f t="shared" si="10"/>
        <v/>
      </c>
      <c r="C240" s="28"/>
      <c r="D240" s="29"/>
      <c r="E240" s="29"/>
      <c r="F240" s="29"/>
      <c r="G240" s="29"/>
      <c r="H240" s="30"/>
      <c r="I240" s="30"/>
      <c r="J240" s="31"/>
      <c r="K240" s="29"/>
      <c r="L240" s="31"/>
      <c r="M240" s="29"/>
      <c r="N240" s="32" t="str">
        <f t="shared" si="11"/>
        <v/>
      </c>
      <c r="O240" s="32" t="str">
        <f>IF(OR(C240="",F240=""),"",COUNTIFS(F$6:F240,F240,C$6:C240,"&lt;&gt;"))</f>
        <v/>
      </c>
      <c r="P240" s="33" t="str">
        <f>IF($O240="","",IFERROR(CHOOSE(MATCH($F240,الإعدادات!$B$4:$B$7,0),INDEX('حضور سوريال'!$C$7:$C$36,$O240),INDEX('حضور غبريال'!$C$7:$C$36,$O240),INDEX('حضور رفائيل'!$C$7:$C$36,$O240),INDEX('حضور ميخائيل'!$C$7:$C$36,$O240)),""))</f>
        <v/>
      </c>
      <c r="Q240" s="33" t="str">
        <f>IF($O240="","",IFERROR(CHOOSE(MATCH($F240,الإعدادات!$B$4:$B$7,0),INDEX('حضور سوريال'!$D$7:$D$36,$O240),INDEX('حضور غبريال'!$D$7:$D$36,$O240),INDEX('حضور رفائيل'!$D$7:$D$36,$O240),INDEX('حضور ميخائيل'!$D$7:$D$36,$O240)),""))</f>
        <v/>
      </c>
      <c r="R240" s="34" t="str">
        <f>IF($O240="","",IFERROR(CHOOSE(MATCH($F240,الإعدادات!$B$4:$B$7,0),INDEX('حضور سوريال'!$F$7:$F$36,$O240),INDEX('حضور غبريال'!$F$7:$F$36,$O240),INDEX('حضور رفائيل'!$F$7:$F$36,$O240),INDEX('حضور ميخائيل'!$F$7:$F$36,$O240)),""))</f>
        <v/>
      </c>
      <c r="S240" s="33" t="str">
        <f>IF($O240="","",IFERROR(CHOOSE(MATCH($F240,الإعدادات!$B$4:$B$7,0),INDEX('حضور سوريال'!$G$7:$G$36,$O240),INDEX('حضور غبريال'!$G$7:$G$36,$O240),INDEX('حضور رفائيل'!$G$7:$G$36,$O240),INDEX('حضور ميخائيل'!$G$7:$G$36,$O240)),""))</f>
        <v/>
      </c>
      <c r="T240" s="35" t="str">
        <f>IF($O240="","",IFERROR(CHOOSE(MATCH($F240,الإعدادات!$B$4:$B$7,0),INDEX('حضور سوريال'!$H$7:$H$36,$O240),INDEX('حضور غبريال'!$H$7:$H$36,$O240),INDEX('حضور رفائيل'!$H$7:$H$36,$O240),INDEX('حضور ميخائيل'!$H$7:$H$36,$O240)),""))</f>
        <v/>
      </c>
      <c r="U240" s="36" t="str">
        <f>IF($O240="","",IFERROR(CHOOSE(MATCH($F240,الإعدادات!$B$4:$B$7,0),INDEX('حضور سوريال'!$I$7:$I$36,$O240),INDEX('حضور غبريال'!$I$7:$I$36,$O240),INDEX('حضور رفائيل'!$I$7:$I$36,$O240),INDEX('حضور ميخائيل'!$I$7:$I$36,$O240)),""))</f>
        <v/>
      </c>
      <c r="V240" t="str">
        <f>IF($O240="","",IFERROR(CHOOSE(MATCH($F240,الإعدادات!$B$4:$B$7,0),INDEX('حضور سوريال'!$BM$7:$BM$36,$O240),INDEX('حضور غبريال'!$BM$7:$BM$36,$O240),INDEX('حضور رفائيل'!$BM$7:$BM$36,$O240),INDEX('حضور ميخائيل'!$BM$7:$BM$36,$O240)),""))</f>
        <v/>
      </c>
      <c r="W240" t="str">
        <f>IF(OR(V240=3,V240=4),COUNTIFS(V$6:V240,3)+COUNTIFS(V$6:V240,4),"")</f>
        <v/>
      </c>
    </row>
    <row r="241" spans="1:23" ht="25.5" customHeight="1">
      <c r="A241" s="26" t="str">
        <f t="shared" si="9"/>
        <v/>
      </c>
      <c r="B241" s="27" t="str">
        <f t="shared" si="10"/>
        <v/>
      </c>
      <c r="C241" s="28"/>
      <c r="D241" s="29"/>
      <c r="E241" s="29"/>
      <c r="F241" s="29"/>
      <c r="G241" s="29"/>
      <c r="H241" s="30"/>
      <c r="I241" s="30"/>
      <c r="J241" s="31"/>
      <c r="K241" s="29"/>
      <c r="L241" s="31"/>
      <c r="M241" s="29"/>
      <c r="N241" s="32" t="str">
        <f t="shared" si="11"/>
        <v/>
      </c>
      <c r="O241" s="32" t="str">
        <f>IF(OR(C241="",F241=""),"",COUNTIFS(F$6:F241,F241,C$6:C241,"&lt;&gt;"))</f>
        <v/>
      </c>
      <c r="P241" s="33" t="str">
        <f>IF($O241="","",IFERROR(CHOOSE(MATCH($F241,الإعدادات!$B$4:$B$7,0),INDEX('حضور سوريال'!$C$7:$C$36,$O241),INDEX('حضور غبريال'!$C$7:$C$36,$O241),INDEX('حضور رفائيل'!$C$7:$C$36,$O241),INDEX('حضور ميخائيل'!$C$7:$C$36,$O241)),""))</f>
        <v/>
      </c>
      <c r="Q241" s="33" t="str">
        <f>IF($O241="","",IFERROR(CHOOSE(MATCH($F241,الإعدادات!$B$4:$B$7,0),INDEX('حضور سوريال'!$D$7:$D$36,$O241),INDEX('حضور غبريال'!$D$7:$D$36,$O241),INDEX('حضور رفائيل'!$D$7:$D$36,$O241),INDEX('حضور ميخائيل'!$D$7:$D$36,$O241)),""))</f>
        <v/>
      </c>
      <c r="R241" s="34" t="str">
        <f>IF($O241="","",IFERROR(CHOOSE(MATCH($F241,الإعدادات!$B$4:$B$7,0),INDEX('حضور سوريال'!$F$7:$F$36,$O241),INDEX('حضور غبريال'!$F$7:$F$36,$O241),INDEX('حضور رفائيل'!$F$7:$F$36,$O241),INDEX('حضور ميخائيل'!$F$7:$F$36,$O241)),""))</f>
        <v/>
      </c>
      <c r="S241" s="33" t="str">
        <f>IF($O241="","",IFERROR(CHOOSE(MATCH($F241,الإعدادات!$B$4:$B$7,0),INDEX('حضور سوريال'!$G$7:$G$36,$O241),INDEX('حضور غبريال'!$G$7:$G$36,$O241),INDEX('حضور رفائيل'!$G$7:$G$36,$O241),INDEX('حضور ميخائيل'!$G$7:$G$36,$O241)),""))</f>
        <v/>
      </c>
      <c r="T241" s="35" t="str">
        <f>IF($O241="","",IFERROR(CHOOSE(MATCH($F241,الإعدادات!$B$4:$B$7,0),INDEX('حضور سوريال'!$H$7:$H$36,$O241),INDEX('حضور غبريال'!$H$7:$H$36,$O241),INDEX('حضور رفائيل'!$H$7:$H$36,$O241),INDEX('حضور ميخائيل'!$H$7:$H$36,$O241)),""))</f>
        <v/>
      </c>
      <c r="U241" s="36" t="str">
        <f>IF($O241="","",IFERROR(CHOOSE(MATCH($F241,الإعدادات!$B$4:$B$7,0),INDEX('حضور سوريال'!$I$7:$I$36,$O241),INDEX('حضور غبريال'!$I$7:$I$36,$O241),INDEX('حضور رفائيل'!$I$7:$I$36,$O241),INDEX('حضور ميخائيل'!$I$7:$I$36,$O241)),""))</f>
        <v/>
      </c>
      <c r="V241" t="str">
        <f>IF($O241="","",IFERROR(CHOOSE(MATCH($F241,الإعدادات!$B$4:$B$7,0),INDEX('حضور سوريال'!$BM$7:$BM$36,$O241),INDEX('حضور غبريال'!$BM$7:$BM$36,$O241),INDEX('حضور رفائيل'!$BM$7:$BM$36,$O241),INDEX('حضور ميخائيل'!$BM$7:$BM$36,$O241)),""))</f>
        <v/>
      </c>
      <c r="W241" t="str">
        <f>IF(OR(V241=3,V241=4),COUNTIFS(V$6:V241,3)+COUNTIFS(V$6:V241,4),"")</f>
        <v/>
      </c>
    </row>
    <row r="242" spans="1:23" ht="25.5" customHeight="1">
      <c r="A242" s="26" t="str">
        <f t="shared" si="9"/>
        <v/>
      </c>
      <c r="B242" s="27" t="str">
        <f t="shared" si="10"/>
        <v/>
      </c>
      <c r="C242" s="28"/>
      <c r="D242" s="29"/>
      <c r="E242" s="29"/>
      <c r="F242" s="29"/>
      <c r="G242" s="29"/>
      <c r="H242" s="30"/>
      <c r="I242" s="30"/>
      <c r="J242" s="31"/>
      <c r="K242" s="29"/>
      <c r="L242" s="31"/>
      <c r="M242" s="29"/>
      <c r="N242" s="32" t="str">
        <f t="shared" si="11"/>
        <v/>
      </c>
      <c r="O242" s="32" t="str">
        <f>IF(OR(C242="",F242=""),"",COUNTIFS(F$6:F242,F242,C$6:C242,"&lt;&gt;"))</f>
        <v/>
      </c>
      <c r="P242" s="33" t="str">
        <f>IF($O242="","",IFERROR(CHOOSE(MATCH($F242,الإعدادات!$B$4:$B$7,0),INDEX('حضور سوريال'!$C$7:$C$36,$O242),INDEX('حضور غبريال'!$C$7:$C$36,$O242),INDEX('حضور رفائيل'!$C$7:$C$36,$O242),INDEX('حضور ميخائيل'!$C$7:$C$36,$O242)),""))</f>
        <v/>
      </c>
      <c r="Q242" s="33" t="str">
        <f>IF($O242="","",IFERROR(CHOOSE(MATCH($F242,الإعدادات!$B$4:$B$7,0),INDEX('حضور سوريال'!$D$7:$D$36,$O242),INDEX('حضور غبريال'!$D$7:$D$36,$O242),INDEX('حضور رفائيل'!$D$7:$D$36,$O242),INDEX('حضور ميخائيل'!$D$7:$D$36,$O242)),""))</f>
        <v/>
      </c>
      <c r="R242" s="34" t="str">
        <f>IF($O242="","",IFERROR(CHOOSE(MATCH($F242,الإعدادات!$B$4:$B$7,0),INDEX('حضور سوريال'!$F$7:$F$36,$O242),INDEX('حضور غبريال'!$F$7:$F$36,$O242),INDEX('حضور رفائيل'!$F$7:$F$36,$O242),INDEX('حضور ميخائيل'!$F$7:$F$36,$O242)),""))</f>
        <v/>
      </c>
      <c r="S242" s="33" t="str">
        <f>IF($O242="","",IFERROR(CHOOSE(MATCH($F242,الإعدادات!$B$4:$B$7,0),INDEX('حضور سوريال'!$G$7:$G$36,$O242),INDEX('حضور غبريال'!$G$7:$G$36,$O242),INDEX('حضور رفائيل'!$G$7:$G$36,$O242),INDEX('حضور ميخائيل'!$G$7:$G$36,$O242)),""))</f>
        <v/>
      </c>
      <c r="T242" s="35" t="str">
        <f>IF($O242="","",IFERROR(CHOOSE(MATCH($F242,الإعدادات!$B$4:$B$7,0),INDEX('حضور سوريال'!$H$7:$H$36,$O242),INDEX('حضور غبريال'!$H$7:$H$36,$O242),INDEX('حضور رفائيل'!$H$7:$H$36,$O242),INDEX('حضور ميخائيل'!$H$7:$H$36,$O242)),""))</f>
        <v/>
      </c>
      <c r="U242" s="36" t="str">
        <f>IF($O242="","",IFERROR(CHOOSE(MATCH($F242,الإعدادات!$B$4:$B$7,0),INDEX('حضور سوريال'!$I$7:$I$36,$O242),INDEX('حضور غبريال'!$I$7:$I$36,$O242),INDEX('حضور رفائيل'!$I$7:$I$36,$O242),INDEX('حضور ميخائيل'!$I$7:$I$36,$O242)),""))</f>
        <v/>
      </c>
      <c r="V242" t="str">
        <f>IF($O242="","",IFERROR(CHOOSE(MATCH($F242,الإعدادات!$B$4:$B$7,0),INDEX('حضور سوريال'!$BM$7:$BM$36,$O242),INDEX('حضور غبريال'!$BM$7:$BM$36,$O242),INDEX('حضور رفائيل'!$BM$7:$BM$36,$O242),INDEX('حضور ميخائيل'!$BM$7:$BM$36,$O242)),""))</f>
        <v/>
      </c>
      <c r="W242" t="str">
        <f>IF(OR(V242=3,V242=4),COUNTIFS(V$6:V242,3)+COUNTIFS(V$6:V242,4),"")</f>
        <v/>
      </c>
    </row>
    <row r="243" spans="1:23" ht="25.5" customHeight="1">
      <c r="A243" s="26" t="str">
        <f t="shared" si="9"/>
        <v/>
      </c>
      <c r="B243" s="27" t="str">
        <f t="shared" si="10"/>
        <v/>
      </c>
      <c r="C243" s="28"/>
      <c r="D243" s="29"/>
      <c r="E243" s="29"/>
      <c r="F243" s="29"/>
      <c r="G243" s="29"/>
      <c r="H243" s="30"/>
      <c r="I243" s="30"/>
      <c r="J243" s="31"/>
      <c r="K243" s="29"/>
      <c r="L243" s="31"/>
      <c r="M243" s="29"/>
      <c r="N243" s="32" t="str">
        <f t="shared" si="11"/>
        <v/>
      </c>
      <c r="O243" s="32" t="str">
        <f>IF(OR(C243="",F243=""),"",COUNTIFS(F$6:F243,F243,C$6:C243,"&lt;&gt;"))</f>
        <v/>
      </c>
      <c r="P243" s="33" t="str">
        <f>IF($O243="","",IFERROR(CHOOSE(MATCH($F243,الإعدادات!$B$4:$B$7,0),INDEX('حضور سوريال'!$C$7:$C$36,$O243),INDEX('حضور غبريال'!$C$7:$C$36,$O243),INDEX('حضور رفائيل'!$C$7:$C$36,$O243),INDEX('حضور ميخائيل'!$C$7:$C$36,$O243)),""))</f>
        <v/>
      </c>
      <c r="Q243" s="33" t="str">
        <f>IF($O243="","",IFERROR(CHOOSE(MATCH($F243,الإعدادات!$B$4:$B$7,0),INDEX('حضور سوريال'!$D$7:$D$36,$O243),INDEX('حضور غبريال'!$D$7:$D$36,$O243),INDEX('حضور رفائيل'!$D$7:$D$36,$O243),INDEX('حضور ميخائيل'!$D$7:$D$36,$O243)),""))</f>
        <v/>
      </c>
      <c r="R243" s="34" t="str">
        <f>IF($O243="","",IFERROR(CHOOSE(MATCH($F243,الإعدادات!$B$4:$B$7,0),INDEX('حضور سوريال'!$F$7:$F$36,$O243),INDEX('حضور غبريال'!$F$7:$F$36,$O243),INDEX('حضور رفائيل'!$F$7:$F$36,$O243),INDEX('حضور ميخائيل'!$F$7:$F$36,$O243)),""))</f>
        <v/>
      </c>
      <c r="S243" s="33" t="str">
        <f>IF($O243="","",IFERROR(CHOOSE(MATCH($F243,الإعدادات!$B$4:$B$7,0),INDEX('حضور سوريال'!$G$7:$G$36,$O243),INDEX('حضور غبريال'!$G$7:$G$36,$O243),INDEX('حضور رفائيل'!$G$7:$G$36,$O243),INDEX('حضور ميخائيل'!$G$7:$G$36,$O243)),""))</f>
        <v/>
      </c>
      <c r="T243" s="35" t="str">
        <f>IF($O243="","",IFERROR(CHOOSE(MATCH($F243,الإعدادات!$B$4:$B$7,0),INDEX('حضور سوريال'!$H$7:$H$36,$O243),INDEX('حضور غبريال'!$H$7:$H$36,$O243),INDEX('حضور رفائيل'!$H$7:$H$36,$O243),INDEX('حضور ميخائيل'!$H$7:$H$36,$O243)),""))</f>
        <v/>
      </c>
      <c r="U243" s="36" t="str">
        <f>IF($O243="","",IFERROR(CHOOSE(MATCH($F243,الإعدادات!$B$4:$B$7,0),INDEX('حضور سوريال'!$I$7:$I$36,$O243),INDEX('حضور غبريال'!$I$7:$I$36,$O243),INDEX('حضور رفائيل'!$I$7:$I$36,$O243),INDEX('حضور ميخائيل'!$I$7:$I$36,$O243)),""))</f>
        <v/>
      </c>
      <c r="V243" t="str">
        <f>IF($O243="","",IFERROR(CHOOSE(MATCH($F243,الإعدادات!$B$4:$B$7,0),INDEX('حضور سوريال'!$BM$7:$BM$36,$O243),INDEX('حضور غبريال'!$BM$7:$BM$36,$O243),INDEX('حضور رفائيل'!$BM$7:$BM$36,$O243),INDEX('حضور ميخائيل'!$BM$7:$BM$36,$O243)),""))</f>
        <v/>
      </c>
      <c r="W243" t="str">
        <f>IF(OR(V243=3,V243=4),COUNTIFS(V$6:V243,3)+COUNTIFS(V$6:V243,4),"")</f>
        <v/>
      </c>
    </row>
    <row r="244" spans="1:23" ht="25.5" customHeight="1">
      <c r="A244" s="26" t="str">
        <f t="shared" si="9"/>
        <v/>
      </c>
      <c r="B244" s="27" t="str">
        <f t="shared" si="10"/>
        <v/>
      </c>
      <c r="C244" s="28"/>
      <c r="D244" s="29"/>
      <c r="E244" s="29"/>
      <c r="F244" s="29"/>
      <c r="G244" s="29"/>
      <c r="H244" s="30"/>
      <c r="I244" s="30"/>
      <c r="J244" s="31"/>
      <c r="K244" s="29"/>
      <c r="L244" s="31"/>
      <c r="M244" s="29"/>
      <c r="N244" s="32" t="str">
        <f t="shared" si="11"/>
        <v/>
      </c>
      <c r="O244" s="32" t="str">
        <f>IF(OR(C244="",F244=""),"",COUNTIFS(F$6:F244,F244,C$6:C244,"&lt;&gt;"))</f>
        <v/>
      </c>
      <c r="P244" s="33" t="str">
        <f>IF($O244="","",IFERROR(CHOOSE(MATCH($F244,الإعدادات!$B$4:$B$7,0),INDEX('حضور سوريال'!$C$7:$C$36,$O244),INDEX('حضور غبريال'!$C$7:$C$36,$O244),INDEX('حضور رفائيل'!$C$7:$C$36,$O244),INDEX('حضور ميخائيل'!$C$7:$C$36,$O244)),""))</f>
        <v/>
      </c>
      <c r="Q244" s="33" t="str">
        <f>IF($O244="","",IFERROR(CHOOSE(MATCH($F244,الإعدادات!$B$4:$B$7,0),INDEX('حضور سوريال'!$D$7:$D$36,$O244),INDEX('حضور غبريال'!$D$7:$D$36,$O244),INDEX('حضور رفائيل'!$D$7:$D$36,$O244),INDEX('حضور ميخائيل'!$D$7:$D$36,$O244)),""))</f>
        <v/>
      </c>
      <c r="R244" s="34" t="str">
        <f>IF($O244="","",IFERROR(CHOOSE(MATCH($F244,الإعدادات!$B$4:$B$7,0),INDEX('حضور سوريال'!$F$7:$F$36,$O244),INDEX('حضور غبريال'!$F$7:$F$36,$O244),INDEX('حضور رفائيل'!$F$7:$F$36,$O244),INDEX('حضور ميخائيل'!$F$7:$F$36,$O244)),""))</f>
        <v/>
      </c>
      <c r="S244" s="33" t="str">
        <f>IF($O244="","",IFERROR(CHOOSE(MATCH($F244,الإعدادات!$B$4:$B$7,0),INDEX('حضور سوريال'!$G$7:$G$36,$O244),INDEX('حضور غبريال'!$G$7:$G$36,$O244),INDEX('حضور رفائيل'!$G$7:$G$36,$O244),INDEX('حضور ميخائيل'!$G$7:$G$36,$O244)),""))</f>
        <v/>
      </c>
      <c r="T244" s="35" t="str">
        <f>IF($O244="","",IFERROR(CHOOSE(MATCH($F244,الإعدادات!$B$4:$B$7,0),INDEX('حضور سوريال'!$H$7:$H$36,$O244),INDEX('حضور غبريال'!$H$7:$H$36,$O244),INDEX('حضور رفائيل'!$H$7:$H$36,$O244),INDEX('حضور ميخائيل'!$H$7:$H$36,$O244)),""))</f>
        <v/>
      </c>
      <c r="U244" s="36" t="str">
        <f>IF($O244="","",IFERROR(CHOOSE(MATCH($F244,الإعدادات!$B$4:$B$7,0),INDEX('حضور سوريال'!$I$7:$I$36,$O244),INDEX('حضور غبريال'!$I$7:$I$36,$O244),INDEX('حضور رفائيل'!$I$7:$I$36,$O244),INDEX('حضور ميخائيل'!$I$7:$I$36,$O244)),""))</f>
        <v/>
      </c>
      <c r="V244" t="str">
        <f>IF($O244="","",IFERROR(CHOOSE(MATCH($F244,الإعدادات!$B$4:$B$7,0),INDEX('حضور سوريال'!$BM$7:$BM$36,$O244),INDEX('حضور غبريال'!$BM$7:$BM$36,$O244),INDEX('حضور رفائيل'!$BM$7:$BM$36,$O244),INDEX('حضور ميخائيل'!$BM$7:$BM$36,$O244)),""))</f>
        <v/>
      </c>
      <c r="W244" t="str">
        <f>IF(OR(V244=3,V244=4),COUNTIFS(V$6:V244,3)+COUNTIFS(V$6:V244,4),"")</f>
        <v/>
      </c>
    </row>
    <row r="245" spans="1:23" ht="25.5" customHeight="1">
      <c r="A245" s="26" t="str">
        <f t="shared" si="9"/>
        <v/>
      </c>
      <c r="B245" s="27" t="str">
        <f t="shared" si="10"/>
        <v/>
      </c>
      <c r="C245" s="28"/>
      <c r="D245" s="29"/>
      <c r="E245" s="29"/>
      <c r="F245" s="29"/>
      <c r="G245" s="29"/>
      <c r="H245" s="30"/>
      <c r="I245" s="30"/>
      <c r="J245" s="31"/>
      <c r="K245" s="29"/>
      <c r="L245" s="31"/>
      <c r="M245" s="29"/>
      <c r="N245" s="32" t="str">
        <f t="shared" si="11"/>
        <v/>
      </c>
      <c r="O245" s="32" t="str">
        <f>IF(OR(C245="",F245=""),"",COUNTIFS(F$6:F245,F245,C$6:C245,"&lt;&gt;"))</f>
        <v/>
      </c>
      <c r="P245" s="33" t="str">
        <f>IF($O245="","",IFERROR(CHOOSE(MATCH($F245,الإعدادات!$B$4:$B$7,0),INDEX('حضور سوريال'!$C$7:$C$36,$O245),INDEX('حضور غبريال'!$C$7:$C$36,$O245),INDEX('حضور رفائيل'!$C$7:$C$36,$O245),INDEX('حضور ميخائيل'!$C$7:$C$36,$O245)),""))</f>
        <v/>
      </c>
      <c r="Q245" s="33" t="str">
        <f>IF($O245="","",IFERROR(CHOOSE(MATCH($F245,الإعدادات!$B$4:$B$7,0),INDEX('حضور سوريال'!$D$7:$D$36,$O245),INDEX('حضور غبريال'!$D$7:$D$36,$O245),INDEX('حضور رفائيل'!$D$7:$D$36,$O245),INDEX('حضور ميخائيل'!$D$7:$D$36,$O245)),""))</f>
        <v/>
      </c>
      <c r="R245" s="34" t="str">
        <f>IF($O245="","",IFERROR(CHOOSE(MATCH($F245,الإعدادات!$B$4:$B$7,0),INDEX('حضور سوريال'!$F$7:$F$36,$O245),INDEX('حضور غبريال'!$F$7:$F$36,$O245),INDEX('حضور رفائيل'!$F$7:$F$36,$O245),INDEX('حضور ميخائيل'!$F$7:$F$36,$O245)),""))</f>
        <v/>
      </c>
      <c r="S245" s="33" t="str">
        <f>IF($O245="","",IFERROR(CHOOSE(MATCH($F245,الإعدادات!$B$4:$B$7,0),INDEX('حضور سوريال'!$G$7:$G$36,$O245),INDEX('حضور غبريال'!$G$7:$G$36,$O245),INDEX('حضور رفائيل'!$G$7:$G$36,$O245),INDEX('حضور ميخائيل'!$G$7:$G$36,$O245)),""))</f>
        <v/>
      </c>
      <c r="T245" s="35" t="str">
        <f>IF($O245="","",IFERROR(CHOOSE(MATCH($F245,الإعدادات!$B$4:$B$7,0),INDEX('حضور سوريال'!$H$7:$H$36,$O245),INDEX('حضور غبريال'!$H$7:$H$36,$O245),INDEX('حضور رفائيل'!$H$7:$H$36,$O245),INDEX('حضور ميخائيل'!$H$7:$H$36,$O245)),""))</f>
        <v/>
      </c>
      <c r="U245" s="36" t="str">
        <f>IF($O245="","",IFERROR(CHOOSE(MATCH($F245,الإعدادات!$B$4:$B$7,0),INDEX('حضور سوريال'!$I$7:$I$36,$O245),INDEX('حضور غبريال'!$I$7:$I$36,$O245),INDEX('حضور رفائيل'!$I$7:$I$36,$O245),INDEX('حضور ميخائيل'!$I$7:$I$36,$O245)),""))</f>
        <v/>
      </c>
      <c r="V245" t="str">
        <f>IF($O245="","",IFERROR(CHOOSE(MATCH($F245,الإعدادات!$B$4:$B$7,0),INDEX('حضور سوريال'!$BM$7:$BM$36,$O245),INDEX('حضور غبريال'!$BM$7:$BM$36,$O245),INDEX('حضور رفائيل'!$BM$7:$BM$36,$O245),INDEX('حضور ميخائيل'!$BM$7:$BM$36,$O245)),""))</f>
        <v/>
      </c>
      <c r="W245" t="str">
        <f>IF(OR(V245=3,V245=4),COUNTIFS(V$6:V245,3)+COUNTIFS(V$6:V245,4),"")</f>
        <v/>
      </c>
    </row>
    <row r="246" spans="1:23" ht="25.5" customHeight="1">
      <c r="A246" s="26" t="str">
        <f t="shared" si="9"/>
        <v/>
      </c>
      <c r="B246" s="27" t="str">
        <f t="shared" si="10"/>
        <v/>
      </c>
      <c r="C246" s="28"/>
      <c r="D246" s="29"/>
      <c r="E246" s="29"/>
      <c r="F246" s="29"/>
      <c r="G246" s="29"/>
      <c r="H246" s="30"/>
      <c r="I246" s="30"/>
      <c r="J246" s="31"/>
      <c r="K246" s="29"/>
      <c r="L246" s="31"/>
      <c r="M246" s="29"/>
      <c r="N246" s="32" t="str">
        <f t="shared" si="11"/>
        <v/>
      </c>
      <c r="O246" s="32" t="str">
        <f>IF(OR(C246="",F246=""),"",COUNTIFS(F$6:F246,F246,C$6:C246,"&lt;&gt;"))</f>
        <v/>
      </c>
      <c r="P246" s="33" t="str">
        <f>IF($O246="","",IFERROR(CHOOSE(MATCH($F246,الإعدادات!$B$4:$B$7,0),INDEX('حضور سوريال'!$C$7:$C$36,$O246),INDEX('حضور غبريال'!$C$7:$C$36,$O246),INDEX('حضور رفائيل'!$C$7:$C$36,$O246),INDEX('حضور ميخائيل'!$C$7:$C$36,$O246)),""))</f>
        <v/>
      </c>
      <c r="Q246" s="33" t="str">
        <f>IF($O246="","",IFERROR(CHOOSE(MATCH($F246,الإعدادات!$B$4:$B$7,0),INDEX('حضور سوريال'!$D$7:$D$36,$O246),INDEX('حضور غبريال'!$D$7:$D$36,$O246),INDEX('حضور رفائيل'!$D$7:$D$36,$O246),INDEX('حضور ميخائيل'!$D$7:$D$36,$O246)),""))</f>
        <v/>
      </c>
      <c r="R246" s="34" t="str">
        <f>IF($O246="","",IFERROR(CHOOSE(MATCH($F246,الإعدادات!$B$4:$B$7,0),INDEX('حضور سوريال'!$F$7:$F$36,$O246),INDEX('حضور غبريال'!$F$7:$F$36,$O246),INDEX('حضور رفائيل'!$F$7:$F$36,$O246),INDEX('حضور ميخائيل'!$F$7:$F$36,$O246)),""))</f>
        <v/>
      </c>
      <c r="S246" s="33" t="str">
        <f>IF($O246="","",IFERROR(CHOOSE(MATCH($F246,الإعدادات!$B$4:$B$7,0),INDEX('حضور سوريال'!$G$7:$G$36,$O246),INDEX('حضور غبريال'!$G$7:$G$36,$O246),INDEX('حضور رفائيل'!$G$7:$G$36,$O246),INDEX('حضور ميخائيل'!$G$7:$G$36,$O246)),""))</f>
        <v/>
      </c>
      <c r="T246" s="35" t="str">
        <f>IF($O246="","",IFERROR(CHOOSE(MATCH($F246,الإعدادات!$B$4:$B$7,0),INDEX('حضور سوريال'!$H$7:$H$36,$O246),INDEX('حضور غبريال'!$H$7:$H$36,$O246),INDEX('حضور رفائيل'!$H$7:$H$36,$O246),INDEX('حضور ميخائيل'!$H$7:$H$36,$O246)),""))</f>
        <v/>
      </c>
      <c r="U246" s="36" t="str">
        <f>IF($O246="","",IFERROR(CHOOSE(MATCH($F246,الإعدادات!$B$4:$B$7,0),INDEX('حضور سوريال'!$I$7:$I$36,$O246),INDEX('حضور غبريال'!$I$7:$I$36,$O246),INDEX('حضور رفائيل'!$I$7:$I$36,$O246),INDEX('حضور ميخائيل'!$I$7:$I$36,$O246)),""))</f>
        <v/>
      </c>
      <c r="V246" t="str">
        <f>IF($O246="","",IFERROR(CHOOSE(MATCH($F246,الإعدادات!$B$4:$B$7,0),INDEX('حضور سوريال'!$BM$7:$BM$36,$O246),INDEX('حضور غبريال'!$BM$7:$BM$36,$O246),INDEX('حضور رفائيل'!$BM$7:$BM$36,$O246),INDEX('حضور ميخائيل'!$BM$7:$BM$36,$O246)),""))</f>
        <v/>
      </c>
      <c r="W246" t="str">
        <f>IF(OR(V246=3,V246=4),COUNTIFS(V$6:V246,3)+COUNTIFS(V$6:V246,4),"")</f>
        <v/>
      </c>
    </row>
    <row r="247" spans="1:23" ht="25.5" customHeight="1">
      <c r="A247" s="26" t="str">
        <f t="shared" si="9"/>
        <v/>
      </c>
      <c r="B247" s="27" t="str">
        <f t="shared" si="10"/>
        <v/>
      </c>
      <c r="C247" s="28"/>
      <c r="D247" s="29"/>
      <c r="E247" s="29"/>
      <c r="F247" s="29"/>
      <c r="G247" s="29"/>
      <c r="H247" s="30"/>
      <c r="I247" s="30"/>
      <c r="J247" s="31"/>
      <c r="K247" s="29"/>
      <c r="L247" s="31"/>
      <c r="M247" s="29"/>
      <c r="N247" s="32" t="str">
        <f t="shared" si="11"/>
        <v/>
      </c>
      <c r="O247" s="32" t="str">
        <f>IF(OR(C247="",F247=""),"",COUNTIFS(F$6:F247,F247,C$6:C247,"&lt;&gt;"))</f>
        <v/>
      </c>
      <c r="P247" s="33" t="str">
        <f>IF($O247="","",IFERROR(CHOOSE(MATCH($F247,الإعدادات!$B$4:$B$7,0),INDEX('حضور سوريال'!$C$7:$C$36,$O247),INDEX('حضور غبريال'!$C$7:$C$36,$O247),INDEX('حضور رفائيل'!$C$7:$C$36,$O247),INDEX('حضور ميخائيل'!$C$7:$C$36,$O247)),""))</f>
        <v/>
      </c>
      <c r="Q247" s="33" t="str">
        <f>IF($O247="","",IFERROR(CHOOSE(MATCH($F247,الإعدادات!$B$4:$B$7,0),INDEX('حضور سوريال'!$D$7:$D$36,$O247),INDEX('حضور غبريال'!$D$7:$D$36,$O247),INDEX('حضور رفائيل'!$D$7:$D$36,$O247),INDEX('حضور ميخائيل'!$D$7:$D$36,$O247)),""))</f>
        <v/>
      </c>
      <c r="R247" s="34" t="str">
        <f>IF($O247="","",IFERROR(CHOOSE(MATCH($F247,الإعدادات!$B$4:$B$7,0),INDEX('حضور سوريال'!$F$7:$F$36,$O247),INDEX('حضور غبريال'!$F$7:$F$36,$O247),INDEX('حضور رفائيل'!$F$7:$F$36,$O247),INDEX('حضور ميخائيل'!$F$7:$F$36,$O247)),""))</f>
        <v/>
      </c>
      <c r="S247" s="33" t="str">
        <f>IF($O247="","",IFERROR(CHOOSE(MATCH($F247,الإعدادات!$B$4:$B$7,0),INDEX('حضور سوريال'!$G$7:$G$36,$O247),INDEX('حضور غبريال'!$G$7:$G$36,$O247),INDEX('حضور رفائيل'!$G$7:$G$36,$O247),INDEX('حضور ميخائيل'!$G$7:$G$36,$O247)),""))</f>
        <v/>
      </c>
      <c r="T247" s="35" t="str">
        <f>IF($O247="","",IFERROR(CHOOSE(MATCH($F247,الإعدادات!$B$4:$B$7,0),INDEX('حضور سوريال'!$H$7:$H$36,$O247),INDEX('حضور غبريال'!$H$7:$H$36,$O247),INDEX('حضور رفائيل'!$H$7:$H$36,$O247),INDEX('حضور ميخائيل'!$H$7:$H$36,$O247)),""))</f>
        <v/>
      </c>
      <c r="U247" s="36" t="str">
        <f>IF($O247="","",IFERROR(CHOOSE(MATCH($F247,الإعدادات!$B$4:$B$7,0),INDEX('حضور سوريال'!$I$7:$I$36,$O247),INDEX('حضور غبريال'!$I$7:$I$36,$O247),INDEX('حضور رفائيل'!$I$7:$I$36,$O247),INDEX('حضور ميخائيل'!$I$7:$I$36,$O247)),""))</f>
        <v/>
      </c>
      <c r="V247" t="str">
        <f>IF($O247="","",IFERROR(CHOOSE(MATCH($F247,الإعدادات!$B$4:$B$7,0),INDEX('حضور سوريال'!$BM$7:$BM$36,$O247),INDEX('حضور غبريال'!$BM$7:$BM$36,$O247),INDEX('حضور رفائيل'!$BM$7:$BM$36,$O247),INDEX('حضور ميخائيل'!$BM$7:$BM$36,$O247)),""))</f>
        <v/>
      </c>
      <c r="W247" t="str">
        <f>IF(OR(V247=3,V247=4),COUNTIFS(V$6:V247,3)+COUNTIFS(V$6:V247,4),"")</f>
        <v/>
      </c>
    </row>
    <row r="248" spans="1:23" ht="25.5" customHeight="1">
      <c r="A248" s="26" t="str">
        <f t="shared" si="9"/>
        <v/>
      </c>
      <c r="B248" s="27" t="str">
        <f t="shared" si="10"/>
        <v/>
      </c>
      <c r="C248" s="28"/>
      <c r="D248" s="29"/>
      <c r="E248" s="29"/>
      <c r="F248" s="29"/>
      <c r="G248" s="29"/>
      <c r="H248" s="30"/>
      <c r="I248" s="30"/>
      <c r="J248" s="31"/>
      <c r="K248" s="29"/>
      <c r="L248" s="31"/>
      <c r="M248" s="29"/>
      <c r="N248" s="32" t="str">
        <f t="shared" si="11"/>
        <v/>
      </c>
      <c r="O248" s="32" t="str">
        <f>IF(OR(C248="",F248=""),"",COUNTIFS(F$6:F248,F248,C$6:C248,"&lt;&gt;"))</f>
        <v/>
      </c>
      <c r="P248" s="33" t="str">
        <f>IF($O248="","",IFERROR(CHOOSE(MATCH($F248,الإعدادات!$B$4:$B$7,0),INDEX('حضور سوريال'!$C$7:$C$36,$O248),INDEX('حضور غبريال'!$C$7:$C$36,$O248),INDEX('حضور رفائيل'!$C$7:$C$36,$O248),INDEX('حضور ميخائيل'!$C$7:$C$36,$O248)),""))</f>
        <v/>
      </c>
      <c r="Q248" s="33" t="str">
        <f>IF($O248="","",IFERROR(CHOOSE(MATCH($F248,الإعدادات!$B$4:$B$7,0),INDEX('حضور سوريال'!$D$7:$D$36,$O248),INDEX('حضور غبريال'!$D$7:$D$36,$O248),INDEX('حضور رفائيل'!$D$7:$D$36,$O248),INDEX('حضور ميخائيل'!$D$7:$D$36,$O248)),""))</f>
        <v/>
      </c>
      <c r="R248" s="34" t="str">
        <f>IF($O248="","",IFERROR(CHOOSE(MATCH($F248,الإعدادات!$B$4:$B$7,0),INDEX('حضور سوريال'!$F$7:$F$36,$O248),INDEX('حضور غبريال'!$F$7:$F$36,$O248),INDEX('حضور رفائيل'!$F$7:$F$36,$O248),INDEX('حضور ميخائيل'!$F$7:$F$36,$O248)),""))</f>
        <v/>
      </c>
      <c r="S248" s="33" t="str">
        <f>IF($O248="","",IFERROR(CHOOSE(MATCH($F248,الإعدادات!$B$4:$B$7,0),INDEX('حضور سوريال'!$G$7:$G$36,$O248),INDEX('حضور غبريال'!$G$7:$G$36,$O248),INDEX('حضور رفائيل'!$G$7:$G$36,$O248),INDEX('حضور ميخائيل'!$G$7:$G$36,$O248)),""))</f>
        <v/>
      </c>
      <c r="T248" s="35" t="str">
        <f>IF($O248="","",IFERROR(CHOOSE(MATCH($F248,الإعدادات!$B$4:$B$7,0),INDEX('حضور سوريال'!$H$7:$H$36,$O248),INDEX('حضور غبريال'!$H$7:$H$36,$O248),INDEX('حضور رفائيل'!$H$7:$H$36,$O248),INDEX('حضور ميخائيل'!$H$7:$H$36,$O248)),""))</f>
        <v/>
      </c>
      <c r="U248" s="36" t="str">
        <f>IF($O248="","",IFERROR(CHOOSE(MATCH($F248,الإعدادات!$B$4:$B$7,0),INDEX('حضور سوريال'!$I$7:$I$36,$O248),INDEX('حضور غبريال'!$I$7:$I$36,$O248),INDEX('حضور رفائيل'!$I$7:$I$36,$O248),INDEX('حضور ميخائيل'!$I$7:$I$36,$O248)),""))</f>
        <v/>
      </c>
      <c r="V248" t="str">
        <f>IF($O248="","",IFERROR(CHOOSE(MATCH($F248,الإعدادات!$B$4:$B$7,0),INDEX('حضور سوريال'!$BM$7:$BM$36,$O248),INDEX('حضور غبريال'!$BM$7:$BM$36,$O248),INDEX('حضور رفائيل'!$BM$7:$BM$36,$O248),INDEX('حضور ميخائيل'!$BM$7:$BM$36,$O248)),""))</f>
        <v/>
      </c>
      <c r="W248" t="str">
        <f>IF(OR(V248=3,V248=4),COUNTIFS(V$6:V248,3)+COUNTIFS(V$6:V248,4),"")</f>
        <v/>
      </c>
    </row>
    <row r="249" spans="1:23" ht="25.5" customHeight="1">
      <c r="A249" s="26" t="str">
        <f t="shared" si="9"/>
        <v/>
      </c>
      <c r="B249" s="27" t="str">
        <f t="shared" si="10"/>
        <v/>
      </c>
      <c r="C249" s="28"/>
      <c r="D249" s="29"/>
      <c r="E249" s="29"/>
      <c r="F249" s="29"/>
      <c r="G249" s="29"/>
      <c r="H249" s="30"/>
      <c r="I249" s="30"/>
      <c r="J249" s="31"/>
      <c r="K249" s="29"/>
      <c r="L249" s="31"/>
      <c r="M249" s="29"/>
      <c r="N249" s="32" t="str">
        <f t="shared" si="11"/>
        <v/>
      </c>
      <c r="O249" s="32" t="str">
        <f>IF(OR(C249="",F249=""),"",COUNTIFS(F$6:F249,F249,C$6:C249,"&lt;&gt;"))</f>
        <v/>
      </c>
      <c r="P249" s="33" t="str">
        <f>IF($O249="","",IFERROR(CHOOSE(MATCH($F249,الإعدادات!$B$4:$B$7,0),INDEX('حضور سوريال'!$C$7:$C$36,$O249),INDEX('حضور غبريال'!$C$7:$C$36,$O249),INDEX('حضور رفائيل'!$C$7:$C$36,$O249),INDEX('حضور ميخائيل'!$C$7:$C$36,$O249)),""))</f>
        <v/>
      </c>
      <c r="Q249" s="33" t="str">
        <f>IF($O249="","",IFERROR(CHOOSE(MATCH($F249,الإعدادات!$B$4:$B$7,0),INDEX('حضور سوريال'!$D$7:$D$36,$O249),INDEX('حضور غبريال'!$D$7:$D$36,$O249),INDEX('حضور رفائيل'!$D$7:$D$36,$O249),INDEX('حضور ميخائيل'!$D$7:$D$36,$O249)),""))</f>
        <v/>
      </c>
      <c r="R249" s="34" t="str">
        <f>IF($O249="","",IFERROR(CHOOSE(MATCH($F249,الإعدادات!$B$4:$B$7,0),INDEX('حضور سوريال'!$F$7:$F$36,$O249),INDEX('حضور غبريال'!$F$7:$F$36,$O249),INDEX('حضور رفائيل'!$F$7:$F$36,$O249),INDEX('حضور ميخائيل'!$F$7:$F$36,$O249)),""))</f>
        <v/>
      </c>
      <c r="S249" s="33" t="str">
        <f>IF($O249="","",IFERROR(CHOOSE(MATCH($F249,الإعدادات!$B$4:$B$7,0),INDEX('حضور سوريال'!$G$7:$G$36,$O249),INDEX('حضور غبريال'!$G$7:$G$36,$O249),INDEX('حضور رفائيل'!$G$7:$G$36,$O249),INDEX('حضور ميخائيل'!$G$7:$G$36,$O249)),""))</f>
        <v/>
      </c>
      <c r="T249" s="35" t="str">
        <f>IF($O249="","",IFERROR(CHOOSE(MATCH($F249,الإعدادات!$B$4:$B$7,0),INDEX('حضور سوريال'!$H$7:$H$36,$O249),INDEX('حضور غبريال'!$H$7:$H$36,$O249),INDEX('حضور رفائيل'!$H$7:$H$36,$O249),INDEX('حضور ميخائيل'!$H$7:$H$36,$O249)),""))</f>
        <v/>
      </c>
      <c r="U249" s="36" t="str">
        <f>IF($O249="","",IFERROR(CHOOSE(MATCH($F249,الإعدادات!$B$4:$B$7,0),INDEX('حضور سوريال'!$I$7:$I$36,$O249),INDEX('حضور غبريال'!$I$7:$I$36,$O249),INDEX('حضور رفائيل'!$I$7:$I$36,$O249),INDEX('حضور ميخائيل'!$I$7:$I$36,$O249)),""))</f>
        <v/>
      </c>
      <c r="V249" t="str">
        <f>IF($O249="","",IFERROR(CHOOSE(MATCH($F249,الإعدادات!$B$4:$B$7,0),INDEX('حضور سوريال'!$BM$7:$BM$36,$O249),INDEX('حضور غبريال'!$BM$7:$BM$36,$O249),INDEX('حضور رفائيل'!$BM$7:$BM$36,$O249),INDEX('حضور ميخائيل'!$BM$7:$BM$36,$O249)),""))</f>
        <v/>
      </c>
      <c r="W249" t="str">
        <f>IF(OR(V249=3,V249=4),COUNTIFS(V$6:V249,3)+COUNTIFS(V$6:V249,4),"")</f>
        <v/>
      </c>
    </row>
    <row r="250" spans="1:23" ht="25.5" customHeight="1">
      <c r="A250" s="26" t="str">
        <f t="shared" si="9"/>
        <v/>
      </c>
      <c r="B250" s="27" t="str">
        <f t="shared" si="10"/>
        <v/>
      </c>
      <c r="C250" s="28"/>
      <c r="D250" s="29"/>
      <c r="E250" s="29"/>
      <c r="F250" s="29"/>
      <c r="G250" s="29"/>
      <c r="H250" s="30"/>
      <c r="I250" s="30"/>
      <c r="J250" s="31"/>
      <c r="K250" s="29"/>
      <c r="L250" s="31"/>
      <c r="M250" s="29"/>
      <c r="N250" s="32" t="str">
        <f t="shared" si="11"/>
        <v/>
      </c>
      <c r="O250" s="32" t="str">
        <f>IF(OR(C250="",F250=""),"",COUNTIFS(F$6:F250,F250,C$6:C250,"&lt;&gt;"))</f>
        <v/>
      </c>
      <c r="P250" s="33" t="str">
        <f>IF($O250="","",IFERROR(CHOOSE(MATCH($F250,الإعدادات!$B$4:$B$7,0),INDEX('حضور سوريال'!$C$7:$C$36,$O250),INDEX('حضور غبريال'!$C$7:$C$36,$O250),INDEX('حضور رفائيل'!$C$7:$C$36,$O250),INDEX('حضور ميخائيل'!$C$7:$C$36,$O250)),""))</f>
        <v/>
      </c>
      <c r="Q250" s="33" t="str">
        <f>IF($O250="","",IFERROR(CHOOSE(MATCH($F250,الإعدادات!$B$4:$B$7,0),INDEX('حضور سوريال'!$D$7:$D$36,$O250),INDEX('حضور غبريال'!$D$7:$D$36,$O250),INDEX('حضور رفائيل'!$D$7:$D$36,$O250),INDEX('حضور ميخائيل'!$D$7:$D$36,$O250)),""))</f>
        <v/>
      </c>
      <c r="R250" s="34" t="str">
        <f>IF($O250="","",IFERROR(CHOOSE(MATCH($F250,الإعدادات!$B$4:$B$7,0),INDEX('حضور سوريال'!$F$7:$F$36,$O250),INDEX('حضور غبريال'!$F$7:$F$36,$O250),INDEX('حضور رفائيل'!$F$7:$F$36,$O250),INDEX('حضور ميخائيل'!$F$7:$F$36,$O250)),""))</f>
        <v/>
      </c>
      <c r="S250" s="33" t="str">
        <f>IF($O250="","",IFERROR(CHOOSE(MATCH($F250,الإعدادات!$B$4:$B$7,0),INDEX('حضور سوريال'!$G$7:$G$36,$O250),INDEX('حضور غبريال'!$G$7:$G$36,$O250),INDEX('حضور رفائيل'!$G$7:$G$36,$O250),INDEX('حضور ميخائيل'!$G$7:$G$36,$O250)),""))</f>
        <v/>
      </c>
      <c r="T250" s="35" t="str">
        <f>IF($O250="","",IFERROR(CHOOSE(MATCH($F250,الإعدادات!$B$4:$B$7,0),INDEX('حضور سوريال'!$H$7:$H$36,$O250),INDEX('حضور غبريال'!$H$7:$H$36,$O250),INDEX('حضور رفائيل'!$H$7:$H$36,$O250),INDEX('حضور ميخائيل'!$H$7:$H$36,$O250)),""))</f>
        <v/>
      </c>
      <c r="U250" s="36" t="str">
        <f>IF($O250="","",IFERROR(CHOOSE(MATCH($F250,الإعدادات!$B$4:$B$7,0),INDEX('حضور سوريال'!$I$7:$I$36,$O250),INDEX('حضور غبريال'!$I$7:$I$36,$O250),INDEX('حضور رفائيل'!$I$7:$I$36,$O250),INDEX('حضور ميخائيل'!$I$7:$I$36,$O250)),""))</f>
        <v/>
      </c>
      <c r="V250" t="str">
        <f>IF($O250="","",IFERROR(CHOOSE(MATCH($F250,الإعدادات!$B$4:$B$7,0),INDEX('حضور سوريال'!$BM$7:$BM$36,$O250),INDEX('حضور غبريال'!$BM$7:$BM$36,$O250),INDEX('حضور رفائيل'!$BM$7:$BM$36,$O250),INDEX('حضور ميخائيل'!$BM$7:$BM$36,$O250)),""))</f>
        <v/>
      </c>
      <c r="W250" t="str">
        <f>IF(OR(V250=3,V250=4),COUNTIFS(V$6:V250,3)+COUNTIFS(V$6:V250,4),"")</f>
        <v/>
      </c>
    </row>
    <row r="251" spans="1:23" ht="25.5" customHeight="1">
      <c r="A251" s="26" t="str">
        <f t="shared" si="9"/>
        <v/>
      </c>
      <c r="B251" s="27" t="str">
        <f t="shared" si="10"/>
        <v/>
      </c>
      <c r="C251" s="28"/>
      <c r="D251" s="29"/>
      <c r="E251" s="29"/>
      <c r="F251" s="29"/>
      <c r="G251" s="29"/>
      <c r="H251" s="30"/>
      <c r="I251" s="30"/>
      <c r="J251" s="31"/>
      <c r="K251" s="29"/>
      <c r="L251" s="31"/>
      <c r="M251" s="29"/>
      <c r="N251" s="32" t="str">
        <f t="shared" si="11"/>
        <v/>
      </c>
      <c r="O251" s="32" t="str">
        <f>IF(OR(C251="",F251=""),"",COUNTIFS(F$6:F251,F251,C$6:C251,"&lt;&gt;"))</f>
        <v/>
      </c>
      <c r="P251" s="33" t="str">
        <f>IF($O251="","",IFERROR(CHOOSE(MATCH($F251,الإعدادات!$B$4:$B$7,0),INDEX('حضور سوريال'!$C$7:$C$36,$O251),INDEX('حضور غبريال'!$C$7:$C$36,$O251),INDEX('حضور رفائيل'!$C$7:$C$36,$O251),INDEX('حضور ميخائيل'!$C$7:$C$36,$O251)),""))</f>
        <v/>
      </c>
      <c r="Q251" s="33" t="str">
        <f>IF($O251="","",IFERROR(CHOOSE(MATCH($F251,الإعدادات!$B$4:$B$7,0),INDEX('حضور سوريال'!$D$7:$D$36,$O251),INDEX('حضور غبريال'!$D$7:$D$36,$O251),INDEX('حضور رفائيل'!$D$7:$D$36,$O251),INDEX('حضور ميخائيل'!$D$7:$D$36,$O251)),""))</f>
        <v/>
      </c>
      <c r="R251" s="34" t="str">
        <f>IF($O251="","",IFERROR(CHOOSE(MATCH($F251,الإعدادات!$B$4:$B$7,0),INDEX('حضور سوريال'!$F$7:$F$36,$O251),INDEX('حضور غبريال'!$F$7:$F$36,$O251),INDEX('حضور رفائيل'!$F$7:$F$36,$O251),INDEX('حضور ميخائيل'!$F$7:$F$36,$O251)),""))</f>
        <v/>
      </c>
      <c r="S251" s="33" t="str">
        <f>IF($O251="","",IFERROR(CHOOSE(MATCH($F251,الإعدادات!$B$4:$B$7,0),INDEX('حضور سوريال'!$G$7:$G$36,$O251),INDEX('حضور غبريال'!$G$7:$G$36,$O251),INDEX('حضور رفائيل'!$G$7:$G$36,$O251),INDEX('حضور ميخائيل'!$G$7:$G$36,$O251)),""))</f>
        <v/>
      </c>
      <c r="T251" s="35" t="str">
        <f>IF($O251="","",IFERROR(CHOOSE(MATCH($F251,الإعدادات!$B$4:$B$7,0),INDEX('حضور سوريال'!$H$7:$H$36,$O251),INDEX('حضور غبريال'!$H$7:$H$36,$O251),INDEX('حضور رفائيل'!$H$7:$H$36,$O251),INDEX('حضور ميخائيل'!$H$7:$H$36,$O251)),""))</f>
        <v/>
      </c>
      <c r="U251" s="36" t="str">
        <f>IF($O251="","",IFERROR(CHOOSE(MATCH($F251,الإعدادات!$B$4:$B$7,0),INDEX('حضور سوريال'!$I$7:$I$36,$O251),INDEX('حضور غبريال'!$I$7:$I$36,$O251),INDEX('حضور رفائيل'!$I$7:$I$36,$O251),INDEX('حضور ميخائيل'!$I$7:$I$36,$O251)),""))</f>
        <v/>
      </c>
      <c r="V251" t="str">
        <f>IF($O251="","",IFERROR(CHOOSE(MATCH($F251,الإعدادات!$B$4:$B$7,0),INDEX('حضور سوريال'!$BM$7:$BM$36,$O251),INDEX('حضور غبريال'!$BM$7:$BM$36,$O251),INDEX('حضور رفائيل'!$BM$7:$BM$36,$O251),INDEX('حضور ميخائيل'!$BM$7:$BM$36,$O251)),""))</f>
        <v/>
      </c>
      <c r="W251" t="str">
        <f>IF(OR(V251=3,V251=4),COUNTIFS(V$6:V251,3)+COUNTIFS(V$6:V251,4),"")</f>
        <v/>
      </c>
    </row>
    <row r="252" spans="1:23" ht="25.5" customHeight="1">
      <c r="A252" s="26" t="str">
        <f t="shared" si="9"/>
        <v/>
      </c>
      <c r="B252" s="27" t="str">
        <f t="shared" si="10"/>
        <v/>
      </c>
      <c r="C252" s="28"/>
      <c r="D252" s="29"/>
      <c r="E252" s="29"/>
      <c r="F252" s="29"/>
      <c r="G252" s="29"/>
      <c r="H252" s="30"/>
      <c r="I252" s="30"/>
      <c r="J252" s="31"/>
      <c r="K252" s="29"/>
      <c r="L252" s="31"/>
      <c r="M252" s="29"/>
      <c r="N252" s="32" t="str">
        <f t="shared" si="11"/>
        <v/>
      </c>
      <c r="O252" s="32" t="str">
        <f>IF(OR(C252="",F252=""),"",COUNTIFS(F$6:F252,F252,C$6:C252,"&lt;&gt;"))</f>
        <v/>
      </c>
      <c r="P252" s="33" t="str">
        <f>IF($O252="","",IFERROR(CHOOSE(MATCH($F252,الإعدادات!$B$4:$B$7,0),INDEX('حضور سوريال'!$C$7:$C$36,$O252),INDEX('حضور غبريال'!$C$7:$C$36,$O252),INDEX('حضور رفائيل'!$C$7:$C$36,$O252),INDEX('حضور ميخائيل'!$C$7:$C$36,$O252)),""))</f>
        <v/>
      </c>
      <c r="Q252" s="33" t="str">
        <f>IF($O252="","",IFERROR(CHOOSE(MATCH($F252,الإعدادات!$B$4:$B$7,0),INDEX('حضور سوريال'!$D$7:$D$36,$O252),INDEX('حضور غبريال'!$D$7:$D$36,$O252),INDEX('حضور رفائيل'!$D$7:$D$36,$O252),INDEX('حضور ميخائيل'!$D$7:$D$36,$O252)),""))</f>
        <v/>
      </c>
      <c r="R252" s="34" t="str">
        <f>IF($O252="","",IFERROR(CHOOSE(MATCH($F252,الإعدادات!$B$4:$B$7,0),INDEX('حضور سوريال'!$F$7:$F$36,$O252),INDEX('حضور غبريال'!$F$7:$F$36,$O252),INDEX('حضور رفائيل'!$F$7:$F$36,$O252),INDEX('حضور ميخائيل'!$F$7:$F$36,$O252)),""))</f>
        <v/>
      </c>
      <c r="S252" s="33" t="str">
        <f>IF($O252="","",IFERROR(CHOOSE(MATCH($F252,الإعدادات!$B$4:$B$7,0),INDEX('حضور سوريال'!$G$7:$G$36,$O252),INDEX('حضور غبريال'!$G$7:$G$36,$O252),INDEX('حضور رفائيل'!$G$7:$G$36,$O252),INDEX('حضور ميخائيل'!$G$7:$G$36,$O252)),""))</f>
        <v/>
      </c>
      <c r="T252" s="35" t="str">
        <f>IF($O252="","",IFERROR(CHOOSE(MATCH($F252,الإعدادات!$B$4:$B$7,0),INDEX('حضور سوريال'!$H$7:$H$36,$O252),INDEX('حضور غبريال'!$H$7:$H$36,$O252),INDEX('حضور رفائيل'!$H$7:$H$36,$O252),INDEX('حضور ميخائيل'!$H$7:$H$36,$O252)),""))</f>
        <v/>
      </c>
      <c r="U252" s="36" t="str">
        <f>IF($O252="","",IFERROR(CHOOSE(MATCH($F252,الإعدادات!$B$4:$B$7,0),INDEX('حضور سوريال'!$I$7:$I$36,$O252),INDEX('حضور غبريال'!$I$7:$I$36,$O252),INDEX('حضور رفائيل'!$I$7:$I$36,$O252),INDEX('حضور ميخائيل'!$I$7:$I$36,$O252)),""))</f>
        <v/>
      </c>
      <c r="V252" t="str">
        <f>IF($O252="","",IFERROR(CHOOSE(MATCH($F252,الإعدادات!$B$4:$B$7,0),INDEX('حضور سوريال'!$BM$7:$BM$36,$O252),INDEX('حضور غبريال'!$BM$7:$BM$36,$O252),INDEX('حضور رفائيل'!$BM$7:$BM$36,$O252),INDEX('حضور ميخائيل'!$BM$7:$BM$36,$O252)),""))</f>
        <v/>
      </c>
      <c r="W252" t="str">
        <f>IF(OR(V252=3,V252=4),COUNTIFS(V$6:V252,3)+COUNTIFS(V$6:V252,4),"")</f>
        <v/>
      </c>
    </row>
    <row r="253" spans="1:23" ht="25.5" customHeight="1">
      <c r="A253" s="26" t="str">
        <f t="shared" si="9"/>
        <v/>
      </c>
      <c r="B253" s="27" t="str">
        <f t="shared" si="10"/>
        <v/>
      </c>
      <c r="C253" s="28"/>
      <c r="D253" s="29"/>
      <c r="E253" s="29"/>
      <c r="F253" s="29"/>
      <c r="G253" s="29"/>
      <c r="H253" s="30"/>
      <c r="I253" s="30"/>
      <c r="J253" s="31"/>
      <c r="K253" s="29"/>
      <c r="L253" s="31"/>
      <c r="M253" s="29"/>
      <c r="N253" s="32" t="str">
        <f t="shared" si="11"/>
        <v/>
      </c>
      <c r="O253" s="32" t="str">
        <f>IF(OR(C253="",F253=""),"",COUNTIFS(F$6:F253,F253,C$6:C253,"&lt;&gt;"))</f>
        <v/>
      </c>
      <c r="P253" s="33" t="str">
        <f>IF($O253="","",IFERROR(CHOOSE(MATCH($F253,الإعدادات!$B$4:$B$7,0),INDEX('حضور سوريال'!$C$7:$C$36,$O253),INDEX('حضور غبريال'!$C$7:$C$36,$O253),INDEX('حضور رفائيل'!$C$7:$C$36,$O253),INDEX('حضور ميخائيل'!$C$7:$C$36,$O253)),""))</f>
        <v/>
      </c>
      <c r="Q253" s="33" t="str">
        <f>IF($O253="","",IFERROR(CHOOSE(MATCH($F253,الإعدادات!$B$4:$B$7,0),INDEX('حضور سوريال'!$D$7:$D$36,$O253),INDEX('حضور غبريال'!$D$7:$D$36,$O253),INDEX('حضور رفائيل'!$D$7:$D$36,$O253),INDEX('حضور ميخائيل'!$D$7:$D$36,$O253)),""))</f>
        <v/>
      </c>
      <c r="R253" s="34" t="str">
        <f>IF($O253="","",IFERROR(CHOOSE(MATCH($F253,الإعدادات!$B$4:$B$7,0),INDEX('حضور سوريال'!$F$7:$F$36,$O253),INDEX('حضور غبريال'!$F$7:$F$36,$O253),INDEX('حضور رفائيل'!$F$7:$F$36,$O253),INDEX('حضور ميخائيل'!$F$7:$F$36,$O253)),""))</f>
        <v/>
      </c>
      <c r="S253" s="33" t="str">
        <f>IF($O253="","",IFERROR(CHOOSE(MATCH($F253,الإعدادات!$B$4:$B$7,0),INDEX('حضور سوريال'!$G$7:$G$36,$O253),INDEX('حضور غبريال'!$G$7:$G$36,$O253),INDEX('حضور رفائيل'!$G$7:$G$36,$O253),INDEX('حضور ميخائيل'!$G$7:$G$36,$O253)),""))</f>
        <v/>
      </c>
      <c r="T253" s="35" t="str">
        <f>IF($O253="","",IFERROR(CHOOSE(MATCH($F253,الإعدادات!$B$4:$B$7,0),INDEX('حضور سوريال'!$H$7:$H$36,$O253),INDEX('حضور غبريال'!$H$7:$H$36,$O253),INDEX('حضور رفائيل'!$H$7:$H$36,$O253),INDEX('حضور ميخائيل'!$H$7:$H$36,$O253)),""))</f>
        <v/>
      </c>
      <c r="U253" s="36" t="str">
        <f>IF($O253="","",IFERROR(CHOOSE(MATCH($F253,الإعدادات!$B$4:$B$7,0),INDEX('حضور سوريال'!$I$7:$I$36,$O253),INDEX('حضور غبريال'!$I$7:$I$36,$O253),INDEX('حضور رفائيل'!$I$7:$I$36,$O253),INDEX('حضور ميخائيل'!$I$7:$I$36,$O253)),""))</f>
        <v/>
      </c>
      <c r="V253" t="str">
        <f>IF($O253="","",IFERROR(CHOOSE(MATCH($F253,الإعدادات!$B$4:$B$7,0),INDEX('حضور سوريال'!$BM$7:$BM$36,$O253),INDEX('حضور غبريال'!$BM$7:$BM$36,$O253),INDEX('حضور رفائيل'!$BM$7:$BM$36,$O253),INDEX('حضور ميخائيل'!$BM$7:$BM$36,$O253)),""))</f>
        <v/>
      </c>
      <c r="W253" t="str">
        <f>IF(OR(V253=3,V253=4),COUNTIFS(V$6:V253,3)+COUNTIFS(V$6:V253,4),"")</f>
        <v/>
      </c>
    </row>
    <row r="254" spans="1:23" ht="25.5" customHeight="1">
      <c r="A254" s="26" t="str">
        <f t="shared" si="9"/>
        <v/>
      </c>
      <c r="B254" s="27" t="str">
        <f t="shared" si="10"/>
        <v/>
      </c>
      <c r="C254" s="28"/>
      <c r="D254" s="29"/>
      <c r="E254" s="29"/>
      <c r="F254" s="29"/>
      <c r="G254" s="29"/>
      <c r="H254" s="30"/>
      <c r="I254" s="30"/>
      <c r="J254" s="31"/>
      <c r="K254" s="29"/>
      <c r="L254" s="31"/>
      <c r="M254" s="29"/>
      <c r="N254" s="32" t="str">
        <f t="shared" si="11"/>
        <v/>
      </c>
      <c r="O254" s="32" t="str">
        <f>IF(OR(C254="",F254=""),"",COUNTIFS(F$6:F254,F254,C$6:C254,"&lt;&gt;"))</f>
        <v/>
      </c>
      <c r="P254" s="33" t="str">
        <f>IF($O254="","",IFERROR(CHOOSE(MATCH($F254,الإعدادات!$B$4:$B$7,0),INDEX('حضور سوريال'!$C$7:$C$36,$O254),INDEX('حضور غبريال'!$C$7:$C$36,$O254),INDEX('حضور رفائيل'!$C$7:$C$36,$O254),INDEX('حضور ميخائيل'!$C$7:$C$36,$O254)),""))</f>
        <v/>
      </c>
      <c r="Q254" s="33" t="str">
        <f>IF($O254="","",IFERROR(CHOOSE(MATCH($F254,الإعدادات!$B$4:$B$7,0),INDEX('حضور سوريال'!$D$7:$D$36,$O254),INDEX('حضور غبريال'!$D$7:$D$36,$O254),INDEX('حضور رفائيل'!$D$7:$D$36,$O254),INDEX('حضور ميخائيل'!$D$7:$D$36,$O254)),""))</f>
        <v/>
      </c>
      <c r="R254" s="34" t="str">
        <f>IF($O254="","",IFERROR(CHOOSE(MATCH($F254,الإعدادات!$B$4:$B$7,0),INDEX('حضور سوريال'!$F$7:$F$36,$O254),INDEX('حضور غبريال'!$F$7:$F$36,$O254),INDEX('حضور رفائيل'!$F$7:$F$36,$O254),INDEX('حضور ميخائيل'!$F$7:$F$36,$O254)),""))</f>
        <v/>
      </c>
      <c r="S254" s="33" t="str">
        <f>IF($O254="","",IFERROR(CHOOSE(MATCH($F254,الإعدادات!$B$4:$B$7,0),INDEX('حضور سوريال'!$G$7:$G$36,$O254),INDEX('حضور غبريال'!$G$7:$G$36,$O254),INDEX('حضور رفائيل'!$G$7:$G$36,$O254),INDEX('حضور ميخائيل'!$G$7:$G$36,$O254)),""))</f>
        <v/>
      </c>
      <c r="T254" s="35" t="str">
        <f>IF($O254="","",IFERROR(CHOOSE(MATCH($F254,الإعدادات!$B$4:$B$7,0),INDEX('حضور سوريال'!$H$7:$H$36,$O254),INDEX('حضور غبريال'!$H$7:$H$36,$O254),INDEX('حضور رفائيل'!$H$7:$H$36,$O254),INDEX('حضور ميخائيل'!$H$7:$H$36,$O254)),""))</f>
        <v/>
      </c>
      <c r="U254" s="36" t="str">
        <f>IF($O254="","",IFERROR(CHOOSE(MATCH($F254,الإعدادات!$B$4:$B$7,0),INDEX('حضور سوريال'!$I$7:$I$36,$O254),INDEX('حضور غبريال'!$I$7:$I$36,$O254),INDEX('حضور رفائيل'!$I$7:$I$36,$O254),INDEX('حضور ميخائيل'!$I$7:$I$36,$O254)),""))</f>
        <v/>
      </c>
      <c r="V254" t="str">
        <f>IF($O254="","",IFERROR(CHOOSE(MATCH($F254,الإعدادات!$B$4:$B$7,0),INDEX('حضور سوريال'!$BM$7:$BM$36,$O254),INDEX('حضور غبريال'!$BM$7:$BM$36,$O254),INDEX('حضور رفائيل'!$BM$7:$BM$36,$O254),INDEX('حضور ميخائيل'!$BM$7:$BM$36,$O254)),""))</f>
        <v/>
      </c>
      <c r="W254" t="str">
        <f>IF(OR(V254=3,V254=4),COUNTIFS(V$6:V254,3)+COUNTIFS(V$6:V254,4),"")</f>
        <v/>
      </c>
    </row>
    <row r="255" spans="1:23" ht="25.5" customHeight="1">
      <c r="A255" s="26" t="str">
        <f t="shared" si="9"/>
        <v/>
      </c>
      <c r="B255" s="27" t="str">
        <f t="shared" si="10"/>
        <v/>
      </c>
      <c r="C255" s="28"/>
      <c r="D255" s="29"/>
      <c r="E255" s="29"/>
      <c r="F255" s="29"/>
      <c r="G255" s="29"/>
      <c r="H255" s="30"/>
      <c r="I255" s="30"/>
      <c r="J255" s="31"/>
      <c r="K255" s="29"/>
      <c r="L255" s="31"/>
      <c r="M255" s="29"/>
      <c r="N255" s="32" t="str">
        <f t="shared" si="11"/>
        <v/>
      </c>
      <c r="O255" s="32" t="str">
        <f>IF(OR(C255="",F255=""),"",COUNTIFS(F$6:F255,F255,C$6:C255,"&lt;&gt;"))</f>
        <v/>
      </c>
      <c r="P255" s="33" t="str">
        <f>IF($O255="","",IFERROR(CHOOSE(MATCH($F255,الإعدادات!$B$4:$B$7,0),INDEX('حضور سوريال'!$C$7:$C$36,$O255),INDEX('حضور غبريال'!$C$7:$C$36,$O255),INDEX('حضور رفائيل'!$C$7:$C$36,$O255),INDEX('حضور ميخائيل'!$C$7:$C$36,$O255)),""))</f>
        <v/>
      </c>
      <c r="Q255" s="33" t="str">
        <f>IF($O255="","",IFERROR(CHOOSE(MATCH($F255,الإعدادات!$B$4:$B$7,0),INDEX('حضور سوريال'!$D$7:$D$36,$O255),INDEX('حضور غبريال'!$D$7:$D$36,$O255),INDEX('حضور رفائيل'!$D$7:$D$36,$O255),INDEX('حضور ميخائيل'!$D$7:$D$36,$O255)),""))</f>
        <v/>
      </c>
      <c r="R255" s="34" t="str">
        <f>IF($O255="","",IFERROR(CHOOSE(MATCH($F255,الإعدادات!$B$4:$B$7,0),INDEX('حضور سوريال'!$F$7:$F$36,$O255),INDEX('حضور غبريال'!$F$7:$F$36,$O255),INDEX('حضور رفائيل'!$F$7:$F$36,$O255),INDEX('حضور ميخائيل'!$F$7:$F$36,$O255)),""))</f>
        <v/>
      </c>
      <c r="S255" s="33" t="str">
        <f>IF($O255="","",IFERROR(CHOOSE(MATCH($F255,الإعدادات!$B$4:$B$7,0),INDEX('حضور سوريال'!$G$7:$G$36,$O255),INDEX('حضور غبريال'!$G$7:$G$36,$O255),INDEX('حضور رفائيل'!$G$7:$G$36,$O255),INDEX('حضور ميخائيل'!$G$7:$G$36,$O255)),""))</f>
        <v/>
      </c>
      <c r="T255" s="35" t="str">
        <f>IF($O255="","",IFERROR(CHOOSE(MATCH($F255,الإعدادات!$B$4:$B$7,0),INDEX('حضور سوريال'!$H$7:$H$36,$O255),INDEX('حضور غبريال'!$H$7:$H$36,$O255),INDEX('حضور رفائيل'!$H$7:$H$36,$O255),INDEX('حضور ميخائيل'!$H$7:$H$36,$O255)),""))</f>
        <v/>
      </c>
      <c r="U255" s="36" t="str">
        <f>IF($O255="","",IFERROR(CHOOSE(MATCH($F255,الإعدادات!$B$4:$B$7,0),INDEX('حضور سوريال'!$I$7:$I$36,$O255),INDEX('حضور غبريال'!$I$7:$I$36,$O255),INDEX('حضور رفائيل'!$I$7:$I$36,$O255),INDEX('حضور ميخائيل'!$I$7:$I$36,$O255)),""))</f>
        <v/>
      </c>
      <c r="V255" t="str">
        <f>IF($O255="","",IFERROR(CHOOSE(MATCH($F255,الإعدادات!$B$4:$B$7,0),INDEX('حضور سوريال'!$BM$7:$BM$36,$O255),INDEX('حضور غبريال'!$BM$7:$BM$36,$O255),INDEX('حضور رفائيل'!$BM$7:$BM$36,$O255),INDEX('حضور ميخائيل'!$BM$7:$BM$36,$O255)),""))</f>
        <v/>
      </c>
      <c r="W255" t="str">
        <f>IF(OR(V255=3,V255=4),COUNTIFS(V$6:V255,3)+COUNTIFS(V$6:V255,4),"")</f>
        <v/>
      </c>
    </row>
    <row r="256" spans="1:23" ht="25.5" customHeight="1">
      <c r="A256" s="26" t="str">
        <f t="shared" si="9"/>
        <v/>
      </c>
      <c r="B256" s="27" t="str">
        <f t="shared" si="10"/>
        <v/>
      </c>
      <c r="C256" s="28"/>
      <c r="D256" s="29"/>
      <c r="E256" s="29"/>
      <c r="F256" s="29"/>
      <c r="G256" s="29"/>
      <c r="H256" s="30"/>
      <c r="I256" s="30"/>
      <c r="J256" s="31"/>
      <c r="K256" s="29"/>
      <c r="L256" s="31"/>
      <c r="M256" s="29"/>
      <c r="N256" s="32" t="str">
        <f t="shared" si="11"/>
        <v/>
      </c>
      <c r="O256" s="32" t="str">
        <f>IF(OR(C256="",F256=""),"",COUNTIFS(F$6:F256,F256,C$6:C256,"&lt;&gt;"))</f>
        <v/>
      </c>
      <c r="P256" s="33" t="str">
        <f>IF($O256="","",IFERROR(CHOOSE(MATCH($F256,الإعدادات!$B$4:$B$7,0),INDEX('حضور سوريال'!$C$7:$C$36,$O256),INDEX('حضور غبريال'!$C$7:$C$36,$O256),INDEX('حضور رفائيل'!$C$7:$C$36,$O256),INDEX('حضور ميخائيل'!$C$7:$C$36,$O256)),""))</f>
        <v/>
      </c>
      <c r="Q256" s="33" t="str">
        <f>IF($O256="","",IFERROR(CHOOSE(MATCH($F256,الإعدادات!$B$4:$B$7,0),INDEX('حضور سوريال'!$D$7:$D$36,$O256),INDEX('حضور غبريال'!$D$7:$D$36,$O256),INDEX('حضور رفائيل'!$D$7:$D$36,$O256),INDEX('حضور ميخائيل'!$D$7:$D$36,$O256)),""))</f>
        <v/>
      </c>
      <c r="R256" s="34" t="str">
        <f>IF($O256="","",IFERROR(CHOOSE(MATCH($F256,الإعدادات!$B$4:$B$7,0),INDEX('حضور سوريال'!$F$7:$F$36,$O256),INDEX('حضور غبريال'!$F$7:$F$36,$O256),INDEX('حضور رفائيل'!$F$7:$F$36,$O256),INDEX('حضور ميخائيل'!$F$7:$F$36,$O256)),""))</f>
        <v/>
      </c>
      <c r="S256" s="33" t="str">
        <f>IF($O256="","",IFERROR(CHOOSE(MATCH($F256,الإعدادات!$B$4:$B$7,0),INDEX('حضور سوريال'!$G$7:$G$36,$O256),INDEX('حضور غبريال'!$G$7:$G$36,$O256),INDEX('حضور رفائيل'!$G$7:$G$36,$O256),INDEX('حضور ميخائيل'!$G$7:$G$36,$O256)),""))</f>
        <v/>
      </c>
      <c r="T256" s="35" t="str">
        <f>IF($O256="","",IFERROR(CHOOSE(MATCH($F256,الإعدادات!$B$4:$B$7,0),INDEX('حضور سوريال'!$H$7:$H$36,$O256),INDEX('حضور غبريال'!$H$7:$H$36,$O256),INDEX('حضور رفائيل'!$H$7:$H$36,$O256),INDEX('حضور ميخائيل'!$H$7:$H$36,$O256)),""))</f>
        <v/>
      </c>
      <c r="U256" s="36" t="str">
        <f>IF($O256="","",IFERROR(CHOOSE(MATCH($F256,الإعدادات!$B$4:$B$7,0),INDEX('حضور سوريال'!$I$7:$I$36,$O256),INDEX('حضور غبريال'!$I$7:$I$36,$O256),INDEX('حضور رفائيل'!$I$7:$I$36,$O256),INDEX('حضور ميخائيل'!$I$7:$I$36,$O256)),""))</f>
        <v/>
      </c>
      <c r="V256" t="str">
        <f>IF($O256="","",IFERROR(CHOOSE(MATCH($F256,الإعدادات!$B$4:$B$7,0),INDEX('حضور سوريال'!$BM$7:$BM$36,$O256),INDEX('حضور غبريال'!$BM$7:$BM$36,$O256),INDEX('حضور رفائيل'!$BM$7:$BM$36,$O256),INDEX('حضور ميخائيل'!$BM$7:$BM$36,$O256)),""))</f>
        <v/>
      </c>
      <c r="W256" t="str">
        <f>IF(OR(V256=3,V256=4),COUNTIFS(V$6:V256,3)+COUNTIFS(V$6:V256,4),"")</f>
        <v/>
      </c>
    </row>
    <row r="257" spans="1:23" ht="25.5" customHeight="1">
      <c r="A257" s="26" t="str">
        <f t="shared" si="9"/>
        <v/>
      </c>
      <c r="B257" s="27" t="str">
        <f t="shared" si="10"/>
        <v/>
      </c>
      <c r="C257" s="28"/>
      <c r="D257" s="29"/>
      <c r="E257" s="29"/>
      <c r="F257" s="29"/>
      <c r="G257" s="29"/>
      <c r="H257" s="30"/>
      <c r="I257" s="30"/>
      <c r="J257" s="31"/>
      <c r="K257" s="29"/>
      <c r="L257" s="31"/>
      <c r="M257" s="29"/>
      <c r="N257" s="32" t="str">
        <f t="shared" si="11"/>
        <v/>
      </c>
      <c r="O257" s="32" t="str">
        <f>IF(OR(C257="",F257=""),"",COUNTIFS(F$6:F257,F257,C$6:C257,"&lt;&gt;"))</f>
        <v/>
      </c>
      <c r="P257" s="33" t="str">
        <f>IF($O257="","",IFERROR(CHOOSE(MATCH($F257,الإعدادات!$B$4:$B$7,0),INDEX('حضور سوريال'!$C$7:$C$36,$O257),INDEX('حضور غبريال'!$C$7:$C$36,$O257),INDEX('حضور رفائيل'!$C$7:$C$36,$O257),INDEX('حضور ميخائيل'!$C$7:$C$36,$O257)),""))</f>
        <v/>
      </c>
      <c r="Q257" s="33" t="str">
        <f>IF($O257="","",IFERROR(CHOOSE(MATCH($F257,الإعدادات!$B$4:$B$7,0),INDEX('حضور سوريال'!$D$7:$D$36,$O257),INDEX('حضور غبريال'!$D$7:$D$36,$O257),INDEX('حضور رفائيل'!$D$7:$D$36,$O257),INDEX('حضور ميخائيل'!$D$7:$D$36,$O257)),""))</f>
        <v/>
      </c>
      <c r="R257" s="34" t="str">
        <f>IF($O257="","",IFERROR(CHOOSE(MATCH($F257,الإعدادات!$B$4:$B$7,0),INDEX('حضور سوريال'!$F$7:$F$36,$O257),INDEX('حضور غبريال'!$F$7:$F$36,$O257),INDEX('حضور رفائيل'!$F$7:$F$36,$O257),INDEX('حضور ميخائيل'!$F$7:$F$36,$O257)),""))</f>
        <v/>
      </c>
      <c r="S257" s="33" t="str">
        <f>IF($O257="","",IFERROR(CHOOSE(MATCH($F257,الإعدادات!$B$4:$B$7,0),INDEX('حضور سوريال'!$G$7:$G$36,$O257),INDEX('حضور غبريال'!$G$7:$G$36,$O257),INDEX('حضور رفائيل'!$G$7:$G$36,$O257),INDEX('حضور ميخائيل'!$G$7:$G$36,$O257)),""))</f>
        <v/>
      </c>
      <c r="T257" s="35" t="str">
        <f>IF($O257="","",IFERROR(CHOOSE(MATCH($F257,الإعدادات!$B$4:$B$7,0),INDEX('حضور سوريال'!$H$7:$H$36,$O257),INDEX('حضور غبريال'!$H$7:$H$36,$O257),INDEX('حضور رفائيل'!$H$7:$H$36,$O257),INDEX('حضور ميخائيل'!$H$7:$H$36,$O257)),""))</f>
        <v/>
      </c>
      <c r="U257" s="36" t="str">
        <f>IF($O257="","",IFERROR(CHOOSE(MATCH($F257,الإعدادات!$B$4:$B$7,0),INDEX('حضور سوريال'!$I$7:$I$36,$O257),INDEX('حضور غبريال'!$I$7:$I$36,$O257),INDEX('حضور رفائيل'!$I$7:$I$36,$O257),INDEX('حضور ميخائيل'!$I$7:$I$36,$O257)),""))</f>
        <v/>
      </c>
      <c r="V257" t="str">
        <f>IF($O257="","",IFERROR(CHOOSE(MATCH($F257,الإعدادات!$B$4:$B$7,0),INDEX('حضور سوريال'!$BM$7:$BM$36,$O257),INDEX('حضور غبريال'!$BM$7:$BM$36,$O257),INDEX('حضور رفائيل'!$BM$7:$BM$36,$O257),INDEX('حضور ميخائيل'!$BM$7:$BM$36,$O257)),""))</f>
        <v/>
      </c>
      <c r="W257" t="str">
        <f>IF(OR(V257=3,V257=4),COUNTIFS(V$6:V257,3)+COUNTIFS(V$6:V257,4),"")</f>
        <v/>
      </c>
    </row>
    <row r="258" spans="1:23" ht="25.5" customHeight="1">
      <c r="A258" s="26" t="str">
        <f t="shared" si="9"/>
        <v/>
      </c>
      <c r="B258" s="27" t="str">
        <f t="shared" si="10"/>
        <v/>
      </c>
      <c r="C258" s="28"/>
      <c r="D258" s="29"/>
      <c r="E258" s="29"/>
      <c r="F258" s="29"/>
      <c r="G258" s="29"/>
      <c r="H258" s="30"/>
      <c r="I258" s="30"/>
      <c r="J258" s="31"/>
      <c r="K258" s="29"/>
      <c r="L258" s="31"/>
      <c r="M258" s="29"/>
      <c r="N258" s="32" t="str">
        <f t="shared" si="11"/>
        <v/>
      </c>
      <c r="O258" s="32" t="str">
        <f>IF(OR(C258="",F258=""),"",COUNTIFS(F$6:F258,F258,C$6:C258,"&lt;&gt;"))</f>
        <v/>
      </c>
      <c r="P258" s="33" t="str">
        <f>IF($O258="","",IFERROR(CHOOSE(MATCH($F258,الإعدادات!$B$4:$B$7,0),INDEX('حضور سوريال'!$C$7:$C$36,$O258),INDEX('حضور غبريال'!$C$7:$C$36,$O258),INDEX('حضور رفائيل'!$C$7:$C$36,$O258),INDEX('حضور ميخائيل'!$C$7:$C$36,$O258)),""))</f>
        <v/>
      </c>
      <c r="Q258" s="33" t="str">
        <f>IF($O258="","",IFERROR(CHOOSE(MATCH($F258,الإعدادات!$B$4:$B$7,0),INDEX('حضور سوريال'!$D$7:$D$36,$O258),INDEX('حضور غبريال'!$D$7:$D$36,$O258),INDEX('حضور رفائيل'!$D$7:$D$36,$O258),INDEX('حضور ميخائيل'!$D$7:$D$36,$O258)),""))</f>
        <v/>
      </c>
      <c r="R258" s="34" t="str">
        <f>IF($O258="","",IFERROR(CHOOSE(MATCH($F258,الإعدادات!$B$4:$B$7,0),INDEX('حضور سوريال'!$F$7:$F$36,$O258),INDEX('حضور غبريال'!$F$7:$F$36,$O258),INDEX('حضور رفائيل'!$F$7:$F$36,$O258),INDEX('حضور ميخائيل'!$F$7:$F$36,$O258)),""))</f>
        <v/>
      </c>
      <c r="S258" s="33" t="str">
        <f>IF($O258="","",IFERROR(CHOOSE(MATCH($F258,الإعدادات!$B$4:$B$7,0),INDEX('حضور سوريال'!$G$7:$G$36,$O258),INDEX('حضور غبريال'!$G$7:$G$36,$O258),INDEX('حضور رفائيل'!$G$7:$G$36,$O258),INDEX('حضور ميخائيل'!$G$7:$G$36,$O258)),""))</f>
        <v/>
      </c>
      <c r="T258" s="35" t="str">
        <f>IF($O258="","",IFERROR(CHOOSE(MATCH($F258,الإعدادات!$B$4:$B$7,0),INDEX('حضور سوريال'!$H$7:$H$36,$O258),INDEX('حضور غبريال'!$H$7:$H$36,$O258),INDEX('حضور رفائيل'!$H$7:$H$36,$O258),INDEX('حضور ميخائيل'!$H$7:$H$36,$O258)),""))</f>
        <v/>
      </c>
      <c r="U258" s="36" t="str">
        <f>IF($O258="","",IFERROR(CHOOSE(MATCH($F258,الإعدادات!$B$4:$B$7,0),INDEX('حضور سوريال'!$I$7:$I$36,$O258),INDEX('حضور غبريال'!$I$7:$I$36,$O258),INDEX('حضور رفائيل'!$I$7:$I$36,$O258),INDEX('حضور ميخائيل'!$I$7:$I$36,$O258)),""))</f>
        <v/>
      </c>
      <c r="V258" t="str">
        <f>IF($O258="","",IFERROR(CHOOSE(MATCH($F258,الإعدادات!$B$4:$B$7,0),INDEX('حضور سوريال'!$BM$7:$BM$36,$O258),INDEX('حضور غبريال'!$BM$7:$BM$36,$O258),INDEX('حضور رفائيل'!$BM$7:$BM$36,$O258),INDEX('حضور ميخائيل'!$BM$7:$BM$36,$O258)),""))</f>
        <v/>
      </c>
      <c r="W258" t="str">
        <f>IF(OR(V258=3,V258=4),COUNTIFS(V$6:V258,3)+COUNTIFS(V$6:V258,4),"")</f>
        <v/>
      </c>
    </row>
    <row r="259" spans="1:23" ht="25.5" customHeight="1">
      <c r="A259" s="26" t="str">
        <f t="shared" si="9"/>
        <v/>
      </c>
      <c r="B259" s="27" t="str">
        <f t="shared" si="10"/>
        <v/>
      </c>
      <c r="C259" s="28"/>
      <c r="D259" s="29"/>
      <c r="E259" s="29"/>
      <c r="F259" s="29"/>
      <c r="G259" s="29"/>
      <c r="H259" s="30"/>
      <c r="I259" s="30"/>
      <c r="J259" s="31"/>
      <c r="K259" s="29"/>
      <c r="L259" s="31"/>
      <c r="M259" s="29"/>
      <c r="N259" s="32" t="str">
        <f t="shared" si="11"/>
        <v/>
      </c>
      <c r="O259" s="32" t="str">
        <f>IF(OR(C259="",F259=""),"",COUNTIFS(F$6:F259,F259,C$6:C259,"&lt;&gt;"))</f>
        <v/>
      </c>
      <c r="P259" s="33" t="str">
        <f>IF($O259="","",IFERROR(CHOOSE(MATCH($F259,الإعدادات!$B$4:$B$7,0),INDEX('حضور سوريال'!$C$7:$C$36,$O259),INDEX('حضور غبريال'!$C$7:$C$36,$O259),INDEX('حضور رفائيل'!$C$7:$C$36,$O259),INDEX('حضور ميخائيل'!$C$7:$C$36,$O259)),""))</f>
        <v/>
      </c>
      <c r="Q259" s="33" t="str">
        <f>IF($O259="","",IFERROR(CHOOSE(MATCH($F259,الإعدادات!$B$4:$B$7,0),INDEX('حضور سوريال'!$D$7:$D$36,$O259),INDEX('حضور غبريال'!$D$7:$D$36,$O259),INDEX('حضور رفائيل'!$D$7:$D$36,$O259),INDEX('حضور ميخائيل'!$D$7:$D$36,$O259)),""))</f>
        <v/>
      </c>
      <c r="R259" s="34" t="str">
        <f>IF($O259="","",IFERROR(CHOOSE(MATCH($F259,الإعدادات!$B$4:$B$7,0),INDEX('حضور سوريال'!$F$7:$F$36,$O259),INDEX('حضور غبريال'!$F$7:$F$36,$O259),INDEX('حضور رفائيل'!$F$7:$F$36,$O259),INDEX('حضور ميخائيل'!$F$7:$F$36,$O259)),""))</f>
        <v/>
      </c>
      <c r="S259" s="33" t="str">
        <f>IF($O259="","",IFERROR(CHOOSE(MATCH($F259,الإعدادات!$B$4:$B$7,0),INDEX('حضور سوريال'!$G$7:$G$36,$O259),INDEX('حضور غبريال'!$G$7:$G$36,$O259),INDEX('حضور رفائيل'!$G$7:$G$36,$O259),INDEX('حضور ميخائيل'!$G$7:$G$36,$O259)),""))</f>
        <v/>
      </c>
      <c r="T259" s="35" t="str">
        <f>IF($O259="","",IFERROR(CHOOSE(MATCH($F259,الإعدادات!$B$4:$B$7,0),INDEX('حضور سوريال'!$H$7:$H$36,$O259),INDEX('حضور غبريال'!$H$7:$H$36,$O259),INDEX('حضور رفائيل'!$H$7:$H$36,$O259),INDEX('حضور ميخائيل'!$H$7:$H$36,$O259)),""))</f>
        <v/>
      </c>
      <c r="U259" s="36" t="str">
        <f>IF($O259="","",IFERROR(CHOOSE(MATCH($F259,الإعدادات!$B$4:$B$7,0),INDEX('حضور سوريال'!$I$7:$I$36,$O259),INDEX('حضور غبريال'!$I$7:$I$36,$O259),INDEX('حضور رفائيل'!$I$7:$I$36,$O259),INDEX('حضور ميخائيل'!$I$7:$I$36,$O259)),""))</f>
        <v/>
      </c>
      <c r="V259" t="str">
        <f>IF($O259="","",IFERROR(CHOOSE(MATCH($F259,الإعدادات!$B$4:$B$7,0),INDEX('حضور سوريال'!$BM$7:$BM$36,$O259),INDEX('حضور غبريال'!$BM$7:$BM$36,$O259),INDEX('حضور رفائيل'!$BM$7:$BM$36,$O259),INDEX('حضور ميخائيل'!$BM$7:$BM$36,$O259)),""))</f>
        <v/>
      </c>
      <c r="W259" t="str">
        <f>IF(OR(V259=3,V259=4),COUNTIFS(V$6:V259,3)+COUNTIFS(V$6:V259,4),"")</f>
        <v/>
      </c>
    </row>
    <row r="260" spans="1:23" ht="25.5" customHeight="1">
      <c r="A260" s="26" t="str">
        <f t="shared" si="9"/>
        <v/>
      </c>
      <c r="B260" s="27" t="str">
        <f t="shared" si="10"/>
        <v/>
      </c>
      <c r="C260" s="28"/>
      <c r="D260" s="29"/>
      <c r="E260" s="29"/>
      <c r="F260" s="29"/>
      <c r="G260" s="29"/>
      <c r="H260" s="30"/>
      <c r="I260" s="30"/>
      <c r="J260" s="31"/>
      <c r="K260" s="29"/>
      <c r="L260" s="31"/>
      <c r="M260" s="29"/>
      <c r="N260" s="32" t="str">
        <f t="shared" si="11"/>
        <v/>
      </c>
      <c r="O260" s="32" t="str">
        <f>IF(OR(C260="",F260=""),"",COUNTIFS(F$6:F260,F260,C$6:C260,"&lt;&gt;"))</f>
        <v/>
      </c>
      <c r="P260" s="33" t="str">
        <f>IF($O260="","",IFERROR(CHOOSE(MATCH($F260,الإعدادات!$B$4:$B$7,0),INDEX('حضور سوريال'!$C$7:$C$36,$O260),INDEX('حضور غبريال'!$C$7:$C$36,$O260),INDEX('حضور رفائيل'!$C$7:$C$36,$O260),INDEX('حضور ميخائيل'!$C$7:$C$36,$O260)),""))</f>
        <v/>
      </c>
      <c r="Q260" s="33" t="str">
        <f>IF($O260="","",IFERROR(CHOOSE(MATCH($F260,الإعدادات!$B$4:$B$7,0),INDEX('حضور سوريال'!$D$7:$D$36,$O260),INDEX('حضور غبريال'!$D$7:$D$36,$O260),INDEX('حضور رفائيل'!$D$7:$D$36,$O260),INDEX('حضور ميخائيل'!$D$7:$D$36,$O260)),""))</f>
        <v/>
      </c>
      <c r="R260" s="34" t="str">
        <f>IF($O260="","",IFERROR(CHOOSE(MATCH($F260,الإعدادات!$B$4:$B$7,0),INDEX('حضور سوريال'!$F$7:$F$36,$O260),INDEX('حضور غبريال'!$F$7:$F$36,$O260),INDEX('حضور رفائيل'!$F$7:$F$36,$O260),INDEX('حضور ميخائيل'!$F$7:$F$36,$O260)),""))</f>
        <v/>
      </c>
      <c r="S260" s="33" t="str">
        <f>IF($O260="","",IFERROR(CHOOSE(MATCH($F260,الإعدادات!$B$4:$B$7,0),INDEX('حضور سوريال'!$G$7:$G$36,$O260),INDEX('حضور غبريال'!$G$7:$G$36,$O260),INDEX('حضور رفائيل'!$G$7:$G$36,$O260),INDEX('حضور ميخائيل'!$G$7:$G$36,$O260)),""))</f>
        <v/>
      </c>
      <c r="T260" s="35" t="str">
        <f>IF($O260="","",IFERROR(CHOOSE(MATCH($F260,الإعدادات!$B$4:$B$7,0),INDEX('حضور سوريال'!$H$7:$H$36,$O260),INDEX('حضور غبريال'!$H$7:$H$36,$O260),INDEX('حضور رفائيل'!$H$7:$H$36,$O260),INDEX('حضور ميخائيل'!$H$7:$H$36,$O260)),""))</f>
        <v/>
      </c>
      <c r="U260" s="36" t="str">
        <f>IF($O260="","",IFERROR(CHOOSE(MATCH($F260,الإعدادات!$B$4:$B$7,0),INDEX('حضور سوريال'!$I$7:$I$36,$O260),INDEX('حضور غبريال'!$I$7:$I$36,$O260),INDEX('حضور رفائيل'!$I$7:$I$36,$O260),INDEX('حضور ميخائيل'!$I$7:$I$36,$O260)),""))</f>
        <v/>
      </c>
      <c r="V260" t="str">
        <f>IF($O260="","",IFERROR(CHOOSE(MATCH($F260,الإعدادات!$B$4:$B$7,0),INDEX('حضور سوريال'!$BM$7:$BM$36,$O260),INDEX('حضور غبريال'!$BM$7:$BM$36,$O260),INDEX('حضور رفائيل'!$BM$7:$BM$36,$O260),INDEX('حضور ميخائيل'!$BM$7:$BM$36,$O260)),""))</f>
        <v/>
      </c>
      <c r="W260" t="str">
        <f>IF(OR(V260=3,V260=4),COUNTIFS(V$6:V260,3)+COUNTIFS(V$6:V260,4),"")</f>
        <v/>
      </c>
    </row>
    <row r="261" spans="1:23" ht="25.5" customHeight="1">
      <c r="A261" s="26" t="str">
        <f t="shared" si="9"/>
        <v/>
      </c>
      <c r="B261" s="27" t="str">
        <f t="shared" si="10"/>
        <v/>
      </c>
      <c r="C261" s="28"/>
      <c r="D261" s="29"/>
      <c r="E261" s="29"/>
      <c r="F261" s="29"/>
      <c r="G261" s="29"/>
      <c r="H261" s="30"/>
      <c r="I261" s="30"/>
      <c r="J261" s="31"/>
      <c r="K261" s="29"/>
      <c r="L261" s="31"/>
      <c r="M261" s="29"/>
      <c r="N261" s="32" t="str">
        <f t="shared" si="11"/>
        <v/>
      </c>
      <c r="O261" s="32" t="str">
        <f>IF(OR(C261="",F261=""),"",COUNTIFS(F$6:F261,F261,C$6:C261,"&lt;&gt;"))</f>
        <v/>
      </c>
      <c r="P261" s="33" t="str">
        <f>IF($O261="","",IFERROR(CHOOSE(MATCH($F261,الإعدادات!$B$4:$B$7,0),INDEX('حضور سوريال'!$C$7:$C$36,$O261),INDEX('حضور غبريال'!$C$7:$C$36,$O261),INDEX('حضور رفائيل'!$C$7:$C$36,$O261),INDEX('حضور ميخائيل'!$C$7:$C$36,$O261)),""))</f>
        <v/>
      </c>
      <c r="Q261" s="33" t="str">
        <f>IF($O261="","",IFERROR(CHOOSE(MATCH($F261,الإعدادات!$B$4:$B$7,0),INDEX('حضور سوريال'!$D$7:$D$36,$O261),INDEX('حضور غبريال'!$D$7:$D$36,$O261),INDEX('حضور رفائيل'!$D$7:$D$36,$O261),INDEX('حضور ميخائيل'!$D$7:$D$36,$O261)),""))</f>
        <v/>
      </c>
      <c r="R261" s="34" t="str">
        <f>IF($O261="","",IFERROR(CHOOSE(MATCH($F261,الإعدادات!$B$4:$B$7,0),INDEX('حضور سوريال'!$F$7:$F$36,$O261),INDEX('حضور غبريال'!$F$7:$F$36,$O261),INDEX('حضور رفائيل'!$F$7:$F$36,$O261),INDEX('حضور ميخائيل'!$F$7:$F$36,$O261)),""))</f>
        <v/>
      </c>
      <c r="S261" s="33" t="str">
        <f>IF($O261="","",IFERROR(CHOOSE(MATCH($F261,الإعدادات!$B$4:$B$7,0),INDEX('حضور سوريال'!$G$7:$G$36,$O261),INDEX('حضور غبريال'!$G$7:$G$36,$O261),INDEX('حضور رفائيل'!$G$7:$G$36,$O261),INDEX('حضور ميخائيل'!$G$7:$G$36,$O261)),""))</f>
        <v/>
      </c>
      <c r="T261" s="35" t="str">
        <f>IF($O261="","",IFERROR(CHOOSE(MATCH($F261,الإعدادات!$B$4:$B$7,0),INDEX('حضور سوريال'!$H$7:$H$36,$O261),INDEX('حضور غبريال'!$H$7:$H$36,$O261),INDEX('حضور رفائيل'!$H$7:$H$36,$O261),INDEX('حضور ميخائيل'!$H$7:$H$36,$O261)),""))</f>
        <v/>
      </c>
      <c r="U261" s="36" t="str">
        <f>IF($O261="","",IFERROR(CHOOSE(MATCH($F261,الإعدادات!$B$4:$B$7,0),INDEX('حضور سوريال'!$I$7:$I$36,$O261),INDEX('حضور غبريال'!$I$7:$I$36,$O261),INDEX('حضور رفائيل'!$I$7:$I$36,$O261),INDEX('حضور ميخائيل'!$I$7:$I$36,$O261)),""))</f>
        <v/>
      </c>
      <c r="V261" t="str">
        <f>IF($O261="","",IFERROR(CHOOSE(MATCH($F261,الإعدادات!$B$4:$B$7,0),INDEX('حضور سوريال'!$BM$7:$BM$36,$O261),INDEX('حضور غبريال'!$BM$7:$BM$36,$O261),INDEX('حضور رفائيل'!$BM$7:$BM$36,$O261),INDEX('حضور ميخائيل'!$BM$7:$BM$36,$O261)),""))</f>
        <v/>
      </c>
      <c r="W261" t="str">
        <f>IF(OR(V261=3,V261=4),COUNTIFS(V$6:V261,3)+COUNTIFS(V$6:V261,4),"")</f>
        <v/>
      </c>
    </row>
    <row r="262" spans="1:23" ht="25.5" customHeight="1">
      <c r="A262" s="26" t="str">
        <f t="shared" ref="A262:A305" si="12">IF(C262="","",ROW()-5)</f>
        <v/>
      </c>
      <c r="B262" s="27" t="str">
        <f t="shared" ref="B262:B325" si="13">IF(C262="","","B-"&amp;TEXT(ROW()-5,"000"))</f>
        <v/>
      </c>
      <c r="C262" s="28"/>
      <c r="D262" s="29"/>
      <c r="E262" s="29"/>
      <c r="F262" s="29"/>
      <c r="G262" s="29"/>
      <c r="H262" s="30"/>
      <c r="I262" s="30"/>
      <c r="J262" s="31"/>
      <c r="K262" s="29"/>
      <c r="L262" s="31"/>
      <c r="M262" s="29"/>
      <c r="N262" s="32" t="str">
        <f t="shared" ref="N262:N325" si="14">IF(O262="","",F262&amp;"|"&amp;O262)</f>
        <v/>
      </c>
      <c r="O262" s="32" t="str">
        <f>IF(OR(C262="",F262=""),"",COUNTIFS(F$6:F262,F262,C$6:C262,"&lt;&gt;"))</f>
        <v/>
      </c>
      <c r="P262" s="33" t="str">
        <f>IF($O262="","",IFERROR(CHOOSE(MATCH($F262,الإعدادات!$B$4:$B$7,0),INDEX('حضور سوريال'!$C$7:$C$36,$O262),INDEX('حضور غبريال'!$C$7:$C$36,$O262),INDEX('حضور رفائيل'!$C$7:$C$36,$O262),INDEX('حضور ميخائيل'!$C$7:$C$36,$O262)),""))</f>
        <v/>
      </c>
      <c r="Q262" s="33" t="str">
        <f>IF($O262="","",IFERROR(CHOOSE(MATCH($F262,الإعدادات!$B$4:$B$7,0),INDEX('حضور سوريال'!$D$7:$D$36,$O262),INDEX('حضور غبريال'!$D$7:$D$36,$O262),INDEX('حضور رفائيل'!$D$7:$D$36,$O262),INDEX('حضور ميخائيل'!$D$7:$D$36,$O262)),""))</f>
        <v/>
      </c>
      <c r="R262" s="34" t="str">
        <f>IF($O262="","",IFERROR(CHOOSE(MATCH($F262,الإعدادات!$B$4:$B$7,0),INDEX('حضور سوريال'!$F$7:$F$36,$O262),INDEX('حضور غبريال'!$F$7:$F$36,$O262),INDEX('حضور رفائيل'!$F$7:$F$36,$O262),INDEX('حضور ميخائيل'!$F$7:$F$36,$O262)),""))</f>
        <v/>
      </c>
      <c r="S262" s="33" t="str">
        <f>IF($O262="","",IFERROR(CHOOSE(MATCH($F262,الإعدادات!$B$4:$B$7,0),INDEX('حضور سوريال'!$G$7:$G$36,$O262),INDEX('حضور غبريال'!$G$7:$G$36,$O262),INDEX('حضور رفائيل'!$G$7:$G$36,$O262),INDEX('حضور ميخائيل'!$G$7:$G$36,$O262)),""))</f>
        <v/>
      </c>
      <c r="T262" s="35" t="str">
        <f>IF($O262="","",IFERROR(CHOOSE(MATCH($F262,الإعدادات!$B$4:$B$7,0),INDEX('حضور سوريال'!$H$7:$H$36,$O262),INDEX('حضور غبريال'!$H$7:$H$36,$O262),INDEX('حضور رفائيل'!$H$7:$H$36,$O262),INDEX('حضور ميخائيل'!$H$7:$H$36,$O262)),""))</f>
        <v/>
      </c>
      <c r="U262" s="36" t="str">
        <f>IF($O262="","",IFERROR(CHOOSE(MATCH($F262,الإعدادات!$B$4:$B$7,0),INDEX('حضور سوريال'!$I$7:$I$36,$O262),INDEX('حضور غبريال'!$I$7:$I$36,$O262),INDEX('حضور رفائيل'!$I$7:$I$36,$O262),INDEX('حضور ميخائيل'!$I$7:$I$36,$O262)),""))</f>
        <v/>
      </c>
      <c r="V262" t="str">
        <f>IF($O262="","",IFERROR(CHOOSE(MATCH($F262,الإعدادات!$B$4:$B$7,0),INDEX('حضور سوريال'!$BM$7:$BM$36,$O262),INDEX('حضور غبريال'!$BM$7:$BM$36,$O262),INDEX('حضور رفائيل'!$BM$7:$BM$36,$O262),INDEX('حضور ميخائيل'!$BM$7:$BM$36,$O262)),""))</f>
        <v/>
      </c>
      <c r="W262" t="str">
        <f>IF(OR(V262=3,V262=4),COUNTIFS(V$6:V262,3)+COUNTIFS(V$6:V262,4),"")</f>
        <v/>
      </c>
    </row>
    <row r="263" spans="1:23" ht="25.5" customHeight="1">
      <c r="A263" s="26" t="str">
        <f t="shared" si="12"/>
        <v/>
      </c>
      <c r="B263" s="27" t="str">
        <f t="shared" si="13"/>
        <v/>
      </c>
      <c r="C263" s="28"/>
      <c r="D263" s="29"/>
      <c r="E263" s="29"/>
      <c r="F263" s="29"/>
      <c r="G263" s="29"/>
      <c r="H263" s="30"/>
      <c r="I263" s="30"/>
      <c r="J263" s="31"/>
      <c r="K263" s="29"/>
      <c r="L263" s="31"/>
      <c r="M263" s="29"/>
      <c r="N263" s="32" t="str">
        <f t="shared" si="14"/>
        <v/>
      </c>
      <c r="O263" s="32" t="str">
        <f>IF(OR(C263="",F263=""),"",COUNTIFS(F$6:F263,F263,C$6:C263,"&lt;&gt;"))</f>
        <v/>
      </c>
      <c r="P263" s="33" t="str">
        <f>IF($O263="","",IFERROR(CHOOSE(MATCH($F263,الإعدادات!$B$4:$B$7,0),INDEX('حضور سوريال'!$C$7:$C$36,$O263),INDEX('حضور غبريال'!$C$7:$C$36,$O263),INDEX('حضور رفائيل'!$C$7:$C$36,$O263),INDEX('حضور ميخائيل'!$C$7:$C$36,$O263)),""))</f>
        <v/>
      </c>
      <c r="Q263" s="33" t="str">
        <f>IF($O263="","",IFERROR(CHOOSE(MATCH($F263,الإعدادات!$B$4:$B$7,0),INDEX('حضور سوريال'!$D$7:$D$36,$O263),INDEX('حضور غبريال'!$D$7:$D$36,$O263),INDEX('حضور رفائيل'!$D$7:$D$36,$O263),INDEX('حضور ميخائيل'!$D$7:$D$36,$O263)),""))</f>
        <v/>
      </c>
      <c r="R263" s="34" t="str">
        <f>IF($O263="","",IFERROR(CHOOSE(MATCH($F263,الإعدادات!$B$4:$B$7,0),INDEX('حضور سوريال'!$F$7:$F$36,$O263),INDEX('حضور غبريال'!$F$7:$F$36,$O263),INDEX('حضور رفائيل'!$F$7:$F$36,$O263),INDEX('حضور ميخائيل'!$F$7:$F$36,$O263)),""))</f>
        <v/>
      </c>
      <c r="S263" s="33" t="str">
        <f>IF($O263="","",IFERROR(CHOOSE(MATCH($F263,الإعدادات!$B$4:$B$7,0),INDEX('حضور سوريال'!$G$7:$G$36,$O263),INDEX('حضور غبريال'!$G$7:$G$36,$O263),INDEX('حضور رفائيل'!$G$7:$G$36,$O263),INDEX('حضور ميخائيل'!$G$7:$G$36,$O263)),""))</f>
        <v/>
      </c>
      <c r="T263" s="35" t="str">
        <f>IF($O263="","",IFERROR(CHOOSE(MATCH($F263,الإعدادات!$B$4:$B$7,0),INDEX('حضور سوريال'!$H$7:$H$36,$O263),INDEX('حضور غبريال'!$H$7:$H$36,$O263),INDEX('حضور رفائيل'!$H$7:$H$36,$O263),INDEX('حضور ميخائيل'!$H$7:$H$36,$O263)),""))</f>
        <v/>
      </c>
      <c r="U263" s="36" t="str">
        <f>IF($O263="","",IFERROR(CHOOSE(MATCH($F263,الإعدادات!$B$4:$B$7,0),INDEX('حضور سوريال'!$I$7:$I$36,$O263),INDEX('حضور غبريال'!$I$7:$I$36,$O263),INDEX('حضور رفائيل'!$I$7:$I$36,$O263),INDEX('حضور ميخائيل'!$I$7:$I$36,$O263)),""))</f>
        <v/>
      </c>
      <c r="V263" t="str">
        <f>IF($O263="","",IFERROR(CHOOSE(MATCH($F263,الإعدادات!$B$4:$B$7,0),INDEX('حضور سوريال'!$BM$7:$BM$36,$O263),INDEX('حضور غبريال'!$BM$7:$BM$36,$O263),INDEX('حضور رفائيل'!$BM$7:$BM$36,$O263),INDEX('حضور ميخائيل'!$BM$7:$BM$36,$O263)),""))</f>
        <v/>
      </c>
      <c r="W263" t="str">
        <f>IF(OR(V263=3,V263=4),COUNTIFS(V$6:V263,3)+COUNTIFS(V$6:V263,4),"")</f>
        <v/>
      </c>
    </row>
    <row r="264" spans="1:23" ht="25.5" customHeight="1">
      <c r="A264" s="26" t="str">
        <f t="shared" si="12"/>
        <v/>
      </c>
      <c r="B264" s="27" t="str">
        <f t="shared" si="13"/>
        <v/>
      </c>
      <c r="C264" s="28"/>
      <c r="D264" s="29"/>
      <c r="E264" s="29"/>
      <c r="F264" s="29"/>
      <c r="G264" s="29"/>
      <c r="H264" s="30"/>
      <c r="I264" s="30"/>
      <c r="J264" s="31"/>
      <c r="K264" s="29"/>
      <c r="L264" s="31"/>
      <c r="M264" s="29"/>
      <c r="N264" s="32" t="str">
        <f t="shared" si="14"/>
        <v/>
      </c>
      <c r="O264" s="32" t="str">
        <f>IF(OR(C264="",F264=""),"",COUNTIFS(F$6:F264,F264,C$6:C264,"&lt;&gt;"))</f>
        <v/>
      </c>
      <c r="P264" s="33" t="str">
        <f>IF($O264="","",IFERROR(CHOOSE(MATCH($F264,الإعدادات!$B$4:$B$7,0),INDEX('حضور سوريال'!$C$7:$C$36,$O264),INDEX('حضور غبريال'!$C$7:$C$36,$O264),INDEX('حضور رفائيل'!$C$7:$C$36,$O264),INDEX('حضور ميخائيل'!$C$7:$C$36,$O264)),""))</f>
        <v/>
      </c>
      <c r="Q264" s="33" t="str">
        <f>IF($O264="","",IFERROR(CHOOSE(MATCH($F264,الإعدادات!$B$4:$B$7,0),INDEX('حضور سوريال'!$D$7:$D$36,$O264),INDEX('حضور غبريال'!$D$7:$D$36,$O264),INDEX('حضور رفائيل'!$D$7:$D$36,$O264),INDEX('حضور ميخائيل'!$D$7:$D$36,$O264)),""))</f>
        <v/>
      </c>
      <c r="R264" s="34" t="str">
        <f>IF($O264="","",IFERROR(CHOOSE(MATCH($F264,الإعدادات!$B$4:$B$7,0),INDEX('حضور سوريال'!$F$7:$F$36,$O264),INDEX('حضور غبريال'!$F$7:$F$36,$O264),INDEX('حضور رفائيل'!$F$7:$F$36,$O264),INDEX('حضور ميخائيل'!$F$7:$F$36,$O264)),""))</f>
        <v/>
      </c>
      <c r="S264" s="33" t="str">
        <f>IF($O264="","",IFERROR(CHOOSE(MATCH($F264,الإعدادات!$B$4:$B$7,0),INDEX('حضور سوريال'!$G$7:$G$36,$O264),INDEX('حضور غبريال'!$G$7:$G$36,$O264),INDEX('حضور رفائيل'!$G$7:$G$36,$O264),INDEX('حضور ميخائيل'!$G$7:$G$36,$O264)),""))</f>
        <v/>
      </c>
      <c r="T264" s="35" t="str">
        <f>IF($O264="","",IFERROR(CHOOSE(MATCH($F264,الإعدادات!$B$4:$B$7,0),INDEX('حضور سوريال'!$H$7:$H$36,$O264),INDEX('حضور غبريال'!$H$7:$H$36,$O264),INDEX('حضور رفائيل'!$H$7:$H$36,$O264),INDEX('حضور ميخائيل'!$H$7:$H$36,$O264)),""))</f>
        <v/>
      </c>
      <c r="U264" s="36" t="str">
        <f>IF($O264="","",IFERROR(CHOOSE(MATCH($F264,الإعدادات!$B$4:$B$7,0),INDEX('حضور سوريال'!$I$7:$I$36,$O264),INDEX('حضور غبريال'!$I$7:$I$36,$O264),INDEX('حضور رفائيل'!$I$7:$I$36,$O264),INDEX('حضور ميخائيل'!$I$7:$I$36,$O264)),""))</f>
        <v/>
      </c>
      <c r="V264" t="str">
        <f>IF($O264="","",IFERROR(CHOOSE(MATCH($F264,الإعدادات!$B$4:$B$7,0),INDEX('حضور سوريال'!$BM$7:$BM$36,$O264),INDEX('حضور غبريال'!$BM$7:$BM$36,$O264),INDEX('حضور رفائيل'!$BM$7:$BM$36,$O264),INDEX('حضور ميخائيل'!$BM$7:$BM$36,$O264)),""))</f>
        <v/>
      </c>
      <c r="W264" t="str">
        <f>IF(OR(V264=3,V264=4),COUNTIFS(V$6:V264,3)+COUNTIFS(V$6:V264,4),"")</f>
        <v/>
      </c>
    </row>
    <row r="265" spans="1:23" ht="25.5" customHeight="1">
      <c r="A265" s="26" t="str">
        <f t="shared" si="12"/>
        <v/>
      </c>
      <c r="B265" s="27" t="str">
        <f t="shared" si="13"/>
        <v/>
      </c>
      <c r="C265" s="28"/>
      <c r="D265" s="29"/>
      <c r="E265" s="29"/>
      <c r="F265" s="29"/>
      <c r="G265" s="29"/>
      <c r="H265" s="30"/>
      <c r="I265" s="30"/>
      <c r="J265" s="31"/>
      <c r="K265" s="29"/>
      <c r="L265" s="31"/>
      <c r="M265" s="29"/>
      <c r="N265" s="32" t="str">
        <f t="shared" si="14"/>
        <v/>
      </c>
      <c r="O265" s="32" t="str">
        <f>IF(OR(C265="",F265=""),"",COUNTIFS(F$6:F265,F265,C$6:C265,"&lt;&gt;"))</f>
        <v/>
      </c>
      <c r="P265" s="33" t="str">
        <f>IF($O265="","",IFERROR(CHOOSE(MATCH($F265,الإعدادات!$B$4:$B$7,0),INDEX('حضور سوريال'!$C$7:$C$36,$O265),INDEX('حضور غبريال'!$C$7:$C$36,$O265),INDEX('حضور رفائيل'!$C$7:$C$36,$O265),INDEX('حضور ميخائيل'!$C$7:$C$36,$O265)),""))</f>
        <v/>
      </c>
      <c r="Q265" s="33" t="str">
        <f>IF($O265="","",IFERROR(CHOOSE(MATCH($F265,الإعدادات!$B$4:$B$7,0),INDEX('حضور سوريال'!$D$7:$D$36,$O265),INDEX('حضور غبريال'!$D$7:$D$36,$O265),INDEX('حضور رفائيل'!$D$7:$D$36,$O265),INDEX('حضور ميخائيل'!$D$7:$D$36,$O265)),""))</f>
        <v/>
      </c>
      <c r="R265" s="34" t="str">
        <f>IF($O265="","",IFERROR(CHOOSE(MATCH($F265,الإعدادات!$B$4:$B$7,0),INDEX('حضور سوريال'!$F$7:$F$36,$O265),INDEX('حضور غبريال'!$F$7:$F$36,$O265),INDEX('حضور رفائيل'!$F$7:$F$36,$O265),INDEX('حضور ميخائيل'!$F$7:$F$36,$O265)),""))</f>
        <v/>
      </c>
      <c r="S265" s="33" t="str">
        <f>IF($O265="","",IFERROR(CHOOSE(MATCH($F265,الإعدادات!$B$4:$B$7,0),INDEX('حضور سوريال'!$G$7:$G$36,$O265),INDEX('حضور غبريال'!$G$7:$G$36,$O265),INDEX('حضور رفائيل'!$G$7:$G$36,$O265),INDEX('حضور ميخائيل'!$G$7:$G$36,$O265)),""))</f>
        <v/>
      </c>
      <c r="T265" s="35" t="str">
        <f>IF($O265="","",IFERROR(CHOOSE(MATCH($F265,الإعدادات!$B$4:$B$7,0),INDEX('حضور سوريال'!$H$7:$H$36,$O265),INDEX('حضور غبريال'!$H$7:$H$36,$O265),INDEX('حضور رفائيل'!$H$7:$H$36,$O265),INDEX('حضور ميخائيل'!$H$7:$H$36,$O265)),""))</f>
        <v/>
      </c>
      <c r="U265" s="36" t="str">
        <f>IF($O265="","",IFERROR(CHOOSE(MATCH($F265,الإعدادات!$B$4:$B$7,0),INDEX('حضور سوريال'!$I$7:$I$36,$O265),INDEX('حضور غبريال'!$I$7:$I$36,$O265),INDEX('حضور رفائيل'!$I$7:$I$36,$O265),INDEX('حضور ميخائيل'!$I$7:$I$36,$O265)),""))</f>
        <v/>
      </c>
      <c r="V265" t="str">
        <f>IF($O265="","",IFERROR(CHOOSE(MATCH($F265,الإعدادات!$B$4:$B$7,0),INDEX('حضور سوريال'!$BM$7:$BM$36,$O265),INDEX('حضور غبريال'!$BM$7:$BM$36,$O265),INDEX('حضور رفائيل'!$BM$7:$BM$36,$O265),INDEX('حضور ميخائيل'!$BM$7:$BM$36,$O265)),""))</f>
        <v/>
      </c>
      <c r="W265" t="str">
        <f>IF(OR(V265=3,V265=4),COUNTIFS(V$6:V265,3)+COUNTIFS(V$6:V265,4),"")</f>
        <v/>
      </c>
    </row>
    <row r="266" spans="1:23" ht="25.5" customHeight="1">
      <c r="A266" s="26" t="str">
        <f t="shared" si="12"/>
        <v/>
      </c>
      <c r="B266" s="27" t="str">
        <f t="shared" si="13"/>
        <v/>
      </c>
      <c r="C266" s="28"/>
      <c r="D266" s="29"/>
      <c r="E266" s="29"/>
      <c r="F266" s="29"/>
      <c r="G266" s="29"/>
      <c r="H266" s="30"/>
      <c r="I266" s="30"/>
      <c r="J266" s="31"/>
      <c r="K266" s="29"/>
      <c r="L266" s="31"/>
      <c r="M266" s="29"/>
      <c r="N266" s="32" t="str">
        <f t="shared" si="14"/>
        <v/>
      </c>
      <c r="O266" s="32" t="str">
        <f>IF(OR(C266="",F266=""),"",COUNTIFS(F$6:F266,F266,C$6:C266,"&lt;&gt;"))</f>
        <v/>
      </c>
      <c r="P266" s="33" t="str">
        <f>IF($O266="","",IFERROR(CHOOSE(MATCH($F266,الإعدادات!$B$4:$B$7,0),INDEX('حضور سوريال'!$C$7:$C$36,$O266),INDEX('حضور غبريال'!$C$7:$C$36,$O266),INDEX('حضور رفائيل'!$C$7:$C$36,$O266),INDEX('حضور ميخائيل'!$C$7:$C$36,$O266)),""))</f>
        <v/>
      </c>
      <c r="Q266" s="33" t="str">
        <f>IF($O266="","",IFERROR(CHOOSE(MATCH($F266,الإعدادات!$B$4:$B$7,0),INDEX('حضور سوريال'!$D$7:$D$36,$O266),INDEX('حضور غبريال'!$D$7:$D$36,$O266),INDEX('حضور رفائيل'!$D$7:$D$36,$O266),INDEX('حضور ميخائيل'!$D$7:$D$36,$O266)),""))</f>
        <v/>
      </c>
      <c r="R266" s="34" t="str">
        <f>IF($O266="","",IFERROR(CHOOSE(MATCH($F266,الإعدادات!$B$4:$B$7,0),INDEX('حضور سوريال'!$F$7:$F$36,$O266),INDEX('حضور غبريال'!$F$7:$F$36,$O266),INDEX('حضور رفائيل'!$F$7:$F$36,$O266),INDEX('حضور ميخائيل'!$F$7:$F$36,$O266)),""))</f>
        <v/>
      </c>
      <c r="S266" s="33" t="str">
        <f>IF($O266="","",IFERROR(CHOOSE(MATCH($F266,الإعدادات!$B$4:$B$7,0),INDEX('حضور سوريال'!$G$7:$G$36,$O266),INDEX('حضور غبريال'!$G$7:$G$36,$O266),INDEX('حضور رفائيل'!$G$7:$G$36,$O266),INDEX('حضور ميخائيل'!$G$7:$G$36,$O266)),""))</f>
        <v/>
      </c>
      <c r="T266" s="35" t="str">
        <f>IF($O266="","",IFERROR(CHOOSE(MATCH($F266,الإعدادات!$B$4:$B$7,0),INDEX('حضور سوريال'!$H$7:$H$36,$O266),INDEX('حضور غبريال'!$H$7:$H$36,$O266),INDEX('حضور رفائيل'!$H$7:$H$36,$O266),INDEX('حضور ميخائيل'!$H$7:$H$36,$O266)),""))</f>
        <v/>
      </c>
      <c r="U266" s="36" t="str">
        <f>IF($O266="","",IFERROR(CHOOSE(MATCH($F266,الإعدادات!$B$4:$B$7,0),INDEX('حضور سوريال'!$I$7:$I$36,$O266),INDEX('حضور غبريال'!$I$7:$I$36,$O266),INDEX('حضور رفائيل'!$I$7:$I$36,$O266),INDEX('حضور ميخائيل'!$I$7:$I$36,$O266)),""))</f>
        <v/>
      </c>
      <c r="V266" t="str">
        <f>IF($O266="","",IFERROR(CHOOSE(MATCH($F266,الإعدادات!$B$4:$B$7,0),INDEX('حضور سوريال'!$BM$7:$BM$36,$O266),INDEX('حضور غبريال'!$BM$7:$BM$36,$O266),INDEX('حضور رفائيل'!$BM$7:$BM$36,$O266),INDEX('حضور ميخائيل'!$BM$7:$BM$36,$O266)),""))</f>
        <v/>
      </c>
      <c r="W266" t="str">
        <f>IF(OR(V266=3,V266=4),COUNTIFS(V$6:V266,3)+COUNTIFS(V$6:V266,4),"")</f>
        <v/>
      </c>
    </row>
    <row r="267" spans="1:23" ht="25.5" customHeight="1">
      <c r="A267" s="26" t="str">
        <f t="shared" si="12"/>
        <v/>
      </c>
      <c r="B267" s="27" t="str">
        <f t="shared" si="13"/>
        <v/>
      </c>
      <c r="C267" s="28"/>
      <c r="D267" s="29"/>
      <c r="E267" s="29"/>
      <c r="F267" s="29"/>
      <c r="G267" s="29"/>
      <c r="H267" s="30"/>
      <c r="I267" s="30"/>
      <c r="J267" s="31"/>
      <c r="K267" s="29"/>
      <c r="L267" s="31"/>
      <c r="M267" s="29"/>
      <c r="N267" s="32" t="str">
        <f t="shared" si="14"/>
        <v/>
      </c>
      <c r="O267" s="32" t="str">
        <f>IF(OR(C267="",F267=""),"",COUNTIFS(F$6:F267,F267,C$6:C267,"&lt;&gt;"))</f>
        <v/>
      </c>
      <c r="P267" s="33" t="str">
        <f>IF($O267="","",IFERROR(CHOOSE(MATCH($F267,الإعدادات!$B$4:$B$7,0),INDEX('حضور سوريال'!$C$7:$C$36,$O267),INDEX('حضور غبريال'!$C$7:$C$36,$O267),INDEX('حضور رفائيل'!$C$7:$C$36,$O267),INDEX('حضور ميخائيل'!$C$7:$C$36,$O267)),""))</f>
        <v/>
      </c>
      <c r="Q267" s="33" t="str">
        <f>IF($O267="","",IFERROR(CHOOSE(MATCH($F267,الإعدادات!$B$4:$B$7,0),INDEX('حضور سوريال'!$D$7:$D$36,$O267),INDEX('حضور غبريال'!$D$7:$D$36,$O267),INDEX('حضور رفائيل'!$D$7:$D$36,$O267),INDEX('حضور ميخائيل'!$D$7:$D$36,$O267)),""))</f>
        <v/>
      </c>
      <c r="R267" s="34" t="str">
        <f>IF($O267="","",IFERROR(CHOOSE(MATCH($F267,الإعدادات!$B$4:$B$7,0),INDEX('حضور سوريال'!$F$7:$F$36,$O267),INDEX('حضور غبريال'!$F$7:$F$36,$O267),INDEX('حضور رفائيل'!$F$7:$F$36,$O267),INDEX('حضور ميخائيل'!$F$7:$F$36,$O267)),""))</f>
        <v/>
      </c>
      <c r="S267" s="33" t="str">
        <f>IF($O267="","",IFERROR(CHOOSE(MATCH($F267,الإعدادات!$B$4:$B$7,0),INDEX('حضور سوريال'!$G$7:$G$36,$O267),INDEX('حضور غبريال'!$G$7:$G$36,$O267),INDEX('حضور رفائيل'!$G$7:$G$36,$O267),INDEX('حضور ميخائيل'!$G$7:$G$36,$O267)),""))</f>
        <v/>
      </c>
      <c r="T267" s="35" t="str">
        <f>IF($O267="","",IFERROR(CHOOSE(MATCH($F267,الإعدادات!$B$4:$B$7,0),INDEX('حضور سوريال'!$H$7:$H$36,$O267),INDEX('حضور غبريال'!$H$7:$H$36,$O267),INDEX('حضور رفائيل'!$H$7:$H$36,$O267),INDEX('حضور ميخائيل'!$H$7:$H$36,$O267)),""))</f>
        <v/>
      </c>
      <c r="U267" s="36" t="str">
        <f>IF($O267="","",IFERROR(CHOOSE(MATCH($F267,الإعدادات!$B$4:$B$7,0),INDEX('حضور سوريال'!$I$7:$I$36,$O267),INDEX('حضور غبريال'!$I$7:$I$36,$O267),INDEX('حضور رفائيل'!$I$7:$I$36,$O267),INDEX('حضور ميخائيل'!$I$7:$I$36,$O267)),""))</f>
        <v/>
      </c>
      <c r="V267" t="str">
        <f>IF($O267="","",IFERROR(CHOOSE(MATCH($F267,الإعدادات!$B$4:$B$7,0),INDEX('حضور سوريال'!$BM$7:$BM$36,$O267),INDEX('حضور غبريال'!$BM$7:$BM$36,$O267),INDEX('حضور رفائيل'!$BM$7:$BM$36,$O267),INDEX('حضور ميخائيل'!$BM$7:$BM$36,$O267)),""))</f>
        <v/>
      </c>
      <c r="W267" t="str">
        <f>IF(OR(V267=3,V267=4),COUNTIFS(V$6:V267,3)+COUNTIFS(V$6:V267,4),"")</f>
        <v/>
      </c>
    </row>
    <row r="268" spans="1:23" ht="25.5" customHeight="1">
      <c r="A268" s="26" t="str">
        <f t="shared" si="12"/>
        <v/>
      </c>
      <c r="B268" s="27" t="str">
        <f t="shared" si="13"/>
        <v/>
      </c>
      <c r="C268" s="28"/>
      <c r="D268" s="29"/>
      <c r="E268" s="29"/>
      <c r="F268" s="29"/>
      <c r="G268" s="29"/>
      <c r="H268" s="30"/>
      <c r="I268" s="30"/>
      <c r="J268" s="31"/>
      <c r="K268" s="29"/>
      <c r="L268" s="31"/>
      <c r="M268" s="29"/>
      <c r="N268" s="32" t="str">
        <f t="shared" si="14"/>
        <v/>
      </c>
      <c r="O268" s="32" t="str">
        <f>IF(OR(C268="",F268=""),"",COUNTIFS(F$6:F268,F268,C$6:C268,"&lt;&gt;"))</f>
        <v/>
      </c>
      <c r="P268" s="33" t="str">
        <f>IF($O268="","",IFERROR(CHOOSE(MATCH($F268,الإعدادات!$B$4:$B$7,0),INDEX('حضور سوريال'!$C$7:$C$36,$O268),INDEX('حضور غبريال'!$C$7:$C$36,$O268),INDEX('حضور رفائيل'!$C$7:$C$36,$O268),INDEX('حضور ميخائيل'!$C$7:$C$36,$O268)),""))</f>
        <v/>
      </c>
      <c r="Q268" s="33" t="str">
        <f>IF($O268="","",IFERROR(CHOOSE(MATCH($F268,الإعدادات!$B$4:$B$7,0),INDEX('حضور سوريال'!$D$7:$D$36,$O268),INDEX('حضور غبريال'!$D$7:$D$36,$O268),INDEX('حضور رفائيل'!$D$7:$D$36,$O268),INDEX('حضور ميخائيل'!$D$7:$D$36,$O268)),""))</f>
        <v/>
      </c>
      <c r="R268" s="34" t="str">
        <f>IF($O268="","",IFERROR(CHOOSE(MATCH($F268,الإعدادات!$B$4:$B$7,0),INDEX('حضور سوريال'!$F$7:$F$36,$O268),INDEX('حضور غبريال'!$F$7:$F$36,$O268),INDEX('حضور رفائيل'!$F$7:$F$36,$O268),INDEX('حضور ميخائيل'!$F$7:$F$36,$O268)),""))</f>
        <v/>
      </c>
      <c r="S268" s="33" t="str">
        <f>IF($O268="","",IFERROR(CHOOSE(MATCH($F268,الإعدادات!$B$4:$B$7,0),INDEX('حضور سوريال'!$G$7:$G$36,$O268),INDEX('حضور غبريال'!$G$7:$G$36,$O268),INDEX('حضور رفائيل'!$G$7:$G$36,$O268),INDEX('حضور ميخائيل'!$G$7:$G$36,$O268)),""))</f>
        <v/>
      </c>
      <c r="T268" s="35" t="str">
        <f>IF($O268="","",IFERROR(CHOOSE(MATCH($F268,الإعدادات!$B$4:$B$7,0),INDEX('حضور سوريال'!$H$7:$H$36,$O268),INDEX('حضور غبريال'!$H$7:$H$36,$O268),INDEX('حضور رفائيل'!$H$7:$H$36,$O268),INDEX('حضور ميخائيل'!$H$7:$H$36,$O268)),""))</f>
        <v/>
      </c>
      <c r="U268" s="36" t="str">
        <f>IF($O268="","",IFERROR(CHOOSE(MATCH($F268,الإعدادات!$B$4:$B$7,0),INDEX('حضور سوريال'!$I$7:$I$36,$O268),INDEX('حضور غبريال'!$I$7:$I$36,$O268),INDEX('حضور رفائيل'!$I$7:$I$36,$O268),INDEX('حضور ميخائيل'!$I$7:$I$36,$O268)),""))</f>
        <v/>
      </c>
      <c r="V268" t="str">
        <f>IF($O268="","",IFERROR(CHOOSE(MATCH($F268,الإعدادات!$B$4:$B$7,0),INDEX('حضور سوريال'!$BM$7:$BM$36,$O268),INDEX('حضور غبريال'!$BM$7:$BM$36,$O268),INDEX('حضور رفائيل'!$BM$7:$BM$36,$O268),INDEX('حضور ميخائيل'!$BM$7:$BM$36,$O268)),""))</f>
        <v/>
      </c>
      <c r="W268" t="str">
        <f>IF(OR(V268=3,V268=4),COUNTIFS(V$6:V268,3)+COUNTIFS(V$6:V268,4),"")</f>
        <v/>
      </c>
    </row>
    <row r="269" spans="1:23" ht="25.5" customHeight="1">
      <c r="A269" s="26" t="str">
        <f t="shared" si="12"/>
        <v/>
      </c>
      <c r="B269" s="27" t="str">
        <f t="shared" si="13"/>
        <v/>
      </c>
      <c r="C269" s="28"/>
      <c r="D269" s="29"/>
      <c r="E269" s="29"/>
      <c r="F269" s="29"/>
      <c r="G269" s="29"/>
      <c r="H269" s="30"/>
      <c r="I269" s="30"/>
      <c r="J269" s="31"/>
      <c r="K269" s="29"/>
      <c r="L269" s="31"/>
      <c r="M269" s="29"/>
      <c r="N269" s="32" t="str">
        <f t="shared" si="14"/>
        <v/>
      </c>
      <c r="O269" s="32" t="str">
        <f>IF(OR(C269="",F269=""),"",COUNTIFS(F$6:F269,F269,C$6:C269,"&lt;&gt;"))</f>
        <v/>
      </c>
      <c r="P269" s="33" t="str">
        <f>IF($O269="","",IFERROR(CHOOSE(MATCH($F269,الإعدادات!$B$4:$B$7,0),INDEX('حضور سوريال'!$C$7:$C$36,$O269),INDEX('حضور غبريال'!$C$7:$C$36,$O269),INDEX('حضور رفائيل'!$C$7:$C$36,$O269),INDEX('حضور ميخائيل'!$C$7:$C$36,$O269)),""))</f>
        <v/>
      </c>
      <c r="Q269" s="33" t="str">
        <f>IF($O269="","",IFERROR(CHOOSE(MATCH($F269,الإعدادات!$B$4:$B$7,0),INDEX('حضور سوريال'!$D$7:$D$36,$O269),INDEX('حضور غبريال'!$D$7:$D$36,$O269),INDEX('حضور رفائيل'!$D$7:$D$36,$O269),INDEX('حضور ميخائيل'!$D$7:$D$36,$O269)),""))</f>
        <v/>
      </c>
      <c r="R269" s="34" t="str">
        <f>IF($O269="","",IFERROR(CHOOSE(MATCH($F269,الإعدادات!$B$4:$B$7,0),INDEX('حضور سوريال'!$F$7:$F$36,$O269),INDEX('حضور غبريال'!$F$7:$F$36,$O269),INDEX('حضور رفائيل'!$F$7:$F$36,$O269),INDEX('حضور ميخائيل'!$F$7:$F$36,$O269)),""))</f>
        <v/>
      </c>
      <c r="S269" s="33" t="str">
        <f>IF($O269="","",IFERROR(CHOOSE(MATCH($F269,الإعدادات!$B$4:$B$7,0),INDEX('حضور سوريال'!$G$7:$G$36,$O269),INDEX('حضور غبريال'!$G$7:$G$36,$O269),INDEX('حضور رفائيل'!$G$7:$G$36,$O269),INDEX('حضور ميخائيل'!$G$7:$G$36,$O269)),""))</f>
        <v/>
      </c>
      <c r="T269" s="35" t="str">
        <f>IF($O269="","",IFERROR(CHOOSE(MATCH($F269,الإعدادات!$B$4:$B$7,0),INDEX('حضور سوريال'!$H$7:$H$36,$O269),INDEX('حضور غبريال'!$H$7:$H$36,$O269),INDEX('حضور رفائيل'!$H$7:$H$36,$O269),INDEX('حضور ميخائيل'!$H$7:$H$36,$O269)),""))</f>
        <v/>
      </c>
      <c r="U269" s="36" t="str">
        <f>IF($O269="","",IFERROR(CHOOSE(MATCH($F269,الإعدادات!$B$4:$B$7,0),INDEX('حضور سوريال'!$I$7:$I$36,$O269),INDEX('حضور غبريال'!$I$7:$I$36,$O269),INDEX('حضور رفائيل'!$I$7:$I$36,$O269),INDEX('حضور ميخائيل'!$I$7:$I$36,$O269)),""))</f>
        <v/>
      </c>
      <c r="V269" t="str">
        <f>IF($O269="","",IFERROR(CHOOSE(MATCH($F269,الإعدادات!$B$4:$B$7,0),INDEX('حضور سوريال'!$BM$7:$BM$36,$O269),INDEX('حضور غبريال'!$BM$7:$BM$36,$O269),INDEX('حضور رفائيل'!$BM$7:$BM$36,$O269),INDEX('حضور ميخائيل'!$BM$7:$BM$36,$O269)),""))</f>
        <v/>
      </c>
      <c r="W269" t="str">
        <f>IF(OR(V269=3,V269=4),COUNTIFS(V$6:V269,3)+COUNTIFS(V$6:V269,4),"")</f>
        <v/>
      </c>
    </row>
    <row r="270" spans="1:23" ht="25.5" customHeight="1">
      <c r="A270" s="26" t="str">
        <f t="shared" si="12"/>
        <v/>
      </c>
      <c r="B270" s="27" t="str">
        <f t="shared" si="13"/>
        <v/>
      </c>
      <c r="C270" s="28"/>
      <c r="D270" s="29"/>
      <c r="E270" s="29"/>
      <c r="F270" s="29"/>
      <c r="G270" s="29"/>
      <c r="H270" s="30"/>
      <c r="I270" s="30"/>
      <c r="J270" s="31"/>
      <c r="K270" s="29"/>
      <c r="L270" s="31"/>
      <c r="M270" s="29"/>
      <c r="N270" s="32" t="str">
        <f t="shared" si="14"/>
        <v/>
      </c>
      <c r="O270" s="32" t="str">
        <f>IF(OR(C270="",F270=""),"",COUNTIFS(F$6:F270,F270,C$6:C270,"&lt;&gt;"))</f>
        <v/>
      </c>
      <c r="P270" s="33" t="str">
        <f>IF($O270="","",IFERROR(CHOOSE(MATCH($F270,الإعدادات!$B$4:$B$7,0),INDEX('حضور سوريال'!$C$7:$C$36,$O270),INDEX('حضور غبريال'!$C$7:$C$36,$O270),INDEX('حضور رفائيل'!$C$7:$C$36,$O270),INDEX('حضور ميخائيل'!$C$7:$C$36,$O270)),""))</f>
        <v/>
      </c>
      <c r="Q270" s="33" t="str">
        <f>IF($O270="","",IFERROR(CHOOSE(MATCH($F270,الإعدادات!$B$4:$B$7,0),INDEX('حضور سوريال'!$D$7:$D$36,$O270),INDEX('حضور غبريال'!$D$7:$D$36,$O270),INDEX('حضور رفائيل'!$D$7:$D$36,$O270),INDEX('حضور ميخائيل'!$D$7:$D$36,$O270)),""))</f>
        <v/>
      </c>
      <c r="R270" s="34" t="str">
        <f>IF($O270="","",IFERROR(CHOOSE(MATCH($F270,الإعدادات!$B$4:$B$7,0),INDEX('حضور سوريال'!$F$7:$F$36,$O270),INDEX('حضور غبريال'!$F$7:$F$36,$O270),INDEX('حضور رفائيل'!$F$7:$F$36,$O270),INDEX('حضور ميخائيل'!$F$7:$F$36,$O270)),""))</f>
        <v/>
      </c>
      <c r="S270" s="33" t="str">
        <f>IF($O270="","",IFERROR(CHOOSE(MATCH($F270,الإعدادات!$B$4:$B$7,0),INDEX('حضور سوريال'!$G$7:$G$36,$O270),INDEX('حضور غبريال'!$G$7:$G$36,$O270),INDEX('حضور رفائيل'!$G$7:$G$36,$O270),INDEX('حضور ميخائيل'!$G$7:$G$36,$O270)),""))</f>
        <v/>
      </c>
      <c r="T270" s="35" t="str">
        <f>IF($O270="","",IFERROR(CHOOSE(MATCH($F270,الإعدادات!$B$4:$B$7,0),INDEX('حضور سوريال'!$H$7:$H$36,$O270),INDEX('حضور غبريال'!$H$7:$H$36,$O270),INDEX('حضور رفائيل'!$H$7:$H$36,$O270),INDEX('حضور ميخائيل'!$H$7:$H$36,$O270)),""))</f>
        <v/>
      </c>
      <c r="U270" s="36" t="str">
        <f>IF($O270="","",IFERROR(CHOOSE(MATCH($F270,الإعدادات!$B$4:$B$7,0),INDEX('حضور سوريال'!$I$7:$I$36,$O270),INDEX('حضور غبريال'!$I$7:$I$36,$O270),INDEX('حضور رفائيل'!$I$7:$I$36,$O270),INDEX('حضور ميخائيل'!$I$7:$I$36,$O270)),""))</f>
        <v/>
      </c>
      <c r="V270" t="str">
        <f>IF($O270="","",IFERROR(CHOOSE(MATCH($F270,الإعدادات!$B$4:$B$7,0),INDEX('حضور سوريال'!$BM$7:$BM$36,$O270),INDEX('حضور غبريال'!$BM$7:$BM$36,$O270),INDEX('حضور رفائيل'!$BM$7:$BM$36,$O270),INDEX('حضور ميخائيل'!$BM$7:$BM$36,$O270)),""))</f>
        <v/>
      </c>
      <c r="W270" t="str">
        <f>IF(OR(V270=3,V270=4),COUNTIFS(V$6:V270,3)+COUNTIFS(V$6:V270,4),"")</f>
        <v/>
      </c>
    </row>
    <row r="271" spans="1:23" ht="25.5" customHeight="1">
      <c r="A271" s="26" t="str">
        <f t="shared" si="12"/>
        <v/>
      </c>
      <c r="B271" s="27" t="str">
        <f t="shared" si="13"/>
        <v/>
      </c>
      <c r="C271" s="28"/>
      <c r="D271" s="29"/>
      <c r="E271" s="29"/>
      <c r="F271" s="29"/>
      <c r="G271" s="29"/>
      <c r="H271" s="30"/>
      <c r="I271" s="30"/>
      <c r="J271" s="31"/>
      <c r="K271" s="29"/>
      <c r="L271" s="31"/>
      <c r="M271" s="29"/>
      <c r="N271" s="32" t="str">
        <f t="shared" si="14"/>
        <v/>
      </c>
      <c r="O271" s="32" t="str">
        <f>IF(OR(C271="",F271=""),"",COUNTIFS(F$6:F271,F271,C$6:C271,"&lt;&gt;"))</f>
        <v/>
      </c>
      <c r="P271" s="33" t="str">
        <f>IF($O271="","",IFERROR(CHOOSE(MATCH($F271,الإعدادات!$B$4:$B$7,0),INDEX('حضور سوريال'!$C$7:$C$36,$O271),INDEX('حضور غبريال'!$C$7:$C$36,$O271),INDEX('حضور رفائيل'!$C$7:$C$36,$O271),INDEX('حضور ميخائيل'!$C$7:$C$36,$O271)),""))</f>
        <v/>
      </c>
      <c r="Q271" s="33" t="str">
        <f>IF($O271="","",IFERROR(CHOOSE(MATCH($F271,الإعدادات!$B$4:$B$7,0),INDEX('حضور سوريال'!$D$7:$D$36,$O271),INDEX('حضور غبريال'!$D$7:$D$36,$O271),INDEX('حضور رفائيل'!$D$7:$D$36,$O271),INDEX('حضور ميخائيل'!$D$7:$D$36,$O271)),""))</f>
        <v/>
      </c>
      <c r="R271" s="34" t="str">
        <f>IF($O271="","",IFERROR(CHOOSE(MATCH($F271,الإعدادات!$B$4:$B$7,0),INDEX('حضور سوريال'!$F$7:$F$36,$O271),INDEX('حضور غبريال'!$F$7:$F$36,$O271),INDEX('حضور رفائيل'!$F$7:$F$36,$O271),INDEX('حضور ميخائيل'!$F$7:$F$36,$O271)),""))</f>
        <v/>
      </c>
      <c r="S271" s="33" t="str">
        <f>IF($O271="","",IFERROR(CHOOSE(MATCH($F271,الإعدادات!$B$4:$B$7,0),INDEX('حضور سوريال'!$G$7:$G$36,$O271),INDEX('حضور غبريال'!$G$7:$G$36,$O271),INDEX('حضور رفائيل'!$G$7:$G$36,$O271),INDEX('حضور ميخائيل'!$G$7:$G$36,$O271)),""))</f>
        <v/>
      </c>
      <c r="T271" s="35" t="str">
        <f>IF($O271="","",IFERROR(CHOOSE(MATCH($F271,الإعدادات!$B$4:$B$7,0),INDEX('حضور سوريال'!$H$7:$H$36,$O271),INDEX('حضور غبريال'!$H$7:$H$36,$O271),INDEX('حضور رفائيل'!$H$7:$H$36,$O271),INDEX('حضور ميخائيل'!$H$7:$H$36,$O271)),""))</f>
        <v/>
      </c>
      <c r="U271" s="36" t="str">
        <f>IF($O271="","",IFERROR(CHOOSE(MATCH($F271,الإعدادات!$B$4:$B$7,0),INDEX('حضور سوريال'!$I$7:$I$36,$O271),INDEX('حضور غبريال'!$I$7:$I$36,$O271),INDEX('حضور رفائيل'!$I$7:$I$36,$O271),INDEX('حضور ميخائيل'!$I$7:$I$36,$O271)),""))</f>
        <v/>
      </c>
      <c r="V271" t="str">
        <f>IF($O271="","",IFERROR(CHOOSE(MATCH($F271,الإعدادات!$B$4:$B$7,0),INDEX('حضور سوريال'!$BM$7:$BM$36,$O271),INDEX('حضور غبريال'!$BM$7:$BM$36,$O271),INDEX('حضور رفائيل'!$BM$7:$BM$36,$O271),INDEX('حضور ميخائيل'!$BM$7:$BM$36,$O271)),""))</f>
        <v/>
      </c>
      <c r="W271" t="str">
        <f>IF(OR(V271=3,V271=4),COUNTIFS(V$6:V271,3)+COUNTIFS(V$6:V271,4),"")</f>
        <v/>
      </c>
    </row>
    <row r="272" spans="1:23" ht="25.5" customHeight="1">
      <c r="A272" s="26" t="str">
        <f t="shared" si="12"/>
        <v/>
      </c>
      <c r="B272" s="27" t="str">
        <f t="shared" si="13"/>
        <v/>
      </c>
      <c r="C272" s="28"/>
      <c r="D272" s="29"/>
      <c r="E272" s="29"/>
      <c r="F272" s="29"/>
      <c r="G272" s="29"/>
      <c r="H272" s="30"/>
      <c r="I272" s="30"/>
      <c r="J272" s="31"/>
      <c r="K272" s="29"/>
      <c r="L272" s="31"/>
      <c r="M272" s="29"/>
      <c r="N272" s="32" t="str">
        <f t="shared" si="14"/>
        <v/>
      </c>
      <c r="O272" s="32" t="str">
        <f>IF(OR(C272="",F272=""),"",COUNTIFS(F$6:F272,F272,C$6:C272,"&lt;&gt;"))</f>
        <v/>
      </c>
      <c r="P272" s="33" t="str">
        <f>IF($O272="","",IFERROR(CHOOSE(MATCH($F272,الإعدادات!$B$4:$B$7,0),INDEX('حضور سوريال'!$C$7:$C$36,$O272),INDEX('حضور غبريال'!$C$7:$C$36,$O272),INDEX('حضور رفائيل'!$C$7:$C$36,$O272),INDEX('حضور ميخائيل'!$C$7:$C$36,$O272)),""))</f>
        <v/>
      </c>
      <c r="Q272" s="33" t="str">
        <f>IF($O272="","",IFERROR(CHOOSE(MATCH($F272,الإعدادات!$B$4:$B$7,0),INDEX('حضور سوريال'!$D$7:$D$36,$O272),INDEX('حضور غبريال'!$D$7:$D$36,$O272),INDEX('حضور رفائيل'!$D$7:$D$36,$O272),INDEX('حضور ميخائيل'!$D$7:$D$36,$O272)),""))</f>
        <v/>
      </c>
      <c r="R272" s="34" t="str">
        <f>IF($O272="","",IFERROR(CHOOSE(MATCH($F272,الإعدادات!$B$4:$B$7,0),INDEX('حضور سوريال'!$F$7:$F$36,$O272),INDEX('حضور غبريال'!$F$7:$F$36,$O272),INDEX('حضور رفائيل'!$F$7:$F$36,$O272),INDEX('حضور ميخائيل'!$F$7:$F$36,$O272)),""))</f>
        <v/>
      </c>
      <c r="S272" s="33" t="str">
        <f>IF($O272="","",IFERROR(CHOOSE(MATCH($F272,الإعدادات!$B$4:$B$7,0),INDEX('حضور سوريال'!$G$7:$G$36,$O272),INDEX('حضور غبريال'!$G$7:$G$36,$O272),INDEX('حضور رفائيل'!$G$7:$G$36,$O272),INDEX('حضور ميخائيل'!$G$7:$G$36,$O272)),""))</f>
        <v/>
      </c>
      <c r="T272" s="35" t="str">
        <f>IF($O272="","",IFERROR(CHOOSE(MATCH($F272,الإعدادات!$B$4:$B$7,0),INDEX('حضور سوريال'!$H$7:$H$36,$O272),INDEX('حضور غبريال'!$H$7:$H$36,$O272),INDEX('حضور رفائيل'!$H$7:$H$36,$O272),INDEX('حضور ميخائيل'!$H$7:$H$36,$O272)),""))</f>
        <v/>
      </c>
      <c r="U272" s="36" t="str">
        <f>IF($O272="","",IFERROR(CHOOSE(MATCH($F272,الإعدادات!$B$4:$B$7,0),INDEX('حضور سوريال'!$I$7:$I$36,$O272),INDEX('حضور غبريال'!$I$7:$I$36,$O272),INDEX('حضور رفائيل'!$I$7:$I$36,$O272),INDEX('حضور ميخائيل'!$I$7:$I$36,$O272)),""))</f>
        <v/>
      </c>
      <c r="V272" t="str">
        <f>IF($O272="","",IFERROR(CHOOSE(MATCH($F272,الإعدادات!$B$4:$B$7,0),INDEX('حضور سوريال'!$BM$7:$BM$36,$O272),INDEX('حضور غبريال'!$BM$7:$BM$36,$O272),INDEX('حضور رفائيل'!$BM$7:$BM$36,$O272),INDEX('حضور ميخائيل'!$BM$7:$BM$36,$O272)),""))</f>
        <v/>
      </c>
      <c r="W272" t="str">
        <f>IF(OR(V272=3,V272=4),COUNTIFS(V$6:V272,3)+COUNTIFS(V$6:V272,4),"")</f>
        <v/>
      </c>
    </row>
    <row r="273" spans="1:23" ht="25.5" customHeight="1">
      <c r="A273" s="26" t="str">
        <f t="shared" si="12"/>
        <v/>
      </c>
      <c r="B273" s="27" t="str">
        <f t="shared" si="13"/>
        <v/>
      </c>
      <c r="C273" s="28"/>
      <c r="D273" s="29"/>
      <c r="E273" s="29"/>
      <c r="F273" s="29"/>
      <c r="G273" s="29"/>
      <c r="H273" s="30"/>
      <c r="I273" s="30"/>
      <c r="J273" s="31"/>
      <c r="K273" s="29"/>
      <c r="L273" s="31"/>
      <c r="M273" s="29"/>
      <c r="N273" s="32" t="str">
        <f t="shared" si="14"/>
        <v/>
      </c>
      <c r="O273" s="32" t="str">
        <f>IF(OR(C273="",F273=""),"",COUNTIFS(F$6:F273,F273,C$6:C273,"&lt;&gt;"))</f>
        <v/>
      </c>
      <c r="P273" s="33" t="str">
        <f>IF($O273="","",IFERROR(CHOOSE(MATCH($F273,الإعدادات!$B$4:$B$7,0),INDEX('حضور سوريال'!$C$7:$C$36,$O273),INDEX('حضور غبريال'!$C$7:$C$36,$O273),INDEX('حضور رفائيل'!$C$7:$C$36,$O273),INDEX('حضور ميخائيل'!$C$7:$C$36,$O273)),""))</f>
        <v/>
      </c>
      <c r="Q273" s="33" t="str">
        <f>IF($O273="","",IFERROR(CHOOSE(MATCH($F273,الإعدادات!$B$4:$B$7,0),INDEX('حضور سوريال'!$D$7:$D$36,$O273),INDEX('حضور غبريال'!$D$7:$D$36,$O273),INDEX('حضور رفائيل'!$D$7:$D$36,$O273),INDEX('حضور ميخائيل'!$D$7:$D$36,$O273)),""))</f>
        <v/>
      </c>
      <c r="R273" s="34" t="str">
        <f>IF($O273="","",IFERROR(CHOOSE(MATCH($F273,الإعدادات!$B$4:$B$7,0),INDEX('حضور سوريال'!$F$7:$F$36,$O273),INDEX('حضور غبريال'!$F$7:$F$36,$O273),INDEX('حضور رفائيل'!$F$7:$F$36,$O273),INDEX('حضور ميخائيل'!$F$7:$F$36,$O273)),""))</f>
        <v/>
      </c>
      <c r="S273" s="33" t="str">
        <f>IF($O273="","",IFERROR(CHOOSE(MATCH($F273,الإعدادات!$B$4:$B$7,0),INDEX('حضور سوريال'!$G$7:$G$36,$O273),INDEX('حضور غبريال'!$G$7:$G$36,$O273),INDEX('حضور رفائيل'!$G$7:$G$36,$O273),INDEX('حضور ميخائيل'!$G$7:$G$36,$O273)),""))</f>
        <v/>
      </c>
      <c r="T273" s="35" t="str">
        <f>IF($O273="","",IFERROR(CHOOSE(MATCH($F273,الإعدادات!$B$4:$B$7,0),INDEX('حضور سوريال'!$H$7:$H$36,$O273),INDEX('حضور غبريال'!$H$7:$H$36,$O273),INDEX('حضور رفائيل'!$H$7:$H$36,$O273),INDEX('حضور ميخائيل'!$H$7:$H$36,$O273)),""))</f>
        <v/>
      </c>
      <c r="U273" s="36" t="str">
        <f>IF($O273="","",IFERROR(CHOOSE(MATCH($F273,الإعدادات!$B$4:$B$7,0),INDEX('حضور سوريال'!$I$7:$I$36,$O273),INDEX('حضور غبريال'!$I$7:$I$36,$O273),INDEX('حضور رفائيل'!$I$7:$I$36,$O273),INDEX('حضور ميخائيل'!$I$7:$I$36,$O273)),""))</f>
        <v/>
      </c>
      <c r="V273" t="str">
        <f>IF($O273="","",IFERROR(CHOOSE(MATCH($F273,الإعدادات!$B$4:$B$7,0),INDEX('حضور سوريال'!$BM$7:$BM$36,$O273),INDEX('حضور غبريال'!$BM$7:$BM$36,$O273),INDEX('حضور رفائيل'!$BM$7:$BM$36,$O273),INDEX('حضور ميخائيل'!$BM$7:$BM$36,$O273)),""))</f>
        <v/>
      </c>
      <c r="W273" t="str">
        <f>IF(OR(V273=3,V273=4),COUNTIFS(V$6:V273,3)+COUNTIFS(V$6:V273,4),"")</f>
        <v/>
      </c>
    </row>
    <row r="274" spans="1:23" ht="25.5" customHeight="1">
      <c r="A274" s="26" t="str">
        <f t="shared" si="12"/>
        <v/>
      </c>
      <c r="B274" s="27" t="str">
        <f t="shared" si="13"/>
        <v/>
      </c>
      <c r="C274" s="28"/>
      <c r="D274" s="29"/>
      <c r="E274" s="29"/>
      <c r="F274" s="29"/>
      <c r="G274" s="29"/>
      <c r="H274" s="30"/>
      <c r="I274" s="30"/>
      <c r="J274" s="31"/>
      <c r="K274" s="29"/>
      <c r="L274" s="31"/>
      <c r="M274" s="29"/>
      <c r="N274" s="32" t="str">
        <f t="shared" si="14"/>
        <v/>
      </c>
      <c r="O274" s="32" t="str">
        <f>IF(OR(C274="",F274=""),"",COUNTIFS(F$6:F274,F274,C$6:C274,"&lt;&gt;"))</f>
        <v/>
      </c>
      <c r="P274" s="33" t="str">
        <f>IF($O274="","",IFERROR(CHOOSE(MATCH($F274,الإعدادات!$B$4:$B$7,0),INDEX('حضور سوريال'!$C$7:$C$36,$O274),INDEX('حضور غبريال'!$C$7:$C$36,$O274),INDEX('حضور رفائيل'!$C$7:$C$36,$O274),INDEX('حضور ميخائيل'!$C$7:$C$36,$O274)),""))</f>
        <v/>
      </c>
      <c r="Q274" s="33" t="str">
        <f>IF($O274="","",IFERROR(CHOOSE(MATCH($F274,الإعدادات!$B$4:$B$7,0),INDEX('حضور سوريال'!$D$7:$D$36,$O274),INDEX('حضور غبريال'!$D$7:$D$36,$O274),INDEX('حضور رفائيل'!$D$7:$D$36,$O274),INDEX('حضور ميخائيل'!$D$7:$D$36,$O274)),""))</f>
        <v/>
      </c>
      <c r="R274" s="34" t="str">
        <f>IF($O274="","",IFERROR(CHOOSE(MATCH($F274,الإعدادات!$B$4:$B$7,0),INDEX('حضور سوريال'!$F$7:$F$36,$O274),INDEX('حضور غبريال'!$F$7:$F$36,$O274),INDEX('حضور رفائيل'!$F$7:$F$36,$O274),INDEX('حضور ميخائيل'!$F$7:$F$36,$O274)),""))</f>
        <v/>
      </c>
      <c r="S274" s="33" t="str">
        <f>IF($O274="","",IFERROR(CHOOSE(MATCH($F274,الإعدادات!$B$4:$B$7,0),INDEX('حضور سوريال'!$G$7:$G$36,$O274),INDEX('حضور غبريال'!$G$7:$G$36,$O274),INDEX('حضور رفائيل'!$G$7:$G$36,$O274),INDEX('حضور ميخائيل'!$G$7:$G$36,$O274)),""))</f>
        <v/>
      </c>
      <c r="T274" s="35" t="str">
        <f>IF($O274="","",IFERROR(CHOOSE(MATCH($F274,الإعدادات!$B$4:$B$7,0),INDEX('حضور سوريال'!$H$7:$H$36,$O274),INDEX('حضور غبريال'!$H$7:$H$36,$O274),INDEX('حضور رفائيل'!$H$7:$H$36,$O274),INDEX('حضور ميخائيل'!$H$7:$H$36,$O274)),""))</f>
        <v/>
      </c>
      <c r="U274" s="36" t="str">
        <f>IF($O274="","",IFERROR(CHOOSE(MATCH($F274,الإعدادات!$B$4:$B$7,0),INDEX('حضور سوريال'!$I$7:$I$36,$O274),INDEX('حضور غبريال'!$I$7:$I$36,$O274),INDEX('حضور رفائيل'!$I$7:$I$36,$O274),INDEX('حضور ميخائيل'!$I$7:$I$36,$O274)),""))</f>
        <v/>
      </c>
      <c r="V274" t="str">
        <f>IF($O274="","",IFERROR(CHOOSE(MATCH($F274,الإعدادات!$B$4:$B$7,0),INDEX('حضور سوريال'!$BM$7:$BM$36,$O274),INDEX('حضور غبريال'!$BM$7:$BM$36,$O274),INDEX('حضور رفائيل'!$BM$7:$BM$36,$O274),INDEX('حضور ميخائيل'!$BM$7:$BM$36,$O274)),""))</f>
        <v/>
      </c>
      <c r="W274" t="str">
        <f>IF(OR(V274=3,V274=4),COUNTIFS(V$6:V274,3)+COUNTIFS(V$6:V274,4),"")</f>
        <v/>
      </c>
    </row>
    <row r="275" spans="1:23" ht="25.5" customHeight="1">
      <c r="A275" s="26" t="str">
        <f t="shared" si="12"/>
        <v/>
      </c>
      <c r="B275" s="27" t="str">
        <f t="shared" si="13"/>
        <v/>
      </c>
      <c r="C275" s="28"/>
      <c r="D275" s="29"/>
      <c r="E275" s="29"/>
      <c r="F275" s="29"/>
      <c r="G275" s="29"/>
      <c r="H275" s="30"/>
      <c r="I275" s="30"/>
      <c r="J275" s="31"/>
      <c r="K275" s="29"/>
      <c r="L275" s="31"/>
      <c r="M275" s="29"/>
      <c r="N275" s="32" t="str">
        <f t="shared" si="14"/>
        <v/>
      </c>
      <c r="O275" s="32" t="str">
        <f>IF(OR(C275="",F275=""),"",COUNTIFS(F$6:F275,F275,C$6:C275,"&lt;&gt;"))</f>
        <v/>
      </c>
      <c r="P275" s="33" t="str">
        <f>IF($O275="","",IFERROR(CHOOSE(MATCH($F275,الإعدادات!$B$4:$B$7,0),INDEX('حضور سوريال'!$C$7:$C$36,$O275),INDEX('حضور غبريال'!$C$7:$C$36,$O275),INDEX('حضور رفائيل'!$C$7:$C$36,$O275),INDEX('حضور ميخائيل'!$C$7:$C$36,$O275)),""))</f>
        <v/>
      </c>
      <c r="Q275" s="33" t="str">
        <f>IF($O275="","",IFERROR(CHOOSE(MATCH($F275,الإعدادات!$B$4:$B$7,0),INDEX('حضور سوريال'!$D$7:$D$36,$O275),INDEX('حضور غبريال'!$D$7:$D$36,$O275),INDEX('حضور رفائيل'!$D$7:$D$36,$O275),INDEX('حضور ميخائيل'!$D$7:$D$36,$O275)),""))</f>
        <v/>
      </c>
      <c r="R275" s="34" t="str">
        <f>IF($O275="","",IFERROR(CHOOSE(MATCH($F275,الإعدادات!$B$4:$B$7,0),INDEX('حضور سوريال'!$F$7:$F$36,$O275),INDEX('حضور غبريال'!$F$7:$F$36,$O275),INDEX('حضور رفائيل'!$F$7:$F$36,$O275),INDEX('حضور ميخائيل'!$F$7:$F$36,$O275)),""))</f>
        <v/>
      </c>
      <c r="S275" s="33" t="str">
        <f>IF($O275="","",IFERROR(CHOOSE(MATCH($F275,الإعدادات!$B$4:$B$7,0),INDEX('حضور سوريال'!$G$7:$G$36,$O275),INDEX('حضور غبريال'!$G$7:$G$36,$O275),INDEX('حضور رفائيل'!$G$7:$G$36,$O275),INDEX('حضور ميخائيل'!$G$7:$G$36,$O275)),""))</f>
        <v/>
      </c>
      <c r="T275" s="35" t="str">
        <f>IF($O275="","",IFERROR(CHOOSE(MATCH($F275,الإعدادات!$B$4:$B$7,0),INDEX('حضور سوريال'!$H$7:$H$36,$O275),INDEX('حضور غبريال'!$H$7:$H$36,$O275),INDEX('حضور رفائيل'!$H$7:$H$36,$O275),INDEX('حضور ميخائيل'!$H$7:$H$36,$O275)),""))</f>
        <v/>
      </c>
      <c r="U275" s="36" t="str">
        <f>IF($O275="","",IFERROR(CHOOSE(MATCH($F275,الإعدادات!$B$4:$B$7,0),INDEX('حضور سوريال'!$I$7:$I$36,$O275),INDEX('حضور غبريال'!$I$7:$I$36,$O275),INDEX('حضور رفائيل'!$I$7:$I$36,$O275),INDEX('حضور ميخائيل'!$I$7:$I$36,$O275)),""))</f>
        <v/>
      </c>
      <c r="V275" t="str">
        <f>IF($O275="","",IFERROR(CHOOSE(MATCH($F275,الإعدادات!$B$4:$B$7,0),INDEX('حضور سوريال'!$BM$7:$BM$36,$O275),INDEX('حضور غبريال'!$BM$7:$BM$36,$O275),INDEX('حضور رفائيل'!$BM$7:$BM$36,$O275),INDEX('حضور ميخائيل'!$BM$7:$BM$36,$O275)),""))</f>
        <v/>
      </c>
      <c r="W275" t="str">
        <f>IF(OR(V275=3,V275=4),COUNTIFS(V$6:V275,3)+COUNTIFS(V$6:V275,4),"")</f>
        <v/>
      </c>
    </row>
    <row r="276" spans="1:23" ht="25.5" customHeight="1">
      <c r="A276" s="26" t="str">
        <f t="shared" si="12"/>
        <v/>
      </c>
      <c r="B276" s="27" t="str">
        <f t="shared" si="13"/>
        <v/>
      </c>
      <c r="C276" s="28"/>
      <c r="D276" s="29"/>
      <c r="E276" s="29"/>
      <c r="F276" s="29"/>
      <c r="G276" s="29"/>
      <c r="H276" s="30"/>
      <c r="I276" s="30"/>
      <c r="J276" s="31"/>
      <c r="K276" s="29"/>
      <c r="L276" s="31"/>
      <c r="M276" s="29"/>
      <c r="N276" s="32" t="str">
        <f t="shared" si="14"/>
        <v/>
      </c>
      <c r="O276" s="32" t="str">
        <f>IF(OR(C276="",F276=""),"",COUNTIFS(F$6:F276,F276,C$6:C276,"&lt;&gt;"))</f>
        <v/>
      </c>
      <c r="P276" s="33" t="str">
        <f>IF($O276="","",IFERROR(CHOOSE(MATCH($F276,الإعدادات!$B$4:$B$7,0),INDEX('حضور سوريال'!$C$7:$C$36,$O276),INDEX('حضور غبريال'!$C$7:$C$36,$O276),INDEX('حضور رفائيل'!$C$7:$C$36,$O276),INDEX('حضور ميخائيل'!$C$7:$C$36,$O276)),""))</f>
        <v/>
      </c>
      <c r="Q276" s="33" t="str">
        <f>IF($O276="","",IFERROR(CHOOSE(MATCH($F276,الإعدادات!$B$4:$B$7,0),INDEX('حضور سوريال'!$D$7:$D$36,$O276),INDEX('حضور غبريال'!$D$7:$D$36,$O276),INDEX('حضور رفائيل'!$D$7:$D$36,$O276),INDEX('حضور ميخائيل'!$D$7:$D$36,$O276)),""))</f>
        <v/>
      </c>
      <c r="R276" s="34" t="str">
        <f>IF($O276="","",IFERROR(CHOOSE(MATCH($F276,الإعدادات!$B$4:$B$7,0),INDEX('حضور سوريال'!$F$7:$F$36,$O276),INDEX('حضور غبريال'!$F$7:$F$36,$O276),INDEX('حضور رفائيل'!$F$7:$F$36,$O276),INDEX('حضور ميخائيل'!$F$7:$F$36,$O276)),""))</f>
        <v/>
      </c>
      <c r="S276" s="33" t="str">
        <f>IF($O276="","",IFERROR(CHOOSE(MATCH($F276,الإعدادات!$B$4:$B$7,0),INDEX('حضور سوريال'!$G$7:$G$36,$O276),INDEX('حضور غبريال'!$G$7:$G$36,$O276),INDEX('حضور رفائيل'!$G$7:$G$36,$O276),INDEX('حضور ميخائيل'!$G$7:$G$36,$O276)),""))</f>
        <v/>
      </c>
      <c r="T276" s="35" t="str">
        <f>IF($O276="","",IFERROR(CHOOSE(MATCH($F276,الإعدادات!$B$4:$B$7,0),INDEX('حضور سوريال'!$H$7:$H$36,$O276),INDEX('حضور غبريال'!$H$7:$H$36,$O276),INDEX('حضور رفائيل'!$H$7:$H$36,$O276),INDEX('حضور ميخائيل'!$H$7:$H$36,$O276)),""))</f>
        <v/>
      </c>
      <c r="U276" s="36" t="str">
        <f>IF($O276="","",IFERROR(CHOOSE(MATCH($F276,الإعدادات!$B$4:$B$7,0),INDEX('حضور سوريال'!$I$7:$I$36,$O276),INDEX('حضور غبريال'!$I$7:$I$36,$O276),INDEX('حضور رفائيل'!$I$7:$I$36,$O276),INDEX('حضور ميخائيل'!$I$7:$I$36,$O276)),""))</f>
        <v/>
      </c>
      <c r="V276" t="str">
        <f>IF($O276="","",IFERROR(CHOOSE(MATCH($F276,الإعدادات!$B$4:$B$7,0),INDEX('حضور سوريال'!$BM$7:$BM$36,$O276),INDEX('حضور غبريال'!$BM$7:$BM$36,$O276),INDEX('حضور رفائيل'!$BM$7:$BM$36,$O276),INDEX('حضور ميخائيل'!$BM$7:$BM$36,$O276)),""))</f>
        <v/>
      </c>
      <c r="W276" t="str">
        <f>IF(OR(V276=3,V276=4),COUNTIFS(V$6:V276,3)+COUNTIFS(V$6:V276,4),"")</f>
        <v/>
      </c>
    </row>
    <row r="277" spans="1:23" ht="25.5" customHeight="1">
      <c r="A277" s="26" t="str">
        <f t="shared" si="12"/>
        <v/>
      </c>
      <c r="B277" s="27" t="str">
        <f t="shared" si="13"/>
        <v/>
      </c>
      <c r="C277" s="28"/>
      <c r="D277" s="29"/>
      <c r="E277" s="29"/>
      <c r="F277" s="29"/>
      <c r="G277" s="29"/>
      <c r="H277" s="30"/>
      <c r="I277" s="30"/>
      <c r="J277" s="31"/>
      <c r="K277" s="29"/>
      <c r="L277" s="31"/>
      <c r="M277" s="29"/>
      <c r="N277" s="32" t="str">
        <f t="shared" si="14"/>
        <v/>
      </c>
      <c r="O277" s="32" t="str">
        <f>IF(OR(C277="",F277=""),"",COUNTIFS(F$6:F277,F277,C$6:C277,"&lt;&gt;"))</f>
        <v/>
      </c>
      <c r="P277" s="33" t="str">
        <f>IF($O277="","",IFERROR(CHOOSE(MATCH($F277,الإعدادات!$B$4:$B$7,0),INDEX('حضور سوريال'!$C$7:$C$36,$O277),INDEX('حضور غبريال'!$C$7:$C$36,$O277),INDEX('حضور رفائيل'!$C$7:$C$36,$O277),INDEX('حضور ميخائيل'!$C$7:$C$36,$O277)),""))</f>
        <v/>
      </c>
      <c r="Q277" s="33" t="str">
        <f>IF($O277="","",IFERROR(CHOOSE(MATCH($F277,الإعدادات!$B$4:$B$7,0),INDEX('حضور سوريال'!$D$7:$D$36,$O277),INDEX('حضور غبريال'!$D$7:$D$36,$O277),INDEX('حضور رفائيل'!$D$7:$D$36,$O277),INDEX('حضور ميخائيل'!$D$7:$D$36,$O277)),""))</f>
        <v/>
      </c>
      <c r="R277" s="34" t="str">
        <f>IF($O277="","",IFERROR(CHOOSE(MATCH($F277,الإعدادات!$B$4:$B$7,0),INDEX('حضور سوريال'!$F$7:$F$36,$O277),INDEX('حضور غبريال'!$F$7:$F$36,$O277),INDEX('حضور رفائيل'!$F$7:$F$36,$O277),INDEX('حضور ميخائيل'!$F$7:$F$36,$O277)),""))</f>
        <v/>
      </c>
      <c r="S277" s="33" t="str">
        <f>IF($O277="","",IFERROR(CHOOSE(MATCH($F277,الإعدادات!$B$4:$B$7,0),INDEX('حضور سوريال'!$G$7:$G$36,$O277),INDEX('حضور غبريال'!$G$7:$G$36,$O277),INDEX('حضور رفائيل'!$G$7:$G$36,$O277),INDEX('حضور ميخائيل'!$G$7:$G$36,$O277)),""))</f>
        <v/>
      </c>
      <c r="T277" s="35" t="str">
        <f>IF($O277="","",IFERROR(CHOOSE(MATCH($F277,الإعدادات!$B$4:$B$7,0),INDEX('حضور سوريال'!$H$7:$H$36,$O277),INDEX('حضور غبريال'!$H$7:$H$36,$O277),INDEX('حضور رفائيل'!$H$7:$H$36,$O277),INDEX('حضور ميخائيل'!$H$7:$H$36,$O277)),""))</f>
        <v/>
      </c>
      <c r="U277" s="36" t="str">
        <f>IF($O277="","",IFERROR(CHOOSE(MATCH($F277,الإعدادات!$B$4:$B$7,0),INDEX('حضور سوريال'!$I$7:$I$36,$O277),INDEX('حضور غبريال'!$I$7:$I$36,$O277),INDEX('حضور رفائيل'!$I$7:$I$36,$O277),INDEX('حضور ميخائيل'!$I$7:$I$36,$O277)),""))</f>
        <v/>
      </c>
      <c r="V277" t="str">
        <f>IF($O277="","",IFERROR(CHOOSE(MATCH($F277,الإعدادات!$B$4:$B$7,0),INDEX('حضور سوريال'!$BM$7:$BM$36,$O277),INDEX('حضور غبريال'!$BM$7:$BM$36,$O277),INDEX('حضور رفائيل'!$BM$7:$BM$36,$O277),INDEX('حضور ميخائيل'!$BM$7:$BM$36,$O277)),""))</f>
        <v/>
      </c>
      <c r="W277" t="str">
        <f>IF(OR(V277=3,V277=4),COUNTIFS(V$6:V277,3)+COUNTIFS(V$6:V277,4),"")</f>
        <v/>
      </c>
    </row>
    <row r="278" spans="1:23" ht="25.5" customHeight="1">
      <c r="A278" s="26" t="str">
        <f t="shared" si="12"/>
        <v/>
      </c>
      <c r="B278" s="27" t="str">
        <f t="shared" si="13"/>
        <v/>
      </c>
      <c r="C278" s="28"/>
      <c r="D278" s="29"/>
      <c r="E278" s="29"/>
      <c r="F278" s="29"/>
      <c r="G278" s="29"/>
      <c r="H278" s="30"/>
      <c r="I278" s="30"/>
      <c r="J278" s="31"/>
      <c r="K278" s="29"/>
      <c r="L278" s="31"/>
      <c r="M278" s="29"/>
      <c r="N278" s="32" t="str">
        <f t="shared" si="14"/>
        <v/>
      </c>
      <c r="O278" s="32" t="str">
        <f>IF(OR(C278="",F278=""),"",COUNTIFS(F$6:F278,F278,C$6:C278,"&lt;&gt;"))</f>
        <v/>
      </c>
      <c r="P278" s="33" t="str">
        <f>IF($O278="","",IFERROR(CHOOSE(MATCH($F278,الإعدادات!$B$4:$B$7,0),INDEX('حضور سوريال'!$C$7:$C$36,$O278),INDEX('حضور غبريال'!$C$7:$C$36,$O278),INDEX('حضور رفائيل'!$C$7:$C$36,$O278),INDEX('حضور ميخائيل'!$C$7:$C$36,$O278)),""))</f>
        <v/>
      </c>
      <c r="Q278" s="33" t="str">
        <f>IF($O278="","",IFERROR(CHOOSE(MATCH($F278,الإعدادات!$B$4:$B$7,0),INDEX('حضور سوريال'!$D$7:$D$36,$O278),INDEX('حضور غبريال'!$D$7:$D$36,$O278),INDEX('حضور رفائيل'!$D$7:$D$36,$O278),INDEX('حضور ميخائيل'!$D$7:$D$36,$O278)),""))</f>
        <v/>
      </c>
      <c r="R278" s="34" t="str">
        <f>IF($O278="","",IFERROR(CHOOSE(MATCH($F278,الإعدادات!$B$4:$B$7,0),INDEX('حضور سوريال'!$F$7:$F$36,$O278),INDEX('حضور غبريال'!$F$7:$F$36,$O278),INDEX('حضور رفائيل'!$F$7:$F$36,$O278),INDEX('حضور ميخائيل'!$F$7:$F$36,$O278)),""))</f>
        <v/>
      </c>
      <c r="S278" s="33" t="str">
        <f>IF($O278="","",IFERROR(CHOOSE(MATCH($F278,الإعدادات!$B$4:$B$7,0),INDEX('حضور سوريال'!$G$7:$G$36,$O278),INDEX('حضور غبريال'!$G$7:$G$36,$O278),INDEX('حضور رفائيل'!$G$7:$G$36,$O278),INDEX('حضور ميخائيل'!$G$7:$G$36,$O278)),""))</f>
        <v/>
      </c>
      <c r="T278" s="35" t="str">
        <f>IF($O278="","",IFERROR(CHOOSE(MATCH($F278,الإعدادات!$B$4:$B$7,0),INDEX('حضور سوريال'!$H$7:$H$36,$O278),INDEX('حضور غبريال'!$H$7:$H$36,$O278),INDEX('حضور رفائيل'!$H$7:$H$36,$O278),INDEX('حضور ميخائيل'!$H$7:$H$36,$O278)),""))</f>
        <v/>
      </c>
      <c r="U278" s="36" t="str">
        <f>IF($O278="","",IFERROR(CHOOSE(MATCH($F278,الإعدادات!$B$4:$B$7,0),INDEX('حضور سوريال'!$I$7:$I$36,$O278),INDEX('حضور غبريال'!$I$7:$I$36,$O278),INDEX('حضور رفائيل'!$I$7:$I$36,$O278),INDEX('حضور ميخائيل'!$I$7:$I$36,$O278)),""))</f>
        <v/>
      </c>
      <c r="V278" t="str">
        <f>IF($O278="","",IFERROR(CHOOSE(MATCH($F278,الإعدادات!$B$4:$B$7,0),INDEX('حضور سوريال'!$BM$7:$BM$36,$O278),INDEX('حضور غبريال'!$BM$7:$BM$36,$O278),INDEX('حضور رفائيل'!$BM$7:$BM$36,$O278),INDEX('حضور ميخائيل'!$BM$7:$BM$36,$O278)),""))</f>
        <v/>
      </c>
      <c r="W278" t="str">
        <f>IF(OR(V278=3,V278=4),COUNTIFS(V$6:V278,3)+COUNTIFS(V$6:V278,4),"")</f>
        <v/>
      </c>
    </row>
    <row r="279" spans="1:23" ht="25.5" customHeight="1">
      <c r="A279" s="26" t="str">
        <f t="shared" si="12"/>
        <v/>
      </c>
      <c r="B279" s="27" t="str">
        <f t="shared" si="13"/>
        <v/>
      </c>
      <c r="C279" s="28"/>
      <c r="D279" s="29"/>
      <c r="E279" s="29"/>
      <c r="F279" s="29"/>
      <c r="G279" s="29"/>
      <c r="H279" s="30"/>
      <c r="I279" s="30"/>
      <c r="J279" s="31"/>
      <c r="K279" s="29"/>
      <c r="L279" s="31"/>
      <c r="M279" s="29"/>
      <c r="N279" s="32" t="str">
        <f t="shared" si="14"/>
        <v/>
      </c>
      <c r="O279" s="32" t="str">
        <f>IF(OR(C279="",F279=""),"",COUNTIFS(F$6:F279,F279,C$6:C279,"&lt;&gt;"))</f>
        <v/>
      </c>
      <c r="P279" s="33" t="str">
        <f>IF($O279="","",IFERROR(CHOOSE(MATCH($F279,الإعدادات!$B$4:$B$7,0),INDEX('حضور سوريال'!$C$7:$C$36,$O279),INDEX('حضور غبريال'!$C$7:$C$36,$O279),INDEX('حضور رفائيل'!$C$7:$C$36,$O279),INDEX('حضور ميخائيل'!$C$7:$C$36,$O279)),""))</f>
        <v/>
      </c>
      <c r="Q279" s="33" t="str">
        <f>IF($O279="","",IFERROR(CHOOSE(MATCH($F279,الإعدادات!$B$4:$B$7,0),INDEX('حضور سوريال'!$D$7:$D$36,$O279),INDEX('حضور غبريال'!$D$7:$D$36,$O279),INDEX('حضور رفائيل'!$D$7:$D$36,$O279),INDEX('حضور ميخائيل'!$D$7:$D$36,$O279)),""))</f>
        <v/>
      </c>
      <c r="R279" s="34" t="str">
        <f>IF($O279="","",IFERROR(CHOOSE(MATCH($F279,الإعدادات!$B$4:$B$7,0),INDEX('حضور سوريال'!$F$7:$F$36,$O279),INDEX('حضور غبريال'!$F$7:$F$36,$O279),INDEX('حضور رفائيل'!$F$7:$F$36,$O279),INDEX('حضور ميخائيل'!$F$7:$F$36,$O279)),""))</f>
        <v/>
      </c>
      <c r="S279" s="33" t="str">
        <f>IF($O279="","",IFERROR(CHOOSE(MATCH($F279,الإعدادات!$B$4:$B$7,0),INDEX('حضور سوريال'!$G$7:$G$36,$O279),INDEX('حضور غبريال'!$G$7:$G$36,$O279),INDEX('حضور رفائيل'!$G$7:$G$36,$O279),INDEX('حضور ميخائيل'!$G$7:$G$36,$O279)),""))</f>
        <v/>
      </c>
      <c r="T279" s="35" t="str">
        <f>IF($O279="","",IFERROR(CHOOSE(MATCH($F279,الإعدادات!$B$4:$B$7,0),INDEX('حضور سوريال'!$H$7:$H$36,$O279),INDEX('حضور غبريال'!$H$7:$H$36,$O279),INDEX('حضور رفائيل'!$H$7:$H$36,$O279),INDEX('حضور ميخائيل'!$H$7:$H$36,$O279)),""))</f>
        <v/>
      </c>
      <c r="U279" s="36" t="str">
        <f>IF($O279="","",IFERROR(CHOOSE(MATCH($F279,الإعدادات!$B$4:$B$7,0),INDEX('حضور سوريال'!$I$7:$I$36,$O279),INDEX('حضور غبريال'!$I$7:$I$36,$O279),INDEX('حضور رفائيل'!$I$7:$I$36,$O279),INDEX('حضور ميخائيل'!$I$7:$I$36,$O279)),""))</f>
        <v/>
      </c>
      <c r="V279" t="str">
        <f>IF($O279="","",IFERROR(CHOOSE(MATCH($F279,الإعدادات!$B$4:$B$7,0),INDEX('حضور سوريال'!$BM$7:$BM$36,$O279),INDEX('حضور غبريال'!$BM$7:$BM$36,$O279),INDEX('حضور رفائيل'!$BM$7:$BM$36,$O279),INDEX('حضور ميخائيل'!$BM$7:$BM$36,$O279)),""))</f>
        <v/>
      </c>
      <c r="W279" t="str">
        <f>IF(OR(V279=3,V279=4),COUNTIFS(V$6:V279,3)+COUNTIFS(V$6:V279,4),"")</f>
        <v/>
      </c>
    </row>
    <row r="280" spans="1:23" ht="25.5" customHeight="1">
      <c r="A280" s="26" t="str">
        <f t="shared" si="12"/>
        <v/>
      </c>
      <c r="B280" s="27" t="str">
        <f t="shared" si="13"/>
        <v/>
      </c>
      <c r="C280" s="28"/>
      <c r="D280" s="29"/>
      <c r="E280" s="29"/>
      <c r="F280" s="29"/>
      <c r="G280" s="29"/>
      <c r="H280" s="30"/>
      <c r="I280" s="30"/>
      <c r="J280" s="31"/>
      <c r="K280" s="29"/>
      <c r="L280" s="31"/>
      <c r="M280" s="29"/>
      <c r="N280" s="32" t="str">
        <f t="shared" si="14"/>
        <v/>
      </c>
      <c r="O280" s="32" t="str">
        <f>IF(OR(C280="",F280=""),"",COUNTIFS(F$6:F280,F280,C$6:C280,"&lt;&gt;"))</f>
        <v/>
      </c>
      <c r="P280" s="33" t="str">
        <f>IF($O280="","",IFERROR(CHOOSE(MATCH($F280,الإعدادات!$B$4:$B$7,0),INDEX('حضور سوريال'!$C$7:$C$36,$O280),INDEX('حضور غبريال'!$C$7:$C$36,$O280),INDEX('حضور رفائيل'!$C$7:$C$36,$O280),INDEX('حضور ميخائيل'!$C$7:$C$36,$O280)),""))</f>
        <v/>
      </c>
      <c r="Q280" s="33" t="str">
        <f>IF($O280="","",IFERROR(CHOOSE(MATCH($F280,الإعدادات!$B$4:$B$7,0),INDEX('حضور سوريال'!$D$7:$D$36,$O280),INDEX('حضور غبريال'!$D$7:$D$36,$O280),INDEX('حضور رفائيل'!$D$7:$D$36,$O280),INDEX('حضور ميخائيل'!$D$7:$D$36,$O280)),""))</f>
        <v/>
      </c>
      <c r="R280" s="34" t="str">
        <f>IF($O280="","",IFERROR(CHOOSE(MATCH($F280,الإعدادات!$B$4:$B$7,0),INDEX('حضور سوريال'!$F$7:$F$36,$O280),INDEX('حضور غبريال'!$F$7:$F$36,$O280),INDEX('حضور رفائيل'!$F$7:$F$36,$O280),INDEX('حضور ميخائيل'!$F$7:$F$36,$O280)),""))</f>
        <v/>
      </c>
      <c r="S280" s="33" t="str">
        <f>IF($O280="","",IFERROR(CHOOSE(MATCH($F280,الإعدادات!$B$4:$B$7,0),INDEX('حضور سوريال'!$G$7:$G$36,$O280),INDEX('حضور غبريال'!$G$7:$G$36,$O280),INDEX('حضور رفائيل'!$G$7:$G$36,$O280),INDEX('حضور ميخائيل'!$G$7:$G$36,$O280)),""))</f>
        <v/>
      </c>
      <c r="T280" s="35" t="str">
        <f>IF($O280="","",IFERROR(CHOOSE(MATCH($F280,الإعدادات!$B$4:$B$7,0),INDEX('حضور سوريال'!$H$7:$H$36,$O280),INDEX('حضور غبريال'!$H$7:$H$36,$O280),INDEX('حضور رفائيل'!$H$7:$H$36,$O280),INDEX('حضور ميخائيل'!$H$7:$H$36,$O280)),""))</f>
        <v/>
      </c>
      <c r="U280" s="36" t="str">
        <f>IF($O280="","",IFERROR(CHOOSE(MATCH($F280,الإعدادات!$B$4:$B$7,0),INDEX('حضور سوريال'!$I$7:$I$36,$O280),INDEX('حضور غبريال'!$I$7:$I$36,$O280),INDEX('حضور رفائيل'!$I$7:$I$36,$O280),INDEX('حضور ميخائيل'!$I$7:$I$36,$O280)),""))</f>
        <v/>
      </c>
      <c r="V280" t="str">
        <f>IF($O280="","",IFERROR(CHOOSE(MATCH($F280,الإعدادات!$B$4:$B$7,0),INDEX('حضور سوريال'!$BM$7:$BM$36,$O280),INDEX('حضور غبريال'!$BM$7:$BM$36,$O280),INDEX('حضور رفائيل'!$BM$7:$BM$36,$O280),INDEX('حضور ميخائيل'!$BM$7:$BM$36,$O280)),""))</f>
        <v/>
      </c>
      <c r="W280" t="str">
        <f>IF(OR(V280=3,V280=4),COUNTIFS(V$6:V280,3)+COUNTIFS(V$6:V280,4),"")</f>
        <v/>
      </c>
    </row>
    <row r="281" spans="1:23" ht="25.5" customHeight="1">
      <c r="A281" s="26" t="str">
        <f t="shared" si="12"/>
        <v/>
      </c>
      <c r="B281" s="27" t="str">
        <f t="shared" si="13"/>
        <v/>
      </c>
      <c r="C281" s="28"/>
      <c r="D281" s="29"/>
      <c r="E281" s="29"/>
      <c r="F281" s="29"/>
      <c r="G281" s="29"/>
      <c r="H281" s="30"/>
      <c r="I281" s="30"/>
      <c r="J281" s="31"/>
      <c r="K281" s="29"/>
      <c r="L281" s="31"/>
      <c r="M281" s="29"/>
      <c r="N281" s="32" t="str">
        <f t="shared" si="14"/>
        <v/>
      </c>
      <c r="O281" s="32" t="str">
        <f>IF(OR(C281="",F281=""),"",COUNTIFS(F$6:F281,F281,C$6:C281,"&lt;&gt;"))</f>
        <v/>
      </c>
      <c r="P281" s="33" t="str">
        <f>IF($O281="","",IFERROR(CHOOSE(MATCH($F281,الإعدادات!$B$4:$B$7,0),INDEX('حضور سوريال'!$C$7:$C$36,$O281),INDEX('حضور غبريال'!$C$7:$C$36,$O281),INDEX('حضور رفائيل'!$C$7:$C$36,$O281),INDEX('حضور ميخائيل'!$C$7:$C$36,$O281)),""))</f>
        <v/>
      </c>
      <c r="Q281" s="33" t="str">
        <f>IF($O281="","",IFERROR(CHOOSE(MATCH($F281,الإعدادات!$B$4:$B$7,0),INDEX('حضور سوريال'!$D$7:$D$36,$O281),INDEX('حضور غبريال'!$D$7:$D$36,$O281),INDEX('حضور رفائيل'!$D$7:$D$36,$O281),INDEX('حضور ميخائيل'!$D$7:$D$36,$O281)),""))</f>
        <v/>
      </c>
      <c r="R281" s="34" t="str">
        <f>IF($O281="","",IFERROR(CHOOSE(MATCH($F281,الإعدادات!$B$4:$B$7,0),INDEX('حضور سوريال'!$F$7:$F$36,$O281),INDEX('حضور غبريال'!$F$7:$F$36,$O281),INDEX('حضور رفائيل'!$F$7:$F$36,$O281),INDEX('حضور ميخائيل'!$F$7:$F$36,$O281)),""))</f>
        <v/>
      </c>
      <c r="S281" s="33" t="str">
        <f>IF($O281="","",IFERROR(CHOOSE(MATCH($F281,الإعدادات!$B$4:$B$7,0),INDEX('حضور سوريال'!$G$7:$G$36,$O281),INDEX('حضور غبريال'!$G$7:$G$36,$O281),INDEX('حضور رفائيل'!$G$7:$G$36,$O281),INDEX('حضور ميخائيل'!$G$7:$G$36,$O281)),""))</f>
        <v/>
      </c>
      <c r="T281" s="35" t="str">
        <f>IF($O281="","",IFERROR(CHOOSE(MATCH($F281,الإعدادات!$B$4:$B$7,0),INDEX('حضور سوريال'!$H$7:$H$36,$O281),INDEX('حضور غبريال'!$H$7:$H$36,$O281),INDEX('حضور رفائيل'!$H$7:$H$36,$O281),INDEX('حضور ميخائيل'!$H$7:$H$36,$O281)),""))</f>
        <v/>
      </c>
      <c r="U281" s="36" t="str">
        <f>IF($O281="","",IFERROR(CHOOSE(MATCH($F281,الإعدادات!$B$4:$B$7,0),INDEX('حضور سوريال'!$I$7:$I$36,$O281),INDEX('حضور غبريال'!$I$7:$I$36,$O281),INDEX('حضور رفائيل'!$I$7:$I$36,$O281),INDEX('حضور ميخائيل'!$I$7:$I$36,$O281)),""))</f>
        <v/>
      </c>
      <c r="V281" t="str">
        <f>IF($O281="","",IFERROR(CHOOSE(MATCH($F281,الإعدادات!$B$4:$B$7,0),INDEX('حضور سوريال'!$BM$7:$BM$36,$O281),INDEX('حضور غبريال'!$BM$7:$BM$36,$O281),INDEX('حضور رفائيل'!$BM$7:$BM$36,$O281),INDEX('حضور ميخائيل'!$BM$7:$BM$36,$O281)),""))</f>
        <v/>
      </c>
      <c r="W281" t="str">
        <f>IF(OR(V281=3,V281=4),COUNTIFS(V$6:V281,3)+COUNTIFS(V$6:V281,4),"")</f>
        <v/>
      </c>
    </row>
    <row r="282" spans="1:23" ht="25.5" customHeight="1">
      <c r="A282" s="26" t="str">
        <f t="shared" si="12"/>
        <v/>
      </c>
      <c r="B282" s="27" t="str">
        <f t="shared" si="13"/>
        <v/>
      </c>
      <c r="C282" s="28"/>
      <c r="D282" s="29"/>
      <c r="E282" s="29"/>
      <c r="F282" s="29"/>
      <c r="G282" s="29"/>
      <c r="H282" s="30"/>
      <c r="I282" s="30"/>
      <c r="J282" s="31"/>
      <c r="K282" s="29"/>
      <c r="L282" s="31"/>
      <c r="M282" s="29"/>
      <c r="N282" s="32" t="str">
        <f t="shared" si="14"/>
        <v/>
      </c>
      <c r="O282" s="32" t="str">
        <f>IF(OR(C282="",F282=""),"",COUNTIFS(F$6:F282,F282,C$6:C282,"&lt;&gt;"))</f>
        <v/>
      </c>
      <c r="P282" s="33" t="str">
        <f>IF($O282="","",IFERROR(CHOOSE(MATCH($F282,الإعدادات!$B$4:$B$7,0),INDEX('حضور سوريال'!$C$7:$C$36,$O282),INDEX('حضور غبريال'!$C$7:$C$36,$O282),INDEX('حضور رفائيل'!$C$7:$C$36,$O282),INDEX('حضور ميخائيل'!$C$7:$C$36,$O282)),""))</f>
        <v/>
      </c>
      <c r="Q282" s="33" t="str">
        <f>IF($O282="","",IFERROR(CHOOSE(MATCH($F282,الإعدادات!$B$4:$B$7,0),INDEX('حضور سوريال'!$D$7:$D$36,$O282),INDEX('حضور غبريال'!$D$7:$D$36,$O282),INDEX('حضور رفائيل'!$D$7:$D$36,$O282),INDEX('حضور ميخائيل'!$D$7:$D$36,$O282)),""))</f>
        <v/>
      </c>
      <c r="R282" s="34" t="str">
        <f>IF($O282="","",IFERROR(CHOOSE(MATCH($F282,الإعدادات!$B$4:$B$7,0),INDEX('حضور سوريال'!$F$7:$F$36,$O282),INDEX('حضور غبريال'!$F$7:$F$36,$O282),INDEX('حضور رفائيل'!$F$7:$F$36,$O282),INDEX('حضور ميخائيل'!$F$7:$F$36,$O282)),""))</f>
        <v/>
      </c>
      <c r="S282" s="33" t="str">
        <f>IF($O282="","",IFERROR(CHOOSE(MATCH($F282,الإعدادات!$B$4:$B$7,0),INDEX('حضور سوريال'!$G$7:$G$36,$O282),INDEX('حضور غبريال'!$G$7:$G$36,$O282),INDEX('حضور رفائيل'!$G$7:$G$36,$O282),INDEX('حضور ميخائيل'!$G$7:$G$36,$O282)),""))</f>
        <v/>
      </c>
      <c r="T282" s="35" t="str">
        <f>IF($O282="","",IFERROR(CHOOSE(MATCH($F282,الإعدادات!$B$4:$B$7,0),INDEX('حضور سوريال'!$H$7:$H$36,$O282),INDEX('حضور غبريال'!$H$7:$H$36,$O282),INDEX('حضور رفائيل'!$H$7:$H$36,$O282),INDEX('حضور ميخائيل'!$H$7:$H$36,$O282)),""))</f>
        <v/>
      </c>
      <c r="U282" s="36" t="str">
        <f>IF($O282="","",IFERROR(CHOOSE(MATCH($F282,الإعدادات!$B$4:$B$7,0),INDEX('حضور سوريال'!$I$7:$I$36,$O282),INDEX('حضور غبريال'!$I$7:$I$36,$O282),INDEX('حضور رفائيل'!$I$7:$I$36,$O282),INDEX('حضور ميخائيل'!$I$7:$I$36,$O282)),""))</f>
        <v/>
      </c>
      <c r="V282" t="str">
        <f>IF($O282="","",IFERROR(CHOOSE(MATCH($F282,الإعدادات!$B$4:$B$7,0),INDEX('حضور سوريال'!$BM$7:$BM$36,$O282),INDEX('حضور غبريال'!$BM$7:$BM$36,$O282),INDEX('حضور رفائيل'!$BM$7:$BM$36,$O282),INDEX('حضور ميخائيل'!$BM$7:$BM$36,$O282)),""))</f>
        <v/>
      </c>
      <c r="W282" t="str">
        <f>IF(OR(V282=3,V282=4),COUNTIFS(V$6:V282,3)+COUNTIFS(V$6:V282,4),"")</f>
        <v/>
      </c>
    </row>
    <row r="283" spans="1:23" ht="25.5" customHeight="1">
      <c r="A283" s="26" t="str">
        <f t="shared" si="12"/>
        <v/>
      </c>
      <c r="B283" s="27" t="str">
        <f t="shared" si="13"/>
        <v/>
      </c>
      <c r="C283" s="28"/>
      <c r="D283" s="29"/>
      <c r="E283" s="29"/>
      <c r="F283" s="29"/>
      <c r="G283" s="29"/>
      <c r="H283" s="30"/>
      <c r="I283" s="30"/>
      <c r="J283" s="31"/>
      <c r="K283" s="29"/>
      <c r="L283" s="31"/>
      <c r="M283" s="29"/>
      <c r="N283" s="32" t="str">
        <f t="shared" si="14"/>
        <v/>
      </c>
      <c r="O283" s="32" t="str">
        <f>IF(OR(C283="",F283=""),"",COUNTIFS(F$6:F283,F283,C$6:C283,"&lt;&gt;"))</f>
        <v/>
      </c>
      <c r="P283" s="33" t="str">
        <f>IF($O283="","",IFERROR(CHOOSE(MATCH($F283,الإعدادات!$B$4:$B$7,0),INDEX('حضور سوريال'!$C$7:$C$36,$O283),INDEX('حضور غبريال'!$C$7:$C$36,$O283),INDEX('حضور رفائيل'!$C$7:$C$36,$O283),INDEX('حضور ميخائيل'!$C$7:$C$36,$O283)),""))</f>
        <v/>
      </c>
      <c r="Q283" s="33" t="str">
        <f>IF($O283="","",IFERROR(CHOOSE(MATCH($F283,الإعدادات!$B$4:$B$7,0),INDEX('حضور سوريال'!$D$7:$D$36,$O283),INDEX('حضور غبريال'!$D$7:$D$36,$O283),INDEX('حضور رفائيل'!$D$7:$D$36,$O283),INDEX('حضور ميخائيل'!$D$7:$D$36,$O283)),""))</f>
        <v/>
      </c>
      <c r="R283" s="34" t="str">
        <f>IF($O283="","",IFERROR(CHOOSE(MATCH($F283,الإعدادات!$B$4:$B$7,0),INDEX('حضور سوريال'!$F$7:$F$36,$O283),INDEX('حضور غبريال'!$F$7:$F$36,$O283),INDEX('حضور رفائيل'!$F$7:$F$36,$O283),INDEX('حضور ميخائيل'!$F$7:$F$36,$O283)),""))</f>
        <v/>
      </c>
      <c r="S283" s="33" t="str">
        <f>IF($O283="","",IFERROR(CHOOSE(MATCH($F283,الإعدادات!$B$4:$B$7,0),INDEX('حضور سوريال'!$G$7:$G$36,$O283),INDEX('حضور غبريال'!$G$7:$G$36,$O283),INDEX('حضور رفائيل'!$G$7:$G$36,$O283),INDEX('حضور ميخائيل'!$G$7:$G$36,$O283)),""))</f>
        <v/>
      </c>
      <c r="T283" s="35" t="str">
        <f>IF($O283="","",IFERROR(CHOOSE(MATCH($F283,الإعدادات!$B$4:$B$7,0),INDEX('حضور سوريال'!$H$7:$H$36,$O283),INDEX('حضور غبريال'!$H$7:$H$36,$O283),INDEX('حضور رفائيل'!$H$7:$H$36,$O283),INDEX('حضور ميخائيل'!$H$7:$H$36,$O283)),""))</f>
        <v/>
      </c>
      <c r="U283" s="36" t="str">
        <f>IF($O283="","",IFERROR(CHOOSE(MATCH($F283,الإعدادات!$B$4:$B$7,0),INDEX('حضور سوريال'!$I$7:$I$36,$O283),INDEX('حضور غبريال'!$I$7:$I$36,$O283),INDEX('حضور رفائيل'!$I$7:$I$36,$O283),INDEX('حضور ميخائيل'!$I$7:$I$36,$O283)),""))</f>
        <v/>
      </c>
      <c r="V283" t="str">
        <f>IF($O283="","",IFERROR(CHOOSE(MATCH($F283,الإعدادات!$B$4:$B$7,0),INDEX('حضور سوريال'!$BM$7:$BM$36,$O283),INDEX('حضور غبريال'!$BM$7:$BM$36,$O283),INDEX('حضور رفائيل'!$BM$7:$BM$36,$O283),INDEX('حضور ميخائيل'!$BM$7:$BM$36,$O283)),""))</f>
        <v/>
      </c>
      <c r="W283" t="str">
        <f>IF(OR(V283=3,V283=4),COUNTIFS(V$6:V283,3)+COUNTIFS(V$6:V283,4),"")</f>
        <v/>
      </c>
    </row>
    <row r="284" spans="1:23" ht="25.5" customHeight="1">
      <c r="A284" s="26" t="str">
        <f t="shared" si="12"/>
        <v/>
      </c>
      <c r="B284" s="27" t="str">
        <f t="shared" si="13"/>
        <v/>
      </c>
      <c r="C284" s="28"/>
      <c r="D284" s="29"/>
      <c r="E284" s="29"/>
      <c r="F284" s="29"/>
      <c r="G284" s="29"/>
      <c r="H284" s="30"/>
      <c r="I284" s="30"/>
      <c r="J284" s="31"/>
      <c r="K284" s="29"/>
      <c r="L284" s="31"/>
      <c r="M284" s="29"/>
      <c r="N284" s="32" t="str">
        <f t="shared" si="14"/>
        <v/>
      </c>
      <c r="O284" s="32" t="str">
        <f>IF(OR(C284="",F284=""),"",COUNTIFS(F$6:F284,F284,C$6:C284,"&lt;&gt;"))</f>
        <v/>
      </c>
      <c r="P284" s="33" t="str">
        <f>IF($O284="","",IFERROR(CHOOSE(MATCH($F284,الإعدادات!$B$4:$B$7,0),INDEX('حضور سوريال'!$C$7:$C$36,$O284),INDEX('حضور غبريال'!$C$7:$C$36,$O284),INDEX('حضور رفائيل'!$C$7:$C$36,$O284),INDEX('حضور ميخائيل'!$C$7:$C$36,$O284)),""))</f>
        <v/>
      </c>
      <c r="Q284" s="33" t="str">
        <f>IF($O284="","",IFERROR(CHOOSE(MATCH($F284,الإعدادات!$B$4:$B$7,0),INDEX('حضور سوريال'!$D$7:$D$36,$O284),INDEX('حضور غبريال'!$D$7:$D$36,$O284),INDEX('حضور رفائيل'!$D$7:$D$36,$O284),INDEX('حضور ميخائيل'!$D$7:$D$36,$O284)),""))</f>
        <v/>
      </c>
      <c r="R284" s="34" t="str">
        <f>IF($O284="","",IFERROR(CHOOSE(MATCH($F284,الإعدادات!$B$4:$B$7,0),INDEX('حضور سوريال'!$F$7:$F$36,$O284),INDEX('حضور غبريال'!$F$7:$F$36,$O284),INDEX('حضور رفائيل'!$F$7:$F$36,$O284),INDEX('حضور ميخائيل'!$F$7:$F$36,$O284)),""))</f>
        <v/>
      </c>
      <c r="S284" s="33" t="str">
        <f>IF($O284="","",IFERROR(CHOOSE(MATCH($F284,الإعدادات!$B$4:$B$7,0),INDEX('حضور سوريال'!$G$7:$G$36,$O284),INDEX('حضور غبريال'!$G$7:$G$36,$O284),INDEX('حضور رفائيل'!$G$7:$G$36,$O284),INDEX('حضور ميخائيل'!$G$7:$G$36,$O284)),""))</f>
        <v/>
      </c>
      <c r="T284" s="35" t="str">
        <f>IF($O284="","",IFERROR(CHOOSE(MATCH($F284,الإعدادات!$B$4:$B$7,0),INDEX('حضور سوريال'!$H$7:$H$36,$O284),INDEX('حضور غبريال'!$H$7:$H$36,$O284),INDEX('حضور رفائيل'!$H$7:$H$36,$O284),INDEX('حضور ميخائيل'!$H$7:$H$36,$O284)),""))</f>
        <v/>
      </c>
      <c r="U284" s="36" t="str">
        <f>IF($O284="","",IFERROR(CHOOSE(MATCH($F284,الإعدادات!$B$4:$B$7,0),INDEX('حضور سوريال'!$I$7:$I$36,$O284),INDEX('حضور غبريال'!$I$7:$I$36,$O284),INDEX('حضور رفائيل'!$I$7:$I$36,$O284),INDEX('حضور ميخائيل'!$I$7:$I$36,$O284)),""))</f>
        <v/>
      </c>
      <c r="V284" t="str">
        <f>IF($O284="","",IFERROR(CHOOSE(MATCH($F284,الإعدادات!$B$4:$B$7,0),INDEX('حضور سوريال'!$BM$7:$BM$36,$O284),INDEX('حضور غبريال'!$BM$7:$BM$36,$O284),INDEX('حضور رفائيل'!$BM$7:$BM$36,$O284),INDEX('حضور ميخائيل'!$BM$7:$BM$36,$O284)),""))</f>
        <v/>
      </c>
      <c r="W284" t="str">
        <f>IF(OR(V284=3,V284=4),COUNTIFS(V$6:V284,3)+COUNTIFS(V$6:V284,4),"")</f>
        <v/>
      </c>
    </row>
    <row r="285" spans="1:23" ht="25.5" customHeight="1">
      <c r="A285" s="26" t="str">
        <f t="shared" si="12"/>
        <v/>
      </c>
      <c r="B285" s="27" t="str">
        <f t="shared" si="13"/>
        <v/>
      </c>
      <c r="C285" s="28"/>
      <c r="D285" s="29"/>
      <c r="E285" s="29"/>
      <c r="F285" s="29"/>
      <c r="G285" s="29"/>
      <c r="H285" s="30"/>
      <c r="I285" s="30"/>
      <c r="J285" s="31"/>
      <c r="K285" s="29"/>
      <c r="L285" s="31"/>
      <c r="M285" s="29"/>
      <c r="N285" s="32" t="str">
        <f t="shared" si="14"/>
        <v/>
      </c>
      <c r="O285" s="32" t="str">
        <f>IF(OR(C285="",F285=""),"",COUNTIFS(F$6:F285,F285,C$6:C285,"&lt;&gt;"))</f>
        <v/>
      </c>
      <c r="P285" s="33" t="str">
        <f>IF($O285="","",IFERROR(CHOOSE(MATCH($F285,الإعدادات!$B$4:$B$7,0),INDEX('حضور سوريال'!$C$7:$C$36,$O285),INDEX('حضور غبريال'!$C$7:$C$36,$O285),INDEX('حضور رفائيل'!$C$7:$C$36,$O285),INDEX('حضور ميخائيل'!$C$7:$C$36,$O285)),""))</f>
        <v/>
      </c>
      <c r="Q285" s="33" t="str">
        <f>IF($O285="","",IFERROR(CHOOSE(MATCH($F285,الإعدادات!$B$4:$B$7,0),INDEX('حضور سوريال'!$D$7:$D$36,$O285),INDEX('حضور غبريال'!$D$7:$D$36,$O285),INDEX('حضور رفائيل'!$D$7:$D$36,$O285),INDEX('حضور ميخائيل'!$D$7:$D$36,$O285)),""))</f>
        <v/>
      </c>
      <c r="R285" s="34" t="str">
        <f>IF($O285="","",IFERROR(CHOOSE(MATCH($F285,الإعدادات!$B$4:$B$7,0),INDEX('حضور سوريال'!$F$7:$F$36,$O285),INDEX('حضور غبريال'!$F$7:$F$36,$O285),INDEX('حضور رفائيل'!$F$7:$F$36,$O285),INDEX('حضور ميخائيل'!$F$7:$F$36,$O285)),""))</f>
        <v/>
      </c>
      <c r="S285" s="33" t="str">
        <f>IF($O285="","",IFERROR(CHOOSE(MATCH($F285,الإعدادات!$B$4:$B$7,0),INDEX('حضور سوريال'!$G$7:$G$36,$O285),INDEX('حضور غبريال'!$G$7:$G$36,$O285),INDEX('حضور رفائيل'!$G$7:$G$36,$O285),INDEX('حضور ميخائيل'!$G$7:$G$36,$O285)),""))</f>
        <v/>
      </c>
      <c r="T285" s="35" t="str">
        <f>IF($O285="","",IFERROR(CHOOSE(MATCH($F285,الإعدادات!$B$4:$B$7,0),INDEX('حضور سوريال'!$H$7:$H$36,$O285),INDEX('حضور غبريال'!$H$7:$H$36,$O285),INDEX('حضور رفائيل'!$H$7:$H$36,$O285),INDEX('حضور ميخائيل'!$H$7:$H$36,$O285)),""))</f>
        <v/>
      </c>
      <c r="U285" s="36" t="str">
        <f>IF($O285="","",IFERROR(CHOOSE(MATCH($F285,الإعدادات!$B$4:$B$7,0),INDEX('حضور سوريال'!$I$7:$I$36,$O285),INDEX('حضور غبريال'!$I$7:$I$36,$O285),INDEX('حضور رفائيل'!$I$7:$I$36,$O285),INDEX('حضور ميخائيل'!$I$7:$I$36,$O285)),""))</f>
        <v/>
      </c>
      <c r="V285" t="str">
        <f>IF($O285="","",IFERROR(CHOOSE(MATCH($F285,الإعدادات!$B$4:$B$7,0),INDEX('حضور سوريال'!$BM$7:$BM$36,$O285),INDEX('حضور غبريال'!$BM$7:$BM$36,$O285),INDEX('حضور رفائيل'!$BM$7:$BM$36,$O285),INDEX('حضور ميخائيل'!$BM$7:$BM$36,$O285)),""))</f>
        <v/>
      </c>
      <c r="W285" t="str">
        <f>IF(OR(V285=3,V285=4),COUNTIFS(V$6:V285,3)+COUNTIFS(V$6:V285,4),"")</f>
        <v/>
      </c>
    </row>
    <row r="286" spans="1:23" ht="25.5" customHeight="1">
      <c r="A286" s="26" t="str">
        <f t="shared" si="12"/>
        <v/>
      </c>
      <c r="B286" s="27" t="str">
        <f t="shared" si="13"/>
        <v/>
      </c>
      <c r="C286" s="28"/>
      <c r="D286" s="29"/>
      <c r="E286" s="29"/>
      <c r="F286" s="29"/>
      <c r="G286" s="29"/>
      <c r="H286" s="30"/>
      <c r="I286" s="30"/>
      <c r="J286" s="31"/>
      <c r="K286" s="29"/>
      <c r="L286" s="31"/>
      <c r="M286" s="29"/>
      <c r="N286" s="32" t="str">
        <f t="shared" si="14"/>
        <v/>
      </c>
      <c r="O286" s="32" t="str">
        <f>IF(OR(C286="",F286=""),"",COUNTIFS(F$6:F286,F286,C$6:C286,"&lt;&gt;"))</f>
        <v/>
      </c>
      <c r="P286" s="33" t="str">
        <f>IF($O286="","",IFERROR(CHOOSE(MATCH($F286,الإعدادات!$B$4:$B$7,0),INDEX('حضور سوريال'!$C$7:$C$36,$O286),INDEX('حضور غبريال'!$C$7:$C$36,$O286),INDEX('حضور رفائيل'!$C$7:$C$36,$O286),INDEX('حضور ميخائيل'!$C$7:$C$36,$O286)),""))</f>
        <v/>
      </c>
      <c r="Q286" s="33" t="str">
        <f>IF($O286="","",IFERROR(CHOOSE(MATCH($F286,الإعدادات!$B$4:$B$7,0),INDEX('حضور سوريال'!$D$7:$D$36,$O286),INDEX('حضور غبريال'!$D$7:$D$36,$O286),INDEX('حضور رفائيل'!$D$7:$D$36,$O286),INDEX('حضور ميخائيل'!$D$7:$D$36,$O286)),""))</f>
        <v/>
      </c>
      <c r="R286" s="34" t="str">
        <f>IF($O286="","",IFERROR(CHOOSE(MATCH($F286,الإعدادات!$B$4:$B$7,0),INDEX('حضور سوريال'!$F$7:$F$36,$O286),INDEX('حضور غبريال'!$F$7:$F$36,$O286),INDEX('حضور رفائيل'!$F$7:$F$36,$O286),INDEX('حضور ميخائيل'!$F$7:$F$36,$O286)),""))</f>
        <v/>
      </c>
      <c r="S286" s="33" t="str">
        <f>IF($O286="","",IFERROR(CHOOSE(MATCH($F286,الإعدادات!$B$4:$B$7,0),INDEX('حضور سوريال'!$G$7:$G$36,$O286),INDEX('حضور غبريال'!$G$7:$G$36,$O286),INDEX('حضور رفائيل'!$G$7:$G$36,$O286),INDEX('حضور ميخائيل'!$G$7:$G$36,$O286)),""))</f>
        <v/>
      </c>
      <c r="T286" s="35" t="str">
        <f>IF($O286="","",IFERROR(CHOOSE(MATCH($F286,الإعدادات!$B$4:$B$7,0),INDEX('حضور سوريال'!$H$7:$H$36,$O286),INDEX('حضور غبريال'!$H$7:$H$36,$O286),INDEX('حضور رفائيل'!$H$7:$H$36,$O286),INDEX('حضور ميخائيل'!$H$7:$H$36,$O286)),""))</f>
        <v/>
      </c>
      <c r="U286" s="36" t="str">
        <f>IF($O286="","",IFERROR(CHOOSE(MATCH($F286,الإعدادات!$B$4:$B$7,0),INDEX('حضور سوريال'!$I$7:$I$36,$O286),INDEX('حضور غبريال'!$I$7:$I$36,$O286),INDEX('حضور رفائيل'!$I$7:$I$36,$O286),INDEX('حضور ميخائيل'!$I$7:$I$36,$O286)),""))</f>
        <v/>
      </c>
      <c r="V286" t="str">
        <f>IF($O286="","",IFERROR(CHOOSE(MATCH($F286,الإعدادات!$B$4:$B$7,0),INDEX('حضور سوريال'!$BM$7:$BM$36,$O286),INDEX('حضور غبريال'!$BM$7:$BM$36,$O286),INDEX('حضور رفائيل'!$BM$7:$BM$36,$O286),INDEX('حضور ميخائيل'!$BM$7:$BM$36,$O286)),""))</f>
        <v/>
      </c>
      <c r="W286" t="str">
        <f>IF(OR(V286=3,V286=4),COUNTIFS(V$6:V286,3)+COUNTIFS(V$6:V286,4),"")</f>
        <v/>
      </c>
    </row>
    <row r="287" spans="1:23" ht="25.5" customHeight="1">
      <c r="A287" s="26" t="str">
        <f t="shared" si="12"/>
        <v/>
      </c>
      <c r="B287" s="27" t="str">
        <f t="shared" si="13"/>
        <v/>
      </c>
      <c r="C287" s="28"/>
      <c r="D287" s="29"/>
      <c r="E287" s="29"/>
      <c r="F287" s="29"/>
      <c r="G287" s="29"/>
      <c r="H287" s="30"/>
      <c r="I287" s="30"/>
      <c r="J287" s="31"/>
      <c r="K287" s="29"/>
      <c r="L287" s="31"/>
      <c r="M287" s="29"/>
      <c r="N287" s="32" t="str">
        <f t="shared" si="14"/>
        <v/>
      </c>
      <c r="O287" s="32" t="str">
        <f>IF(OR(C287="",F287=""),"",COUNTIFS(F$6:F287,F287,C$6:C287,"&lt;&gt;"))</f>
        <v/>
      </c>
      <c r="P287" s="33" t="str">
        <f>IF($O287="","",IFERROR(CHOOSE(MATCH($F287,الإعدادات!$B$4:$B$7,0),INDEX('حضور سوريال'!$C$7:$C$36,$O287),INDEX('حضور غبريال'!$C$7:$C$36,$O287),INDEX('حضور رفائيل'!$C$7:$C$36,$O287),INDEX('حضور ميخائيل'!$C$7:$C$36,$O287)),""))</f>
        <v/>
      </c>
      <c r="Q287" s="33" t="str">
        <f>IF($O287="","",IFERROR(CHOOSE(MATCH($F287,الإعدادات!$B$4:$B$7,0),INDEX('حضور سوريال'!$D$7:$D$36,$O287),INDEX('حضور غبريال'!$D$7:$D$36,$O287),INDEX('حضور رفائيل'!$D$7:$D$36,$O287),INDEX('حضور ميخائيل'!$D$7:$D$36,$O287)),""))</f>
        <v/>
      </c>
      <c r="R287" s="34" t="str">
        <f>IF($O287="","",IFERROR(CHOOSE(MATCH($F287,الإعدادات!$B$4:$B$7,0),INDEX('حضور سوريال'!$F$7:$F$36,$O287),INDEX('حضور غبريال'!$F$7:$F$36,$O287),INDEX('حضور رفائيل'!$F$7:$F$36,$O287),INDEX('حضور ميخائيل'!$F$7:$F$36,$O287)),""))</f>
        <v/>
      </c>
      <c r="S287" s="33" t="str">
        <f>IF($O287="","",IFERROR(CHOOSE(MATCH($F287,الإعدادات!$B$4:$B$7,0),INDEX('حضور سوريال'!$G$7:$G$36,$O287),INDEX('حضور غبريال'!$G$7:$G$36,$O287),INDEX('حضور رفائيل'!$G$7:$G$36,$O287),INDEX('حضور ميخائيل'!$G$7:$G$36,$O287)),""))</f>
        <v/>
      </c>
      <c r="T287" s="35" t="str">
        <f>IF($O287="","",IFERROR(CHOOSE(MATCH($F287,الإعدادات!$B$4:$B$7,0),INDEX('حضور سوريال'!$H$7:$H$36,$O287),INDEX('حضور غبريال'!$H$7:$H$36,$O287),INDEX('حضور رفائيل'!$H$7:$H$36,$O287),INDEX('حضور ميخائيل'!$H$7:$H$36,$O287)),""))</f>
        <v/>
      </c>
      <c r="U287" s="36" t="str">
        <f>IF($O287="","",IFERROR(CHOOSE(MATCH($F287,الإعدادات!$B$4:$B$7,0),INDEX('حضور سوريال'!$I$7:$I$36,$O287),INDEX('حضور غبريال'!$I$7:$I$36,$O287),INDEX('حضور رفائيل'!$I$7:$I$36,$O287),INDEX('حضور ميخائيل'!$I$7:$I$36,$O287)),""))</f>
        <v/>
      </c>
      <c r="V287" t="str">
        <f>IF($O287="","",IFERROR(CHOOSE(MATCH($F287,الإعدادات!$B$4:$B$7,0),INDEX('حضور سوريال'!$BM$7:$BM$36,$O287),INDEX('حضور غبريال'!$BM$7:$BM$36,$O287),INDEX('حضور رفائيل'!$BM$7:$BM$36,$O287),INDEX('حضور ميخائيل'!$BM$7:$BM$36,$O287)),""))</f>
        <v/>
      </c>
      <c r="W287" t="str">
        <f>IF(OR(V287=3,V287=4),COUNTIFS(V$6:V287,3)+COUNTIFS(V$6:V287,4),"")</f>
        <v/>
      </c>
    </row>
    <row r="288" spans="1:23" ht="25.5" customHeight="1">
      <c r="A288" s="26" t="str">
        <f t="shared" si="12"/>
        <v/>
      </c>
      <c r="B288" s="27" t="str">
        <f t="shared" si="13"/>
        <v/>
      </c>
      <c r="C288" s="28"/>
      <c r="D288" s="29"/>
      <c r="E288" s="29"/>
      <c r="F288" s="29"/>
      <c r="G288" s="29"/>
      <c r="H288" s="30"/>
      <c r="I288" s="30"/>
      <c r="J288" s="31"/>
      <c r="K288" s="29"/>
      <c r="L288" s="31"/>
      <c r="M288" s="29"/>
      <c r="N288" s="32" t="str">
        <f t="shared" si="14"/>
        <v/>
      </c>
      <c r="O288" s="32" t="str">
        <f>IF(OR(C288="",F288=""),"",COUNTIFS(F$6:F288,F288,C$6:C288,"&lt;&gt;"))</f>
        <v/>
      </c>
      <c r="P288" s="33" t="str">
        <f>IF($O288="","",IFERROR(CHOOSE(MATCH($F288,الإعدادات!$B$4:$B$7,0),INDEX('حضور سوريال'!$C$7:$C$36,$O288),INDEX('حضور غبريال'!$C$7:$C$36,$O288),INDEX('حضور رفائيل'!$C$7:$C$36,$O288),INDEX('حضور ميخائيل'!$C$7:$C$36,$O288)),""))</f>
        <v/>
      </c>
      <c r="Q288" s="33" t="str">
        <f>IF($O288="","",IFERROR(CHOOSE(MATCH($F288,الإعدادات!$B$4:$B$7,0),INDEX('حضور سوريال'!$D$7:$D$36,$O288),INDEX('حضور غبريال'!$D$7:$D$36,$O288),INDEX('حضور رفائيل'!$D$7:$D$36,$O288),INDEX('حضور ميخائيل'!$D$7:$D$36,$O288)),""))</f>
        <v/>
      </c>
      <c r="R288" s="34" t="str">
        <f>IF($O288="","",IFERROR(CHOOSE(MATCH($F288,الإعدادات!$B$4:$B$7,0),INDEX('حضور سوريال'!$F$7:$F$36,$O288),INDEX('حضور غبريال'!$F$7:$F$36,$O288),INDEX('حضور رفائيل'!$F$7:$F$36,$O288),INDEX('حضور ميخائيل'!$F$7:$F$36,$O288)),""))</f>
        <v/>
      </c>
      <c r="S288" s="33" t="str">
        <f>IF($O288="","",IFERROR(CHOOSE(MATCH($F288,الإعدادات!$B$4:$B$7,0),INDEX('حضور سوريال'!$G$7:$G$36,$O288),INDEX('حضور غبريال'!$G$7:$G$36,$O288),INDEX('حضور رفائيل'!$G$7:$G$36,$O288),INDEX('حضور ميخائيل'!$G$7:$G$36,$O288)),""))</f>
        <v/>
      </c>
      <c r="T288" s="35" t="str">
        <f>IF($O288="","",IFERROR(CHOOSE(MATCH($F288,الإعدادات!$B$4:$B$7,0),INDEX('حضور سوريال'!$H$7:$H$36,$O288),INDEX('حضور غبريال'!$H$7:$H$36,$O288),INDEX('حضور رفائيل'!$H$7:$H$36,$O288),INDEX('حضور ميخائيل'!$H$7:$H$36,$O288)),""))</f>
        <v/>
      </c>
      <c r="U288" s="36" t="str">
        <f>IF($O288="","",IFERROR(CHOOSE(MATCH($F288,الإعدادات!$B$4:$B$7,0),INDEX('حضور سوريال'!$I$7:$I$36,$O288),INDEX('حضور غبريال'!$I$7:$I$36,$O288),INDEX('حضور رفائيل'!$I$7:$I$36,$O288),INDEX('حضور ميخائيل'!$I$7:$I$36,$O288)),""))</f>
        <v/>
      </c>
      <c r="V288" t="str">
        <f>IF($O288="","",IFERROR(CHOOSE(MATCH($F288,الإعدادات!$B$4:$B$7,0),INDEX('حضور سوريال'!$BM$7:$BM$36,$O288),INDEX('حضور غبريال'!$BM$7:$BM$36,$O288),INDEX('حضور رفائيل'!$BM$7:$BM$36,$O288),INDEX('حضور ميخائيل'!$BM$7:$BM$36,$O288)),""))</f>
        <v/>
      </c>
      <c r="W288" t="str">
        <f>IF(OR(V288=3,V288=4),COUNTIFS(V$6:V288,3)+COUNTIFS(V$6:V288,4),"")</f>
        <v/>
      </c>
    </row>
    <row r="289" spans="1:23" ht="25.5" customHeight="1">
      <c r="A289" s="26" t="str">
        <f t="shared" si="12"/>
        <v/>
      </c>
      <c r="B289" s="27" t="str">
        <f t="shared" si="13"/>
        <v/>
      </c>
      <c r="C289" s="28"/>
      <c r="D289" s="29"/>
      <c r="E289" s="29"/>
      <c r="F289" s="29"/>
      <c r="G289" s="29"/>
      <c r="H289" s="30"/>
      <c r="I289" s="30"/>
      <c r="J289" s="31"/>
      <c r="K289" s="29"/>
      <c r="L289" s="31"/>
      <c r="M289" s="29"/>
      <c r="N289" s="32" t="str">
        <f t="shared" si="14"/>
        <v/>
      </c>
      <c r="O289" s="32" t="str">
        <f>IF(OR(C289="",F289=""),"",COUNTIFS(F$6:F289,F289,C$6:C289,"&lt;&gt;"))</f>
        <v/>
      </c>
      <c r="P289" s="33" t="str">
        <f>IF($O289="","",IFERROR(CHOOSE(MATCH($F289,الإعدادات!$B$4:$B$7,0),INDEX('حضور سوريال'!$C$7:$C$36,$O289),INDEX('حضور غبريال'!$C$7:$C$36,$O289),INDEX('حضور رفائيل'!$C$7:$C$36,$O289),INDEX('حضور ميخائيل'!$C$7:$C$36,$O289)),""))</f>
        <v/>
      </c>
      <c r="Q289" s="33" t="str">
        <f>IF($O289="","",IFERROR(CHOOSE(MATCH($F289,الإعدادات!$B$4:$B$7,0),INDEX('حضور سوريال'!$D$7:$D$36,$O289),INDEX('حضور غبريال'!$D$7:$D$36,$O289),INDEX('حضور رفائيل'!$D$7:$D$36,$O289),INDEX('حضور ميخائيل'!$D$7:$D$36,$O289)),""))</f>
        <v/>
      </c>
      <c r="R289" s="34" t="str">
        <f>IF($O289="","",IFERROR(CHOOSE(MATCH($F289,الإعدادات!$B$4:$B$7,0),INDEX('حضور سوريال'!$F$7:$F$36,$O289),INDEX('حضور غبريال'!$F$7:$F$36,$O289),INDEX('حضور رفائيل'!$F$7:$F$36,$O289),INDEX('حضور ميخائيل'!$F$7:$F$36,$O289)),""))</f>
        <v/>
      </c>
      <c r="S289" s="33" t="str">
        <f>IF($O289="","",IFERROR(CHOOSE(MATCH($F289,الإعدادات!$B$4:$B$7,0),INDEX('حضور سوريال'!$G$7:$G$36,$O289),INDEX('حضور غبريال'!$G$7:$G$36,$O289),INDEX('حضور رفائيل'!$G$7:$G$36,$O289),INDEX('حضور ميخائيل'!$G$7:$G$36,$O289)),""))</f>
        <v/>
      </c>
      <c r="T289" s="35" t="str">
        <f>IF($O289="","",IFERROR(CHOOSE(MATCH($F289,الإعدادات!$B$4:$B$7,0),INDEX('حضور سوريال'!$H$7:$H$36,$O289),INDEX('حضور غبريال'!$H$7:$H$36,$O289),INDEX('حضور رفائيل'!$H$7:$H$36,$O289),INDEX('حضور ميخائيل'!$H$7:$H$36,$O289)),""))</f>
        <v/>
      </c>
      <c r="U289" s="36" t="str">
        <f>IF($O289="","",IFERROR(CHOOSE(MATCH($F289,الإعدادات!$B$4:$B$7,0),INDEX('حضور سوريال'!$I$7:$I$36,$O289),INDEX('حضور غبريال'!$I$7:$I$36,$O289),INDEX('حضور رفائيل'!$I$7:$I$36,$O289),INDEX('حضور ميخائيل'!$I$7:$I$36,$O289)),""))</f>
        <v/>
      </c>
      <c r="V289" t="str">
        <f>IF($O289="","",IFERROR(CHOOSE(MATCH($F289,الإعدادات!$B$4:$B$7,0),INDEX('حضور سوريال'!$BM$7:$BM$36,$O289),INDEX('حضور غبريال'!$BM$7:$BM$36,$O289),INDEX('حضور رفائيل'!$BM$7:$BM$36,$O289),INDEX('حضور ميخائيل'!$BM$7:$BM$36,$O289)),""))</f>
        <v/>
      </c>
      <c r="W289" t="str">
        <f>IF(OR(V289=3,V289=4),COUNTIFS(V$6:V289,3)+COUNTIFS(V$6:V289,4),"")</f>
        <v/>
      </c>
    </row>
    <row r="290" spans="1:23" ht="25.5" customHeight="1">
      <c r="A290" s="26" t="str">
        <f t="shared" si="12"/>
        <v/>
      </c>
      <c r="B290" s="27" t="str">
        <f t="shared" si="13"/>
        <v/>
      </c>
      <c r="C290" s="28"/>
      <c r="D290" s="29"/>
      <c r="E290" s="29"/>
      <c r="F290" s="29"/>
      <c r="G290" s="29"/>
      <c r="H290" s="30"/>
      <c r="I290" s="30"/>
      <c r="J290" s="31"/>
      <c r="K290" s="29"/>
      <c r="L290" s="31"/>
      <c r="M290" s="29"/>
      <c r="N290" s="32" t="str">
        <f t="shared" si="14"/>
        <v/>
      </c>
      <c r="O290" s="32" t="str">
        <f>IF(OR(C290="",F290=""),"",COUNTIFS(F$6:F290,F290,C$6:C290,"&lt;&gt;"))</f>
        <v/>
      </c>
      <c r="P290" s="33" t="str">
        <f>IF($O290="","",IFERROR(CHOOSE(MATCH($F290,الإعدادات!$B$4:$B$7,0),INDEX('حضور سوريال'!$C$7:$C$36,$O290),INDEX('حضور غبريال'!$C$7:$C$36,$O290),INDEX('حضور رفائيل'!$C$7:$C$36,$O290),INDEX('حضور ميخائيل'!$C$7:$C$36,$O290)),""))</f>
        <v/>
      </c>
      <c r="Q290" s="33" t="str">
        <f>IF($O290="","",IFERROR(CHOOSE(MATCH($F290,الإعدادات!$B$4:$B$7,0),INDEX('حضور سوريال'!$D$7:$D$36,$O290),INDEX('حضور غبريال'!$D$7:$D$36,$O290),INDEX('حضور رفائيل'!$D$7:$D$36,$O290),INDEX('حضور ميخائيل'!$D$7:$D$36,$O290)),""))</f>
        <v/>
      </c>
      <c r="R290" s="34" t="str">
        <f>IF($O290="","",IFERROR(CHOOSE(MATCH($F290,الإعدادات!$B$4:$B$7,0),INDEX('حضور سوريال'!$F$7:$F$36,$O290),INDEX('حضور غبريال'!$F$7:$F$36,$O290),INDEX('حضور رفائيل'!$F$7:$F$36,$O290),INDEX('حضور ميخائيل'!$F$7:$F$36,$O290)),""))</f>
        <v/>
      </c>
      <c r="S290" s="33" t="str">
        <f>IF($O290="","",IFERROR(CHOOSE(MATCH($F290,الإعدادات!$B$4:$B$7,0),INDEX('حضور سوريال'!$G$7:$G$36,$O290),INDEX('حضور غبريال'!$G$7:$G$36,$O290),INDEX('حضور رفائيل'!$G$7:$G$36,$O290),INDEX('حضور ميخائيل'!$G$7:$G$36,$O290)),""))</f>
        <v/>
      </c>
      <c r="T290" s="35" t="str">
        <f>IF($O290="","",IFERROR(CHOOSE(MATCH($F290,الإعدادات!$B$4:$B$7,0),INDEX('حضور سوريال'!$H$7:$H$36,$O290),INDEX('حضور غبريال'!$H$7:$H$36,$O290),INDEX('حضور رفائيل'!$H$7:$H$36,$O290),INDEX('حضور ميخائيل'!$H$7:$H$36,$O290)),""))</f>
        <v/>
      </c>
      <c r="U290" s="36" t="str">
        <f>IF($O290="","",IFERROR(CHOOSE(MATCH($F290,الإعدادات!$B$4:$B$7,0),INDEX('حضور سوريال'!$I$7:$I$36,$O290),INDEX('حضور غبريال'!$I$7:$I$36,$O290),INDEX('حضور رفائيل'!$I$7:$I$36,$O290),INDEX('حضور ميخائيل'!$I$7:$I$36,$O290)),""))</f>
        <v/>
      </c>
      <c r="V290" t="str">
        <f>IF($O290="","",IFERROR(CHOOSE(MATCH($F290,الإعدادات!$B$4:$B$7,0),INDEX('حضور سوريال'!$BM$7:$BM$36,$O290),INDEX('حضور غبريال'!$BM$7:$BM$36,$O290),INDEX('حضور رفائيل'!$BM$7:$BM$36,$O290),INDEX('حضور ميخائيل'!$BM$7:$BM$36,$O290)),""))</f>
        <v/>
      </c>
      <c r="W290" t="str">
        <f>IF(OR(V290=3,V290=4),COUNTIFS(V$6:V290,3)+COUNTIFS(V$6:V290,4),"")</f>
        <v/>
      </c>
    </row>
    <row r="291" spans="1:23" ht="25.5" customHeight="1">
      <c r="A291" s="26" t="str">
        <f t="shared" si="12"/>
        <v/>
      </c>
      <c r="B291" s="27" t="str">
        <f t="shared" si="13"/>
        <v/>
      </c>
      <c r="C291" s="28"/>
      <c r="D291" s="29"/>
      <c r="E291" s="29"/>
      <c r="F291" s="29"/>
      <c r="G291" s="29"/>
      <c r="H291" s="30"/>
      <c r="I291" s="30"/>
      <c r="J291" s="31"/>
      <c r="K291" s="29"/>
      <c r="L291" s="31"/>
      <c r="M291" s="29"/>
      <c r="N291" s="32" t="str">
        <f t="shared" si="14"/>
        <v/>
      </c>
      <c r="O291" s="32" t="str">
        <f>IF(OR(C291="",F291=""),"",COUNTIFS(F$6:F291,F291,C$6:C291,"&lt;&gt;"))</f>
        <v/>
      </c>
      <c r="P291" s="33" t="str">
        <f>IF($O291="","",IFERROR(CHOOSE(MATCH($F291,الإعدادات!$B$4:$B$7,0),INDEX('حضور سوريال'!$C$7:$C$36,$O291),INDEX('حضور غبريال'!$C$7:$C$36,$O291),INDEX('حضور رفائيل'!$C$7:$C$36,$O291),INDEX('حضور ميخائيل'!$C$7:$C$36,$O291)),""))</f>
        <v/>
      </c>
      <c r="Q291" s="33" t="str">
        <f>IF($O291="","",IFERROR(CHOOSE(MATCH($F291,الإعدادات!$B$4:$B$7,0),INDEX('حضور سوريال'!$D$7:$D$36,$O291),INDEX('حضور غبريال'!$D$7:$D$36,$O291),INDEX('حضور رفائيل'!$D$7:$D$36,$O291),INDEX('حضور ميخائيل'!$D$7:$D$36,$O291)),""))</f>
        <v/>
      </c>
      <c r="R291" s="34" t="str">
        <f>IF($O291="","",IFERROR(CHOOSE(MATCH($F291,الإعدادات!$B$4:$B$7,0),INDEX('حضور سوريال'!$F$7:$F$36,$O291),INDEX('حضور غبريال'!$F$7:$F$36,$O291),INDEX('حضور رفائيل'!$F$7:$F$36,$O291),INDEX('حضور ميخائيل'!$F$7:$F$36,$O291)),""))</f>
        <v/>
      </c>
      <c r="S291" s="33" t="str">
        <f>IF($O291="","",IFERROR(CHOOSE(MATCH($F291,الإعدادات!$B$4:$B$7,0),INDEX('حضور سوريال'!$G$7:$G$36,$O291),INDEX('حضور غبريال'!$G$7:$G$36,$O291),INDEX('حضور رفائيل'!$G$7:$G$36,$O291),INDEX('حضور ميخائيل'!$G$7:$G$36,$O291)),""))</f>
        <v/>
      </c>
      <c r="T291" s="35" t="str">
        <f>IF($O291="","",IFERROR(CHOOSE(MATCH($F291,الإعدادات!$B$4:$B$7,0),INDEX('حضور سوريال'!$H$7:$H$36,$O291),INDEX('حضور غبريال'!$H$7:$H$36,$O291),INDEX('حضور رفائيل'!$H$7:$H$36,$O291),INDEX('حضور ميخائيل'!$H$7:$H$36,$O291)),""))</f>
        <v/>
      </c>
      <c r="U291" s="36" t="str">
        <f>IF($O291="","",IFERROR(CHOOSE(MATCH($F291,الإعدادات!$B$4:$B$7,0),INDEX('حضور سوريال'!$I$7:$I$36,$O291),INDEX('حضور غبريال'!$I$7:$I$36,$O291),INDEX('حضور رفائيل'!$I$7:$I$36,$O291),INDEX('حضور ميخائيل'!$I$7:$I$36,$O291)),""))</f>
        <v/>
      </c>
      <c r="V291" t="str">
        <f>IF($O291="","",IFERROR(CHOOSE(MATCH($F291,الإعدادات!$B$4:$B$7,0),INDEX('حضور سوريال'!$BM$7:$BM$36,$O291),INDEX('حضور غبريال'!$BM$7:$BM$36,$O291),INDEX('حضور رفائيل'!$BM$7:$BM$36,$O291),INDEX('حضور ميخائيل'!$BM$7:$BM$36,$O291)),""))</f>
        <v/>
      </c>
      <c r="W291" t="str">
        <f>IF(OR(V291=3,V291=4),COUNTIFS(V$6:V291,3)+COUNTIFS(V$6:V291,4),"")</f>
        <v/>
      </c>
    </row>
    <row r="292" spans="1:23" ht="25.5" customHeight="1">
      <c r="A292" s="26" t="str">
        <f t="shared" si="12"/>
        <v/>
      </c>
      <c r="B292" s="27" t="str">
        <f t="shared" si="13"/>
        <v/>
      </c>
      <c r="C292" s="28"/>
      <c r="D292" s="29"/>
      <c r="E292" s="29"/>
      <c r="F292" s="29"/>
      <c r="G292" s="29"/>
      <c r="H292" s="30"/>
      <c r="I292" s="30"/>
      <c r="J292" s="31"/>
      <c r="K292" s="29"/>
      <c r="L292" s="31"/>
      <c r="M292" s="29"/>
      <c r="N292" s="32" t="str">
        <f t="shared" si="14"/>
        <v/>
      </c>
      <c r="O292" s="32" t="str">
        <f>IF(OR(C292="",F292=""),"",COUNTIFS(F$6:F292,F292,C$6:C292,"&lt;&gt;"))</f>
        <v/>
      </c>
      <c r="P292" s="33" t="str">
        <f>IF($O292="","",IFERROR(CHOOSE(MATCH($F292,الإعدادات!$B$4:$B$7,0),INDEX('حضور سوريال'!$C$7:$C$36,$O292),INDEX('حضور غبريال'!$C$7:$C$36,$O292),INDEX('حضور رفائيل'!$C$7:$C$36,$O292),INDEX('حضور ميخائيل'!$C$7:$C$36,$O292)),""))</f>
        <v/>
      </c>
      <c r="Q292" s="33" t="str">
        <f>IF($O292="","",IFERROR(CHOOSE(MATCH($F292,الإعدادات!$B$4:$B$7,0),INDEX('حضور سوريال'!$D$7:$D$36,$O292),INDEX('حضور غبريال'!$D$7:$D$36,$O292),INDEX('حضور رفائيل'!$D$7:$D$36,$O292),INDEX('حضور ميخائيل'!$D$7:$D$36,$O292)),""))</f>
        <v/>
      </c>
      <c r="R292" s="34" t="str">
        <f>IF($O292="","",IFERROR(CHOOSE(MATCH($F292,الإعدادات!$B$4:$B$7,0),INDEX('حضور سوريال'!$F$7:$F$36,$O292),INDEX('حضور غبريال'!$F$7:$F$36,$O292),INDEX('حضور رفائيل'!$F$7:$F$36,$O292),INDEX('حضور ميخائيل'!$F$7:$F$36,$O292)),""))</f>
        <v/>
      </c>
      <c r="S292" s="33" t="str">
        <f>IF($O292="","",IFERROR(CHOOSE(MATCH($F292,الإعدادات!$B$4:$B$7,0),INDEX('حضور سوريال'!$G$7:$G$36,$O292),INDEX('حضور غبريال'!$G$7:$G$36,$O292),INDEX('حضور رفائيل'!$G$7:$G$36,$O292),INDEX('حضور ميخائيل'!$G$7:$G$36,$O292)),""))</f>
        <v/>
      </c>
      <c r="T292" s="35" t="str">
        <f>IF($O292="","",IFERROR(CHOOSE(MATCH($F292,الإعدادات!$B$4:$B$7,0),INDEX('حضور سوريال'!$H$7:$H$36,$O292),INDEX('حضور غبريال'!$H$7:$H$36,$O292),INDEX('حضور رفائيل'!$H$7:$H$36,$O292),INDEX('حضور ميخائيل'!$H$7:$H$36,$O292)),""))</f>
        <v/>
      </c>
      <c r="U292" s="36" t="str">
        <f>IF($O292="","",IFERROR(CHOOSE(MATCH($F292,الإعدادات!$B$4:$B$7,0),INDEX('حضور سوريال'!$I$7:$I$36,$O292),INDEX('حضور غبريال'!$I$7:$I$36,$O292),INDEX('حضور رفائيل'!$I$7:$I$36,$O292),INDEX('حضور ميخائيل'!$I$7:$I$36,$O292)),""))</f>
        <v/>
      </c>
      <c r="V292" t="str">
        <f>IF($O292="","",IFERROR(CHOOSE(MATCH($F292,الإعدادات!$B$4:$B$7,0),INDEX('حضور سوريال'!$BM$7:$BM$36,$O292),INDEX('حضور غبريال'!$BM$7:$BM$36,$O292),INDEX('حضور رفائيل'!$BM$7:$BM$36,$O292),INDEX('حضور ميخائيل'!$BM$7:$BM$36,$O292)),""))</f>
        <v/>
      </c>
      <c r="W292" t="str">
        <f>IF(OR(V292=3,V292=4),COUNTIFS(V$6:V292,3)+COUNTIFS(V$6:V292,4),"")</f>
        <v/>
      </c>
    </row>
    <row r="293" spans="1:23" ht="25.5" customHeight="1">
      <c r="A293" s="26" t="str">
        <f t="shared" si="12"/>
        <v/>
      </c>
      <c r="B293" s="27" t="str">
        <f t="shared" si="13"/>
        <v/>
      </c>
      <c r="C293" s="28"/>
      <c r="D293" s="29"/>
      <c r="E293" s="29"/>
      <c r="F293" s="29"/>
      <c r="G293" s="29"/>
      <c r="H293" s="30"/>
      <c r="I293" s="30"/>
      <c r="J293" s="31"/>
      <c r="K293" s="29"/>
      <c r="L293" s="31"/>
      <c r="M293" s="29"/>
      <c r="N293" s="32" t="str">
        <f t="shared" si="14"/>
        <v/>
      </c>
      <c r="O293" s="32" t="str">
        <f>IF(OR(C293="",F293=""),"",COUNTIFS(F$6:F293,F293,C$6:C293,"&lt;&gt;"))</f>
        <v/>
      </c>
      <c r="P293" s="33" t="str">
        <f>IF($O293="","",IFERROR(CHOOSE(MATCH($F293,الإعدادات!$B$4:$B$7,0),INDEX('حضور سوريال'!$C$7:$C$36,$O293),INDEX('حضور غبريال'!$C$7:$C$36,$O293),INDEX('حضور رفائيل'!$C$7:$C$36,$O293),INDEX('حضور ميخائيل'!$C$7:$C$36,$O293)),""))</f>
        <v/>
      </c>
      <c r="Q293" s="33" t="str">
        <f>IF($O293="","",IFERROR(CHOOSE(MATCH($F293,الإعدادات!$B$4:$B$7,0),INDEX('حضور سوريال'!$D$7:$D$36,$O293),INDEX('حضور غبريال'!$D$7:$D$36,$O293),INDEX('حضور رفائيل'!$D$7:$D$36,$O293),INDEX('حضور ميخائيل'!$D$7:$D$36,$O293)),""))</f>
        <v/>
      </c>
      <c r="R293" s="34" t="str">
        <f>IF($O293="","",IFERROR(CHOOSE(MATCH($F293,الإعدادات!$B$4:$B$7,0),INDEX('حضور سوريال'!$F$7:$F$36,$O293),INDEX('حضور غبريال'!$F$7:$F$36,$O293),INDEX('حضور رفائيل'!$F$7:$F$36,$O293),INDEX('حضور ميخائيل'!$F$7:$F$36,$O293)),""))</f>
        <v/>
      </c>
      <c r="S293" s="33" t="str">
        <f>IF($O293="","",IFERROR(CHOOSE(MATCH($F293,الإعدادات!$B$4:$B$7,0),INDEX('حضور سوريال'!$G$7:$G$36,$O293),INDEX('حضور غبريال'!$G$7:$G$36,$O293),INDEX('حضور رفائيل'!$G$7:$G$36,$O293),INDEX('حضور ميخائيل'!$G$7:$G$36,$O293)),""))</f>
        <v/>
      </c>
      <c r="T293" s="35" t="str">
        <f>IF($O293="","",IFERROR(CHOOSE(MATCH($F293,الإعدادات!$B$4:$B$7,0),INDEX('حضور سوريال'!$H$7:$H$36,$O293),INDEX('حضور غبريال'!$H$7:$H$36,$O293),INDEX('حضور رفائيل'!$H$7:$H$36,$O293),INDEX('حضور ميخائيل'!$H$7:$H$36,$O293)),""))</f>
        <v/>
      </c>
      <c r="U293" s="36" t="str">
        <f>IF($O293="","",IFERROR(CHOOSE(MATCH($F293,الإعدادات!$B$4:$B$7,0),INDEX('حضور سوريال'!$I$7:$I$36,$O293),INDEX('حضور غبريال'!$I$7:$I$36,$O293),INDEX('حضور رفائيل'!$I$7:$I$36,$O293),INDEX('حضور ميخائيل'!$I$7:$I$36,$O293)),""))</f>
        <v/>
      </c>
      <c r="V293" t="str">
        <f>IF($O293="","",IFERROR(CHOOSE(MATCH($F293,الإعدادات!$B$4:$B$7,0),INDEX('حضور سوريال'!$BM$7:$BM$36,$O293),INDEX('حضور غبريال'!$BM$7:$BM$36,$O293),INDEX('حضور رفائيل'!$BM$7:$BM$36,$O293),INDEX('حضور ميخائيل'!$BM$7:$BM$36,$O293)),""))</f>
        <v/>
      </c>
      <c r="W293" t="str">
        <f>IF(OR(V293=3,V293=4),COUNTIFS(V$6:V293,3)+COUNTIFS(V$6:V293,4),"")</f>
        <v/>
      </c>
    </row>
    <row r="294" spans="1:23" ht="25.5" customHeight="1">
      <c r="A294" s="26" t="str">
        <f t="shared" si="12"/>
        <v/>
      </c>
      <c r="B294" s="27" t="str">
        <f t="shared" si="13"/>
        <v/>
      </c>
      <c r="C294" s="28"/>
      <c r="D294" s="29"/>
      <c r="E294" s="29"/>
      <c r="F294" s="29"/>
      <c r="G294" s="29"/>
      <c r="H294" s="30"/>
      <c r="I294" s="30"/>
      <c r="J294" s="31"/>
      <c r="K294" s="29"/>
      <c r="L294" s="31"/>
      <c r="M294" s="29"/>
      <c r="N294" s="32" t="str">
        <f t="shared" si="14"/>
        <v/>
      </c>
      <c r="O294" s="32" t="str">
        <f>IF(OR(C294="",F294=""),"",COUNTIFS(F$6:F294,F294,C$6:C294,"&lt;&gt;"))</f>
        <v/>
      </c>
      <c r="P294" s="33" t="str">
        <f>IF($O294="","",IFERROR(CHOOSE(MATCH($F294,الإعدادات!$B$4:$B$7,0),INDEX('حضور سوريال'!$C$7:$C$36,$O294),INDEX('حضور غبريال'!$C$7:$C$36,$O294),INDEX('حضور رفائيل'!$C$7:$C$36,$O294),INDEX('حضور ميخائيل'!$C$7:$C$36,$O294)),""))</f>
        <v/>
      </c>
      <c r="Q294" s="33" t="str">
        <f>IF($O294="","",IFERROR(CHOOSE(MATCH($F294,الإعدادات!$B$4:$B$7,0),INDEX('حضور سوريال'!$D$7:$D$36,$O294),INDEX('حضور غبريال'!$D$7:$D$36,$O294),INDEX('حضور رفائيل'!$D$7:$D$36,$O294),INDEX('حضور ميخائيل'!$D$7:$D$36,$O294)),""))</f>
        <v/>
      </c>
      <c r="R294" s="34" t="str">
        <f>IF($O294="","",IFERROR(CHOOSE(MATCH($F294,الإعدادات!$B$4:$B$7,0),INDEX('حضور سوريال'!$F$7:$F$36,$O294),INDEX('حضور غبريال'!$F$7:$F$36,$O294),INDEX('حضور رفائيل'!$F$7:$F$36,$O294),INDEX('حضور ميخائيل'!$F$7:$F$36,$O294)),""))</f>
        <v/>
      </c>
      <c r="S294" s="33" t="str">
        <f>IF($O294="","",IFERROR(CHOOSE(MATCH($F294,الإعدادات!$B$4:$B$7,0),INDEX('حضور سوريال'!$G$7:$G$36,$O294),INDEX('حضور غبريال'!$G$7:$G$36,$O294),INDEX('حضور رفائيل'!$G$7:$G$36,$O294),INDEX('حضور ميخائيل'!$G$7:$G$36,$O294)),""))</f>
        <v/>
      </c>
      <c r="T294" s="35" t="str">
        <f>IF($O294="","",IFERROR(CHOOSE(MATCH($F294,الإعدادات!$B$4:$B$7,0),INDEX('حضور سوريال'!$H$7:$H$36,$O294),INDEX('حضور غبريال'!$H$7:$H$36,$O294),INDEX('حضور رفائيل'!$H$7:$H$36,$O294),INDEX('حضور ميخائيل'!$H$7:$H$36,$O294)),""))</f>
        <v/>
      </c>
      <c r="U294" s="36" t="str">
        <f>IF($O294="","",IFERROR(CHOOSE(MATCH($F294,الإعدادات!$B$4:$B$7,0),INDEX('حضور سوريال'!$I$7:$I$36,$O294),INDEX('حضور غبريال'!$I$7:$I$36,$O294),INDEX('حضور رفائيل'!$I$7:$I$36,$O294),INDEX('حضور ميخائيل'!$I$7:$I$36,$O294)),""))</f>
        <v/>
      </c>
      <c r="V294" t="str">
        <f>IF($O294="","",IFERROR(CHOOSE(MATCH($F294,الإعدادات!$B$4:$B$7,0),INDEX('حضور سوريال'!$BM$7:$BM$36,$O294),INDEX('حضور غبريال'!$BM$7:$BM$36,$O294),INDEX('حضور رفائيل'!$BM$7:$BM$36,$O294),INDEX('حضور ميخائيل'!$BM$7:$BM$36,$O294)),""))</f>
        <v/>
      </c>
      <c r="W294" t="str">
        <f>IF(OR(V294=3,V294=4),COUNTIFS(V$6:V294,3)+COUNTIFS(V$6:V294,4),"")</f>
        <v/>
      </c>
    </row>
    <row r="295" spans="1:23" ht="25.5" customHeight="1">
      <c r="A295" s="26" t="str">
        <f t="shared" si="12"/>
        <v/>
      </c>
      <c r="B295" s="27" t="str">
        <f t="shared" si="13"/>
        <v/>
      </c>
      <c r="C295" s="28"/>
      <c r="D295" s="29"/>
      <c r="E295" s="29"/>
      <c r="F295" s="29"/>
      <c r="G295" s="29"/>
      <c r="H295" s="30"/>
      <c r="I295" s="30"/>
      <c r="J295" s="31"/>
      <c r="K295" s="29"/>
      <c r="L295" s="31"/>
      <c r="M295" s="29"/>
      <c r="N295" s="32" t="str">
        <f t="shared" si="14"/>
        <v/>
      </c>
      <c r="O295" s="32" t="str">
        <f>IF(OR(C295="",F295=""),"",COUNTIFS(F$6:F295,F295,C$6:C295,"&lt;&gt;"))</f>
        <v/>
      </c>
      <c r="P295" s="33" t="str">
        <f>IF($O295="","",IFERROR(CHOOSE(MATCH($F295,الإعدادات!$B$4:$B$7,0),INDEX('حضور سوريال'!$C$7:$C$36,$O295),INDEX('حضور غبريال'!$C$7:$C$36,$O295),INDEX('حضور رفائيل'!$C$7:$C$36,$O295),INDEX('حضور ميخائيل'!$C$7:$C$36,$O295)),""))</f>
        <v/>
      </c>
      <c r="Q295" s="33" t="str">
        <f>IF($O295="","",IFERROR(CHOOSE(MATCH($F295,الإعدادات!$B$4:$B$7,0),INDEX('حضور سوريال'!$D$7:$D$36,$O295),INDEX('حضور غبريال'!$D$7:$D$36,$O295),INDEX('حضور رفائيل'!$D$7:$D$36,$O295),INDEX('حضور ميخائيل'!$D$7:$D$36,$O295)),""))</f>
        <v/>
      </c>
      <c r="R295" s="34" t="str">
        <f>IF($O295="","",IFERROR(CHOOSE(MATCH($F295,الإعدادات!$B$4:$B$7,0),INDEX('حضور سوريال'!$F$7:$F$36,$O295),INDEX('حضور غبريال'!$F$7:$F$36,$O295),INDEX('حضور رفائيل'!$F$7:$F$36,$O295),INDEX('حضور ميخائيل'!$F$7:$F$36,$O295)),""))</f>
        <v/>
      </c>
      <c r="S295" s="33" t="str">
        <f>IF($O295="","",IFERROR(CHOOSE(MATCH($F295,الإعدادات!$B$4:$B$7,0),INDEX('حضور سوريال'!$G$7:$G$36,$O295),INDEX('حضور غبريال'!$G$7:$G$36,$O295),INDEX('حضور رفائيل'!$G$7:$G$36,$O295),INDEX('حضور ميخائيل'!$G$7:$G$36,$O295)),""))</f>
        <v/>
      </c>
      <c r="T295" s="35" t="str">
        <f>IF($O295="","",IFERROR(CHOOSE(MATCH($F295,الإعدادات!$B$4:$B$7,0),INDEX('حضور سوريال'!$H$7:$H$36,$O295),INDEX('حضور غبريال'!$H$7:$H$36,$O295),INDEX('حضور رفائيل'!$H$7:$H$36,$O295),INDEX('حضور ميخائيل'!$H$7:$H$36,$O295)),""))</f>
        <v/>
      </c>
      <c r="U295" s="36" t="str">
        <f>IF($O295="","",IFERROR(CHOOSE(MATCH($F295,الإعدادات!$B$4:$B$7,0),INDEX('حضور سوريال'!$I$7:$I$36,$O295),INDEX('حضور غبريال'!$I$7:$I$36,$O295),INDEX('حضور رفائيل'!$I$7:$I$36,$O295),INDEX('حضور ميخائيل'!$I$7:$I$36,$O295)),""))</f>
        <v/>
      </c>
      <c r="V295" t="str">
        <f>IF($O295="","",IFERROR(CHOOSE(MATCH($F295,الإعدادات!$B$4:$B$7,0),INDEX('حضور سوريال'!$BM$7:$BM$36,$O295),INDEX('حضور غبريال'!$BM$7:$BM$36,$O295),INDEX('حضور رفائيل'!$BM$7:$BM$36,$O295),INDEX('حضور ميخائيل'!$BM$7:$BM$36,$O295)),""))</f>
        <v/>
      </c>
      <c r="W295" t="str">
        <f>IF(OR(V295=3,V295=4),COUNTIFS(V$6:V295,3)+COUNTIFS(V$6:V295,4),"")</f>
        <v/>
      </c>
    </row>
    <row r="296" spans="1:23" ht="25.5" customHeight="1">
      <c r="A296" s="26" t="str">
        <f t="shared" si="12"/>
        <v/>
      </c>
      <c r="B296" s="27" t="str">
        <f t="shared" si="13"/>
        <v/>
      </c>
      <c r="C296" s="28"/>
      <c r="D296" s="29"/>
      <c r="E296" s="29"/>
      <c r="F296" s="29"/>
      <c r="G296" s="29"/>
      <c r="H296" s="30"/>
      <c r="I296" s="30"/>
      <c r="J296" s="31"/>
      <c r="K296" s="29"/>
      <c r="L296" s="31"/>
      <c r="M296" s="29"/>
      <c r="N296" s="32" t="str">
        <f t="shared" si="14"/>
        <v/>
      </c>
      <c r="O296" s="32" t="str">
        <f>IF(OR(C296="",F296=""),"",COUNTIFS(F$6:F296,F296,C$6:C296,"&lt;&gt;"))</f>
        <v/>
      </c>
      <c r="P296" s="33" t="str">
        <f>IF($O296="","",IFERROR(CHOOSE(MATCH($F296,الإعدادات!$B$4:$B$7,0),INDEX('حضور سوريال'!$C$7:$C$36,$O296),INDEX('حضور غبريال'!$C$7:$C$36,$O296),INDEX('حضور رفائيل'!$C$7:$C$36,$O296),INDEX('حضور ميخائيل'!$C$7:$C$36,$O296)),""))</f>
        <v/>
      </c>
      <c r="Q296" s="33" t="str">
        <f>IF($O296="","",IFERROR(CHOOSE(MATCH($F296,الإعدادات!$B$4:$B$7,0),INDEX('حضور سوريال'!$D$7:$D$36,$O296),INDEX('حضور غبريال'!$D$7:$D$36,$O296),INDEX('حضور رفائيل'!$D$7:$D$36,$O296),INDEX('حضور ميخائيل'!$D$7:$D$36,$O296)),""))</f>
        <v/>
      </c>
      <c r="R296" s="34" t="str">
        <f>IF($O296="","",IFERROR(CHOOSE(MATCH($F296,الإعدادات!$B$4:$B$7,0),INDEX('حضور سوريال'!$F$7:$F$36,$O296),INDEX('حضور غبريال'!$F$7:$F$36,$O296),INDEX('حضور رفائيل'!$F$7:$F$36,$O296),INDEX('حضور ميخائيل'!$F$7:$F$36,$O296)),""))</f>
        <v/>
      </c>
      <c r="S296" s="33" t="str">
        <f>IF($O296="","",IFERROR(CHOOSE(MATCH($F296,الإعدادات!$B$4:$B$7,0),INDEX('حضور سوريال'!$G$7:$G$36,$O296),INDEX('حضور غبريال'!$G$7:$G$36,$O296),INDEX('حضور رفائيل'!$G$7:$G$36,$O296),INDEX('حضور ميخائيل'!$G$7:$G$36,$O296)),""))</f>
        <v/>
      </c>
      <c r="T296" s="35" t="str">
        <f>IF($O296="","",IFERROR(CHOOSE(MATCH($F296,الإعدادات!$B$4:$B$7,0),INDEX('حضور سوريال'!$H$7:$H$36,$O296),INDEX('حضور غبريال'!$H$7:$H$36,$O296),INDEX('حضور رفائيل'!$H$7:$H$36,$O296),INDEX('حضور ميخائيل'!$H$7:$H$36,$O296)),""))</f>
        <v/>
      </c>
      <c r="U296" s="36" t="str">
        <f>IF($O296="","",IFERROR(CHOOSE(MATCH($F296,الإعدادات!$B$4:$B$7,0),INDEX('حضور سوريال'!$I$7:$I$36,$O296),INDEX('حضور غبريال'!$I$7:$I$36,$O296),INDEX('حضور رفائيل'!$I$7:$I$36,$O296),INDEX('حضور ميخائيل'!$I$7:$I$36,$O296)),""))</f>
        <v/>
      </c>
      <c r="V296" t="str">
        <f>IF($O296="","",IFERROR(CHOOSE(MATCH($F296,الإعدادات!$B$4:$B$7,0),INDEX('حضور سوريال'!$BM$7:$BM$36,$O296),INDEX('حضور غبريال'!$BM$7:$BM$36,$O296),INDEX('حضور رفائيل'!$BM$7:$BM$36,$O296),INDEX('حضور ميخائيل'!$BM$7:$BM$36,$O296)),""))</f>
        <v/>
      </c>
      <c r="W296" t="str">
        <f>IF(OR(V296=3,V296=4),COUNTIFS(V$6:V296,3)+COUNTIFS(V$6:V296,4),"")</f>
        <v/>
      </c>
    </row>
    <row r="297" spans="1:23" ht="25.5" customHeight="1">
      <c r="A297" s="26" t="str">
        <f t="shared" si="12"/>
        <v/>
      </c>
      <c r="B297" s="27" t="str">
        <f t="shared" si="13"/>
        <v/>
      </c>
      <c r="C297" s="28"/>
      <c r="D297" s="29"/>
      <c r="E297" s="29"/>
      <c r="F297" s="29"/>
      <c r="G297" s="29"/>
      <c r="H297" s="30"/>
      <c r="I297" s="30"/>
      <c r="J297" s="31"/>
      <c r="K297" s="29"/>
      <c r="L297" s="31"/>
      <c r="M297" s="29"/>
      <c r="N297" s="32" t="str">
        <f t="shared" si="14"/>
        <v/>
      </c>
      <c r="O297" s="32" t="str">
        <f>IF(OR(C297="",F297=""),"",COUNTIFS(F$6:F297,F297,C$6:C297,"&lt;&gt;"))</f>
        <v/>
      </c>
      <c r="P297" s="33" t="str">
        <f>IF($O297="","",IFERROR(CHOOSE(MATCH($F297,الإعدادات!$B$4:$B$7,0),INDEX('حضور سوريال'!$C$7:$C$36,$O297),INDEX('حضور غبريال'!$C$7:$C$36,$O297),INDEX('حضور رفائيل'!$C$7:$C$36,$O297),INDEX('حضور ميخائيل'!$C$7:$C$36,$O297)),""))</f>
        <v/>
      </c>
      <c r="Q297" s="33" t="str">
        <f>IF($O297="","",IFERROR(CHOOSE(MATCH($F297,الإعدادات!$B$4:$B$7,0),INDEX('حضور سوريال'!$D$7:$D$36,$O297),INDEX('حضور غبريال'!$D$7:$D$36,$O297),INDEX('حضور رفائيل'!$D$7:$D$36,$O297),INDEX('حضور ميخائيل'!$D$7:$D$36,$O297)),""))</f>
        <v/>
      </c>
      <c r="R297" s="34" t="str">
        <f>IF($O297="","",IFERROR(CHOOSE(MATCH($F297,الإعدادات!$B$4:$B$7,0),INDEX('حضور سوريال'!$F$7:$F$36,$O297),INDEX('حضور غبريال'!$F$7:$F$36,$O297),INDEX('حضور رفائيل'!$F$7:$F$36,$O297),INDEX('حضور ميخائيل'!$F$7:$F$36,$O297)),""))</f>
        <v/>
      </c>
      <c r="S297" s="33" t="str">
        <f>IF($O297="","",IFERROR(CHOOSE(MATCH($F297,الإعدادات!$B$4:$B$7,0),INDEX('حضور سوريال'!$G$7:$G$36,$O297),INDEX('حضور غبريال'!$G$7:$G$36,$O297),INDEX('حضور رفائيل'!$G$7:$G$36,$O297),INDEX('حضور ميخائيل'!$G$7:$G$36,$O297)),""))</f>
        <v/>
      </c>
      <c r="T297" s="35" t="str">
        <f>IF($O297="","",IFERROR(CHOOSE(MATCH($F297,الإعدادات!$B$4:$B$7,0),INDEX('حضور سوريال'!$H$7:$H$36,$O297),INDEX('حضور غبريال'!$H$7:$H$36,$O297),INDEX('حضور رفائيل'!$H$7:$H$36,$O297),INDEX('حضور ميخائيل'!$H$7:$H$36,$O297)),""))</f>
        <v/>
      </c>
      <c r="U297" s="36" t="str">
        <f>IF($O297="","",IFERROR(CHOOSE(MATCH($F297,الإعدادات!$B$4:$B$7,0),INDEX('حضور سوريال'!$I$7:$I$36,$O297),INDEX('حضور غبريال'!$I$7:$I$36,$O297),INDEX('حضور رفائيل'!$I$7:$I$36,$O297),INDEX('حضور ميخائيل'!$I$7:$I$36,$O297)),""))</f>
        <v/>
      </c>
      <c r="V297" t="str">
        <f>IF($O297="","",IFERROR(CHOOSE(MATCH($F297,الإعدادات!$B$4:$B$7,0),INDEX('حضور سوريال'!$BM$7:$BM$36,$O297),INDEX('حضور غبريال'!$BM$7:$BM$36,$O297),INDEX('حضور رفائيل'!$BM$7:$BM$36,$O297),INDEX('حضور ميخائيل'!$BM$7:$BM$36,$O297)),""))</f>
        <v/>
      </c>
      <c r="W297" t="str">
        <f>IF(OR(V297=3,V297=4),COUNTIFS(V$6:V297,3)+COUNTIFS(V$6:V297,4),"")</f>
        <v/>
      </c>
    </row>
    <row r="298" spans="1:23" ht="25.5" customHeight="1">
      <c r="A298" s="26" t="str">
        <f t="shared" si="12"/>
        <v/>
      </c>
      <c r="B298" s="27" t="str">
        <f t="shared" si="13"/>
        <v/>
      </c>
      <c r="C298" s="28"/>
      <c r="D298" s="29"/>
      <c r="E298" s="29"/>
      <c r="F298" s="29"/>
      <c r="G298" s="29"/>
      <c r="H298" s="30"/>
      <c r="I298" s="30"/>
      <c r="J298" s="31"/>
      <c r="K298" s="29"/>
      <c r="L298" s="31"/>
      <c r="M298" s="29"/>
      <c r="N298" s="32" t="str">
        <f t="shared" si="14"/>
        <v/>
      </c>
      <c r="O298" s="32" t="str">
        <f>IF(OR(C298="",F298=""),"",COUNTIFS(F$6:F298,F298,C$6:C298,"&lt;&gt;"))</f>
        <v/>
      </c>
      <c r="P298" s="33" t="str">
        <f>IF($O298="","",IFERROR(CHOOSE(MATCH($F298,الإعدادات!$B$4:$B$7,0),INDEX('حضور سوريال'!$C$7:$C$36,$O298),INDEX('حضور غبريال'!$C$7:$C$36,$O298),INDEX('حضور رفائيل'!$C$7:$C$36,$O298),INDEX('حضور ميخائيل'!$C$7:$C$36,$O298)),""))</f>
        <v/>
      </c>
      <c r="Q298" s="33" t="str">
        <f>IF($O298="","",IFERROR(CHOOSE(MATCH($F298,الإعدادات!$B$4:$B$7,0),INDEX('حضور سوريال'!$D$7:$D$36,$O298),INDEX('حضور غبريال'!$D$7:$D$36,$O298),INDEX('حضور رفائيل'!$D$7:$D$36,$O298),INDEX('حضور ميخائيل'!$D$7:$D$36,$O298)),""))</f>
        <v/>
      </c>
      <c r="R298" s="34" t="str">
        <f>IF($O298="","",IFERROR(CHOOSE(MATCH($F298,الإعدادات!$B$4:$B$7,0),INDEX('حضور سوريال'!$F$7:$F$36,$O298),INDEX('حضور غبريال'!$F$7:$F$36,$O298),INDEX('حضور رفائيل'!$F$7:$F$36,$O298),INDEX('حضور ميخائيل'!$F$7:$F$36,$O298)),""))</f>
        <v/>
      </c>
      <c r="S298" s="33" t="str">
        <f>IF($O298="","",IFERROR(CHOOSE(MATCH($F298,الإعدادات!$B$4:$B$7,0),INDEX('حضور سوريال'!$G$7:$G$36,$O298),INDEX('حضور غبريال'!$G$7:$G$36,$O298),INDEX('حضور رفائيل'!$G$7:$G$36,$O298),INDEX('حضور ميخائيل'!$G$7:$G$36,$O298)),""))</f>
        <v/>
      </c>
      <c r="T298" s="35" t="str">
        <f>IF($O298="","",IFERROR(CHOOSE(MATCH($F298,الإعدادات!$B$4:$B$7,0),INDEX('حضور سوريال'!$H$7:$H$36,$O298),INDEX('حضور غبريال'!$H$7:$H$36,$O298),INDEX('حضور رفائيل'!$H$7:$H$36,$O298),INDEX('حضور ميخائيل'!$H$7:$H$36,$O298)),""))</f>
        <v/>
      </c>
      <c r="U298" s="36" t="str">
        <f>IF($O298="","",IFERROR(CHOOSE(MATCH($F298,الإعدادات!$B$4:$B$7,0),INDEX('حضور سوريال'!$I$7:$I$36,$O298),INDEX('حضور غبريال'!$I$7:$I$36,$O298),INDEX('حضور رفائيل'!$I$7:$I$36,$O298),INDEX('حضور ميخائيل'!$I$7:$I$36,$O298)),""))</f>
        <v/>
      </c>
      <c r="V298" t="str">
        <f>IF($O298="","",IFERROR(CHOOSE(MATCH($F298,الإعدادات!$B$4:$B$7,0),INDEX('حضور سوريال'!$BM$7:$BM$36,$O298),INDEX('حضور غبريال'!$BM$7:$BM$36,$O298),INDEX('حضور رفائيل'!$BM$7:$BM$36,$O298),INDEX('حضور ميخائيل'!$BM$7:$BM$36,$O298)),""))</f>
        <v/>
      </c>
      <c r="W298" t="str">
        <f>IF(OR(V298=3,V298=4),COUNTIFS(V$6:V298,3)+COUNTIFS(V$6:V298,4),"")</f>
        <v/>
      </c>
    </row>
    <row r="299" spans="1:23" ht="25.5" customHeight="1">
      <c r="A299" s="26" t="str">
        <f t="shared" si="12"/>
        <v/>
      </c>
      <c r="B299" s="27" t="str">
        <f t="shared" si="13"/>
        <v/>
      </c>
      <c r="C299" s="28"/>
      <c r="D299" s="29"/>
      <c r="E299" s="29"/>
      <c r="F299" s="29"/>
      <c r="G299" s="29"/>
      <c r="H299" s="30"/>
      <c r="I299" s="30"/>
      <c r="J299" s="31"/>
      <c r="K299" s="29"/>
      <c r="L299" s="31"/>
      <c r="M299" s="29"/>
      <c r="N299" s="32" t="str">
        <f t="shared" si="14"/>
        <v/>
      </c>
      <c r="O299" s="32" t="str">
        <f>IF(OR(C299="",F299=""),"",COUNTIFS(F$6:F299,F299,C$6:C299,"&lt;&gt;"))</f>
        <v/>
      </c>
      <c r="P299" s="33" t="str">
        <f>IF($O299="","",IFERROR(CHOOSE(MATCH($F299,الإعدادات!$B$4:$B$7,0),INDEX('حضور سوريال'!$C$7:$C$36,$O299),INDEX('حضور غبريال'!$C$7:$C$36,$O299),INDEX('حضور رفائيل'!$C$7:$C$36,$O299),INDEX('حضور ميخائيل'!$C$7:$C$36,$O299)),""))</f>
        <v/>
      </c>
      <c r="Q299" s="33" t="str">
        <f>IF($O299="","",IFERROR(CHOOSE(MATCH($F299,الإعدادات!$B$4:$B$7,0),INDEX('حضور سوريال'!$D$7:$D$36,$O299),INDEX('حضور غبريال'!$D$7:$D$36,$O299),INDEX('حضور رفائيل'!$D$7:$D$36,$O299),INDEX('حضور ميخائيل'!$D$7:$D$36,$O299)),""))</f>
        <v/>
      </c>
      <c r="R299" s="34" t="str">
        <f>IF($O299="","",IFERROR(CHOOSE(MATCH($F299,الإعدادات!$B$4:$B$7,0),INDEX('حضور سوريال'!$F$7:$F$36,$O299),INDEX('حضور غبريال'!$F$7:$F$36,$O299),INDEX('حضور رفائيل'!$F$7:$F$36,$O299),INDEX('حضور ميخائيل'!$F$7:$F$36,$O299)),""))</f>
        <v/>
      </c>
      <c r="S299" s="33" t="str">
        <f>IF($O299="","",IFERROR(CHOOSE(MATCH($F299,الإعدادات!$B$4:$B$7,0),INDEX('حضور سوريال'!$G$7:$G$36,$O299),INDEX('حضور غبريال'!$G$7:$G$36,$O299),INDEX('حضور رفائيل'!$G$7:$G$36,$O299),INDEX('حضور ميخائيل'!$G$7:$G$36,$O299)),""))</f>
        <v/>
      </c>
      <c r="T299" s="35" t="str">
        <f>IF($O299="","",IFERROR(CHOOSE(MATCH($F299,الإعدادات!$B$4:$B$7,0),INDEX('حضور سوريال'!$H$7:$H$36,$O299),INDEX('حضور غبريال'!$H$7:$H$36,$O299),INDEX('حضور رفائيل'!$H$7:$H$36,$O299),INDEX('حضور ميخائيل'!$H$7:$H$36,$O299)),""))</f>
        <v/>
      </c>
      <c r="U299" s="36" t="str">
        <f>IF($O299="","",IFERROR(CHOOSE(MATCH($F299,الإعدادات!$B$4:$B$7,0),INDEX('حضور سوريال'!$I$7:$I$36,$O299),INDEX('حضور غبريال'!$I$7:$I$36,$O299),INDEX('حضور رفائيل'!$I$7:$I$36,$O299),INDEX('حضور ميخائيل'!$I$7:$I$36,$O299)),""))</f>
        <v/>
      </c>
      <c r="V299" t="str">
        <f>IF($O299="","",IFERROR(CHOOSE(MATCH($F299,الإعدادات!$B$4:$B$7,0),INDEX('حضور سوريال'!$BM$7:$BM$36,$O299),INDEX('حضور غبريال'!$BM$7:$BM$36,$O299),INDEX('حضور رفائيل'!$BM$7:$BM$36,$O299),INDEX('حضور ميخائيل'!$BM$7:$BM$36,$O299)),""))</f>
        <v/>
      </c>
      <c r="W299" t="str">
        <f>IF(OR(V299=3,V299=4),COUNTIFS(V$6:V299,3)+COUNTIFS(V$6:V299,4),"")</f>
        <v/>
      </c>
    </row>
    <row r="300" spans="1:23" ht="25.5" customHeight="1">
      <c r="A300" s="26" t="str">
        <f t="shared" si="12"/>
        <v/>
      </c>
      <c r="B300" s="27" t="str">
        <f t="shared" si="13"/>
        <v/>
      </c>
      <c r="C300" s="28"/>
      <c r="D300" s="29"/>
      <c r="E300" s="29"/>
      <c r="F300" s="29"/>
      <c r="G300" s="29"/>
      <c r="H300" s="30"/>
      <c r="I300" s="30"/>
      <c r="J300" s="31"/>
      <c r="K300" s="29"/>
      <c r="L300" s="31"/>
      <c r="M300" s="29"/>
      <c r="N300" s="32" t="str">
        <f t="shared" si="14"/>
        <v/>
      </c>
      <c r="O300" s="32" t="str">
        <f>IF(OR(C300="",F300=""),"",COUNTIFS(F$6:F300,F300,C$6:C300,"&lt;&gt;"))</f>
        <v/>
      </c>
      <c r="P300" s="33" t="str">
        <f>IF($O300="","",IFERROR(CHOOSE(MATCH($F300,الإعدادات!$B$4:$B$7,0),INDEX('حضور سوريال'!$C$7:$C$36,$O300),INDEX('حضور غبريال'!$C$7:$C$36,$O300),INDEX('حضور رفائيل'!$C$7:$C$36,$O300),INDEX('حضور ميخائيل'!$C$7:$C$36,$O300)),""))</f>
        <v/>
      </c>
      <c r="Q300" s="33" t="str">
        <f>IF($O300="","",IFERROR(CHOOSE(MATCH($F300,الإعدادات!$B$4:$B$7,0),INDEX('حضور سوريال'!$D$7:$D$36,$O300),INDEX('حضور غبريال'!$D$7:$D$36,$O300),INDEX('حضور رفائيل'!$D$7:$D$36,$O300),INDEX('حضور ميخائيل'!$D$7:$D$36,$O300)),""))</f>
        <v/>
      </c>
      <c r="R300" s="34" t="str">
        <f>IF($O300="","",IFERROR(CHOOSE(MATCH($F300,الإعدادات!$B$4:$B$7,0),INDEX('حضور سوريال'!$F$7:$F$36,$O300),INDEX('حضور غبريال'!$F$7:$F$36,$O300),INDEX('حضور رفائيل'!$F$7:$F$36,$O300),INDEX('حضور ميخائيل'!$F$7:$F$36,$O300)),""))</f>
        <v/>
      </c>
      <c r="S300" s="33" t="str">
        <f>IF($O300="","",IFERROR(CHOOSE(MATCH($F300,الإعدادات!$B$4:$B$7,0),INDEX('حضور سوريال'!$G$7:$G$36,$O300),INDEX('حضور غبريال'!$G$7:$G$36,$O300),INDEX('حضور رفائيل'!$G$7:$G$36,$O300),INDEX('حضور ميخائيل'!$G$7:$G$36,$O300)),""))</f>
        <v/>
      </c>
      <c r="T300" s="35" t="str">
        <f>IF($O300="","",IFERROR(CHOOSE(MATCH($F300,الإعدادات!$B$4:$B$7,0),INDEX('حضور سوريال'!$H$7:$H$36,$O300),INDEX('حضور غبريال'!$H$7:$H$36,$O300),INDEX('حضور رفائيل'!$H$7:$H$36,$O300),INDEX('حضور ميخائيل'!$H$7:$H$36,$O300)),""))</f>
        <v/>
      </c>
      <c r="U300" s="36" t="str">
        <f>IF($O300="","",IFERROR(CHOOSE(MATCH($F300,الإعدادات!$B$4:$B$7,0),INDEX('حضور سوريال'!$I$7:$I$36,$O300),INDEX('حضور غبريال'!$I$7:$I$36,$O300),INDEX('حضور رفائيل'!$I$7:$I$36,$O300),INDEX('حضور ميخائيل'!$I$7:$I$36,$O300)),""))</f>
        <v/>
      </c>
      <c r="V300" t="str">
        <f>IF($O300="","",IFERROR(CHOOSE(MATCH($F300,الإعدادات!$B$4:$B$7,0),INDEX('حضور سوريال'!$BM$7:$BM$36,$O300),INDEX('حضور غبريال'!$BM$7:$BM$36,$O300),INDEX('حضور رفائيل'!$BM$7:$BM$36,$O300),INDEX('حضور ميخائيل'!$BM$7:$BM$36,$O300)),""))</f>
        <v/>
      </c>
      <c r="W300" t="str">
        <f>IF(OR(V300=3,V300=4),COUNTIFS(V$6:V300,3)+COUNTIFS(V$6:V300,4),"")</f>
        <v/>
      </c>
    </row>
    <row r="301" spans="1:23" ht="25.5" customHeight="1">
      <c r="A301" s="26" t="str">
        <f t="shared" si="12"/>
        <v/>
      </c>
      <c r="B301" s="27" t="str">
        <f t="shared" si="13"/>
        <v/>
      </c>
      <c r="C301" s="28"/>
      <c r="D301" s="29"/>
      <c r="E301" s="29"/>
      <c r="F301" s="29"/>
      <c r="G301" s="29"/>
      <c r="H301" s="30"/>
      <c r="I301" s="30"/>
      <c r="J301" s="31"/>
      <c r="K301" s="29"/>
      <c r="L301" s="31"/>
      <c r="M301" s="29"/>
      <c r="N301" s="32" t="str">
        <f t="shared" si="14"/>
        <v/>
      </c>
      <c r="O301" s="32" t="str">
        <f>IF(OR(C301="",F301=""),"",COUNTIFS(F$6:F301,F301,C$6:C301,"&lt;&gt;"))</f>
        <v/>
      </c>
      <c r="P301" s="33" t="str">
        <f>IF($O301="","",IFERROR(CHOOSE(MATCH($F301,الإعدادات!$B$4:$B$7,0),INDEX('حضور سوريال'!$C$7:$C$36,$O301),INDEX('حضور غبريال'!$C$7:$C$36,$O301),INDEX('حضور رفائيل'!$C$7:$C$36,$O301),INDEX('حضور ميخائيل'!$C$7:$C$36,$O301)),""))</f>
        <v/>
      </c>
      <c r="Q301" s="33" t="str">
        <f>IF($O301="","",IFERROR(CHOOSE(MATCH($F301,الإعدادات!$B$4:$B$7,0),INDEX('حضور سوريال'!$D$7:$D$36,$O301),INDEX('حضور غبريال'!$D$7:$D$36,$O301),INDEX('حضور رفائيل'!$D$7:$D$36,$O301),INDEX('حضور ميخائيل'!$D$7:$D$36,$O301)),""))</f>
        <v/>
      </c>
      <c r="R301" s="34" t="str">
        <f>IF($O301="","",IFERROR(CHOOSE(MATCH($F301,الإعدادات!$B$4:$B$7,0),INDEX('حضور سوريال'!$F$7:$F$36,$O301),INDEX('حضور غبريال'!$F$7:$F$36,$O301),INDEX('حضور رفائيل'!$F$7:$F$36,$O301),INDEX('حضور ميخائيل'!$F$7:$F$36,$O301)),""))</f>
        <v/>
      </c>
      <c r="S301" s="33" t="str">
        <f>IF($O301="","",IFERROR(CHOOSE(MATCH($F301,الإعدادات!$B$4:$B$7,0),INDEX('حضور سوريال'!$G$7:$G$36,$O301),INDEX('حضور غبريال'!$G$7:$G$36,$O301),INDEX('حضور رفائيل'!$G$7:$G$36,$O301),INDEX('حضور ميخائيل'!$G$7:$G$36,$O301)),""))</f>
        <v/>
      </c>
      <c r="T301" s="35" t="str">
        <f>IF($O301="","",IFERROR(CHOOSE(MATCH($F301,الإعدادات!$B$4:$B$7,0),INDEX('حضور سوريال'!$H$7:$H$36,$O301),INDEX('حضور غبريال'!$H$7:$H$36,$O301),INDEX('حضور رفائيل'!$H$7:$H$36,$O301),INDEX('حضور ميخائيل'!$H$7:$H$36,$O301)),""))</f>
        <v/>
      </c>
      <c r="U301" s="36" t="str">
        <f>IF($O301="","",IFERROR(CHOOSE(MATCH($F301,الإعدادات!$B$4:$B$7,0),INDEX('حضور سوريال'!$I$7:$I$36,$O301),INDEX('حضور غبريال'!$I$7:$I$36,$O301),INDEX('حضور رفائيل'!$I$7:$I$36,$O301),INDEX('حضور ميخائيل'!$I$7:$I$36,$O301)),""))</f>
        <v/>
      </c>
      <c r="V301" t="str">
        <f>IF($O301="","",IFERROR(CHOOSE(MATCH($F301,الإعدادات!$B$4:$B$7,0),INDEX('حضور سوريال'!$BM$7:$BM$36,$O301),INDEX('حضور غبريال'!$BM$7:$BM$36,$O301),INDEX('حضور رفائيل'!$BM$7:$BM$36,$O301),INDEX('حضور ميخائيل'!$BM$7:$BM$36,$O301)),""))</f>
        <v/>
      </c>
      <c r="W301" t="str">
        <f>IF(OR(V301=3,V301=4),COUNTIFS(V$6:V301,3)+COUNTIFS(V$6:V301,4),"")</f>
        <v/>
      </c>
    </row>
    <row r="302" spans="1:23" ht="25.5" customHeight="1">
      <c r="A302" s="26" t="str">
        <f t="shared" si="12"/>
        <v/>
      </c>
      <c r="B302" s="27" t="str">
        <f t="shared" si="13"/>
        <v/>
      </c>
      <c r="C302" s="28"/>
      <c r="D302" s="29"/>
      <c r="E302" s="29"/>
      <c r="F302" s="29"/>
      <c r="G302" s="29"/>
      <c r="H302" s="30"/>
      <c r="I302" s="30"/>
      <c r="J302" s="31"/>
      <c r="K302" s="29"/>
      <c r="L302" s="31"/>
      <c r="M302" s="29"/>
      <c r="N302" s="32" t="str">
        <f t="shared" si="14"/>
        <v/>
      </c>
      <c r="O302" s="32" t="str">
        <f>IF(OR(C302="",F302=""),"",COUNTIFS(F$6:F302,F302,C$6:C302,"&lt;&gt;"))</f>
        <v/>
      </c>
      <c r="P302" s="33" t="str">
        <f>IF($O302="","",IFERROR(CHOOSE(MATCH($F302,الإعدادات!$B$4:$B$7,0),INDEX('حضور سوريال'!$C$7:$C$36,$O302),INDEX('حضور غبريال'!$C$7:$C$36,$O302),INDEX('حضور رفائيل'!$C$7:$C$36,$O302),INDEX('حضور ميخائيل'!$C$7:$C$36,$O302)),""))</f>
        <v/>
      </c>
      <c r="Q302" s="33" t="str">
        <f>IF($O302="","",IFERROR(CHOOSE(MATCH($F302,الإعدادات!$B$4:$B$7,0),INDEX('حضور سوريال'!$D$7:$D$36,$O302),INDEX('حضور غبريال'!$D$7:$D$36,$O302),INDEX('حضور رفائيل'!$D$7:$D$36,$O302),INDEX('حضور ميخائيل'!$D$7:$D$36,$O302)),""))</f>
        <v/>
      </c>
      <c r="R302" s="34" t="str">
        <f>IF($O302="","",IFERROR(CHOOSE(MATCH($F302,الإعدادات!$B$4:$B$7,0),INDEX('حضور سوريال'!$F$7:$F$36,$O302),INDEX('حضور غبريال'!$F$7:$F$36,$O302),INDEX('حضور رفائيل'!$F$7:$F$36,$O302),INDEX('حضور ميخائيل'!$F$7:$F$36,$O302)),""))</f>
        <v/>
      </c>
      <c r="S302" s="33" t="str">
        <f>IF($O302="","",IFERROR(CHOOSE(MATCH($F302,الإعدادات!$B$4:$B$7,0),INDEX('حضور سوريال'!$G$7:$G$36,$O302),INDEX('حضور غبريال'!$G$7:$G$36,$O302),INDEX('حضور رفائيل'!$G$7:$G$36,$O302),INDEX('حضور ميخائيل'!$G$7:$G$36,$O302)),""))</f>
        <v/>
      </c>
      <c r="T302" s="35" t="str">
        <f>IF($O302="","",IFERROR(CHOOSE(MATCH($F302,الإعدادات!$B$4:$B$7,0),INDEX('حضور سوريال'!$H$7:$H$36,$O302),INDEX('حضور غبريال'!$H$7:$H$36,$O302),INDEX('حضور رفائيل'!$H$7:$H$36,$O302),INDEX('حضور ميخائيل'!$H$7:$H$36,$O302)),""))</f>
        <v/>
      </c>
      <c r="U302" s="36" t="str">
        <f>IF($O302="","",IFERROR(CHOOSE(MATCH($F302,الإعدادات!$B$4:$B$7,0),INDEX('حضور سوريال'!$I$7:$I$36,$O302),INDEX('حضور غبريال'!$I$7:$I$36,$O302),INDEX('حضور رفائيل'!$I$7:$I$36,$O302),INDEX('حضور ميخائيل'!$I$7:$I$36,$O302)),""))</f>
        <v/>
      </c>
      <c r="V302" t="str">
        <f>IF($O302="","",IFERROR(CHOOSE(MATCH($F302,الإعدادات!$B$4:$B$7,0),INDEX('حضور سوريال'!$BM$7:$BM$36,$O302),INDEX('حضور غبريال'!$BM$7:$BM$36,$O302),INDEX('حضور رفائيل'!$BM$7:$BM$36,$O302),INDEX('حضور ميخائيل'!$BM$7:$BM$36,$O302)),""))</f>
        <v/>
      </c>
      <c r="W302" t="str">
        <f>IF(OR(V302=3,V302=4),COUNTIFS(V$6:V302,3)+COUNTIFS(V$6:V302,4),"")</f>
        <v/>
      </c>
    </row>
    <row r="303" spans="1:23" ht="25.5" customHeight="1">
      <c r="A303" s="26" t="str">
        <f t="shared" si="12"/>
        <v/>
      </c>
      <c r="B303" s="27" t="str">
        <f t="shared" si="13"/>
        <v/>
      </c>
      <c r="C303" s="28"/>
      <c r="D303" s="29"/>
      <c r="E303" s="29"/>
      <c r="F303" s="29"/>
      <c r="G303" s="29"/>
      <c r="H303" s="30"/>
      <c r="I303" s="30"/>
      <c r="J303" s="31"/>
      <c r="K303" s="29"/>
      <c r="L303" s="31"/>
      <c r="M303" s="29"/>
      <c r="N303" s="32" t="str">
        <f t="shared" si="14"/>
        <v/>
      </c>
      <c r="O303" s="32" t="str">
        <f>IF(OR(C303="",F303=""),"",COUNTIFS(F$6:F303,F303,C$6:C303,"&lt;&gt;"))</f>
        <v/>
      </c>
      <c r="P303" s="33" t="str">
        <f>IF($O303="","",IFERROR(CHOOSE(MATCH($F303,الإعدادات!$B$4:$B$7,0),INDEX('حضور سوريال'!$C$7:$C$36,$O303),INDEX('حضور غبريال'!$C$7:$C$36,$O303),INDEX('حضور رفائيل'!$C$7:$C$36,$O303),INDEX('حضور ميخائيل'!$C$7:$C$36,$O303)),""))</f>
        <v/>
      </c>
      <c r="Q303" s="33" t="str">
        <f>IF($O303="","",IFERROR(CHOOSE(MATCH($F303,الإعدادات!$B$4:$B$7,0),INDEX('حضور سوريال'!$D$7:$D$36,$O303),INDEX('حضور غبريال'!$D$7:$D$36,$O303),INDEX('حضور رفائيل'!$D$7:$D$36,$O303),INDEX('حضور ميخائيل'!$D$7:$D$36,$O303)),""))</f>
        <v/>
      </c>
      <c r="R303" s="34" t="str">
        <f>IF($O303="","",IFERROR(CHOOSE(MATCH($F303,الإعدادات!$B$4:$B$7,0),INDEX('حضور سوريال'!$F$7:$F$36,$O303),INDEX('حضور غبريال'!$F$7:$F$36,$O303),INDEX('حضور رفائيل'!$F$7:$F$36,$O303),INDEX('حضور ميخائيل'!$F$7:$F$36,$O303)),""))</f>
        <v/>
      </c>
      <c r="S303" s="33" t="str">
        <f>IF($O303="","",IFERROR(CHOOSE(MATCH($F303,الإعدادات!$B$4:$B$7,0),INDEX('حضور سوريال'!$G$7:$G$36,$O303),INDEX('حضور غبريال'!$G$7:$G$36,$O303),INDEX('حضور رفائيل'!$G$7:$G$36,$O303),INDEX('حضور ميخائيل'!$G$7:$G$36,$O303)),""))</f>
        <v/>
      </c>
      <c r="T303" s="35" t="str">
        <f>IF($O303="","",IFERROR(CHOOSE(MATCH($F303,الإعدادات!$B$4:$B$7,0),INDEX('حضور سوريال'!$H$7:$H$36,$O303),INDEX('حضور غبريال'!$H$7:$H$36,$O303),INDEX('حضور رفائيل'!$H$7:$H$36,$O303),INDEX('حضور ميخائيل'!$H$7:$H$36,$O303)),""))</f>
        <v/>
      </c>
      <c r="U303" s="36" t="str">
        <f>IF($O303="","",IFERROR(CHOOSE(MATCH($F303,الإعدادات!$B$4:$B$7,0),INDEX('حضور سوريال'!$I$7:$I$36,$O303),INDEX('حضور غبريال'!$I$7:$I$36,$O303),INDEX('حضور رفائيل'!$I$7:$I$36,$O303),INDEX('حضور ميخائيل'!$I$7:$I$36,$O303)),""))</f>
        <v/>
      </c>
      <c r="V303" t="str">
        <f>IF($O303="","",IFERROR(CHOOSE(MATCH($F303,الإعدادات!$B$4:$B$7,0),INDEX('حضور سوريال'!$BM$7:$BM$36,$O303),INDEX('حضور غبريال'!$BM$7:$BM$36,$O303),INDEX('حضور رفائيل'!$BM$7:$BM$36,$O303),INDEX('حضور ميخائيل'!$BM$7:$BM$36,$O303)),""))</f>
        <v/>
      </c>
      <c r="W303" t="str">
        <f>IF(OR(V303=3,V303=4),COUNTIFS(V$6:V303,3)+COUNTIFS(V$6:V303,4),"")</f>
        <v/>
      </c>
    </row>
    <row r="304" spans="1:23" ht="25.5" customHeight="1">
      <c r="A304" s="26" t="str">
        <f t="shared" si="12"/>
        <v/>
      </c>
      <c r="B304" s="27" t="str">
        <f t="shared" si="13"/>
        <v/>
      </c>
      <c r="C304" s="28"/>
      <c r="D304" s="29"/>
      <c r="E304" s="29"/>
      <c r="F304" s="29"/>
      <c r="G304" s="29"/>
      <c r="H304" s="30"/>
      <c r="I304" s="30"/>
      <c r="J304" s="31"/>
      <c r="K304" s="29"/>
      <c r="L304" s="31"/>
      <c r="M304" s="29"/>
      <c r="N304" s="32" t="str">
        <f t="shared" si="14"/>
        <v/>
      </c>
      <c r="O304" s="32" t="str">
        <f>IF(OR(C304="",F304=""),"",COUNTIFS(F$6:F304,F304,C$6:C304,"&lt;&gt;"))</f>
        <v/>
      </c>
      <c r="P304" s="33" t="str">
        <f>IF($O304="","",IFERROR(CHOOSE(MATCH($F304,الإعدادات!$B$4:$B$7,0),INDEX('حضور سوريال'!$C$7:$C$36,$O304),INDEX('حضور غبريال'!$C$7:$C$36,$O304),INDEX('حضور رفائيل'!$C$7:$C$36,$O304),INDEX('حضور ميخائيل'!$C$7:$C$36,$O304)),""))</f>
        <v/>
      </c>
      <c r="Q304" s="33" t="str">
        <f>IF($O304="","",IFERROR(CHOOSE(MATCH($F304,الإعدادات!$B$4:$B$7,0),INDEX('حضور سوريال'!$D$7:$D$36,$O304),INDEX('حضور غبريال'!$D$7:$D$36,$O304),INDEX('حضور رفائيل'!$D$7:$D$36,$O304),INDEX('حضور ميخائيل'!$D$7:$D$36,$O304)),""))</f>
        <v/>
      </c>
      <c r="R304" s="34" t="str">
        <f>IF($O304="","",IFERROR(CHOOSE(MATCH($F304,الإعدادات!$B$4:$B$7,0),INDEX('حضور سوريال'!$F$7:$F$36,$O304),INDEX('حضور غبريال'!$F$7:$F$36,$O304),INDEX('حضور رفائيل'!$F$7:$F$36,$O304),INDEX('حضور ميخائيل'!$F$7:$F$36,$O304)),""))</f>
        <v/>
      </c>
      <c r="S304" s="33" t="str">
        <f>IF($O304="","",IFERROR(CHOOSE(MATCH($F304,الإعدادات!$B$4:$B$7,0),INDEX('حضور سوريال'!$G$7:$G$36,$O304),INDEX('حضور غبريال'!$G$7:$G$36,$O304),INDEX('حضور رفائيل'!$G$7:$G$36,$O304),INDEX('حضور ميخائيل'!$G$7:$G$36,$O304)),""))</f>
        <v/>
      </c>
      <c r="T304" s="35" t="str">
        <f>IF($O304="","",IFERROR(CHOOSE(MATCH($F304,الإعدادات!$B$4:$B$7,0),INDEX('حضور سوريال'!$H$7:$H$36,$O304),INDEX('حضور غبريال'!$H$7:$H$36,$O304),INDEX('حضور رفائيل'!$H$7:$H$36,$O304),INDEX('حضور ميخائيل'!$H$7:$H$36,$O304)),""))</f>
        <v/>
      </c>
      <c r="U304" s="36" t="str">
        <f>IF($O304="","",IFERROR(CHOOSE(MATCH($F304,الإعدادات!$B$4:$B$7,0),INDEX('حضور سوريال'!$I$7:$I$36,$O304),INDEX('حضور غبريال'!$I$7:$I$36,$O304),INDEX('حضور رفائيل'!$I$7:$I$36,$O304),INDEX('حضور ميخائيل'!$I$7:$I$36,$O304)),""))</f>
        <v/>
      </c>
      <c r="V304" t="str">
        <f>IF($O304="","",IFERROR(CHOOSE(MATCH($F304,الإعدادات!$B$4:$B$7,0),INDEX('حضور سوريال'!$BM$7:$BM$36,$O304),INDEX('حضور غبريال'!$BM$7:$BM$36,$O304),INDEX('حضور رفائيل'!$BM$7:$BM$36,$O304),INDEX('حضور ميخائيل'!$BM$7:$BM$36,$O304)),""))</f>
        <v/>
      </c>
      <c r="W304" t="str">
        <f>IF(OR(V304=3,V304=4),COUNTIFS(V$6:V304,3)+COUNTIFS(V$6:V304,4),"")</f>
        <v/>
      </c>
    </row>
    <row r="305" spans="1:23" ht="25.5" customHeight="1">
      <c r="A305" s="26" t="str">
        <f t="shared" si="12"/>
        <v/>
      </c>
      <c r="B305" s="27" t="str">
        <f t="shared" si="13"/>
        <v/>
      </c>
      <c r="C305" s="28"/>
      <c r="D305" s="29"/>
      <c r="E305" s="29"/>
      <c r="F305" s="29"/>
      <c r="G305" s="29"/>
      <c r="H305" s="30"/>
      <c r="I305" s="30"/>
      <c r="J305" s="31"/>
      <c r="K305" s="29"/>
      <c r="L305" s="31"/>
      <c r="M305" s="29"/>
      <c r="N305" s="32" t="str">
        <f t="shared" si="14"/>
        <v/>
      </c>
      <c r="O305" s="32" t="str">
        <f>IF(OR(C305="",F305=""),"",COUNTIFS(F$6:F305,F305,C$6:C305,"&lt;&gt;"))</f>
        <v/>
      </c>
      <c r="P305" s="33" t="str">
        <f>IF($O305="","",IFERROR(CHOOSE(MATCH($F305,الإعدادات!$B$4:$B$7,0),INDEX('حضور سوريال'!$C$7:$C$36,$O305),INDEX('حضور غبريال'!$C$7:$C$36,$O305),INDEX('حضور رفائيل'!$C$7:$C$36,$O305),INDEX('حضور ميخائيل'!$C$7:$C$36,$O305)),""))</f>
        <v/>
      </c>
      <c r="Q305" s="33" t="str">
        <f>IF($O305="","",IFERROR(CHOOSE(MATCH($F305,الإعدادات!$B$4:$B$7,0),INDEX('حضور سوريال'!$D$7:$D$36,$O305),INDEX('حضور غبريال'!$D$7:$D$36,$O305),INDEX('حضور رفائيل'!$D$7:$D$36,$O305),INDEX('حضور ميخائيل'!$D$7:$D$36,$O305)),""))</f>
        <v/>
      </c>
      <c r="R305" s="34" t="str">
        <f>IF($O305="","",IFERROR(CHOOSE(MATCH($F305,الإعدادات!$B$4:$B$7,0),INDEX('حضور سوريال'!$F$7:$F$36,$O305),INDEX('حضور غبريال'!$F$7:$F$36,$O305),INDEX('حضور رفائيل'!$F$7:$F$36,$O305),INDEX('حضور ميخائيل'!$F$7:$F$36,$O305)),""))</f>
        <v/>
      </c>
      <c r="S305" s="33" t="str">
        <f>IF($O305="","",IFERROR(CHOOSE(MATCH($F305,الإعدادات!$B$4:$B$7,0),INDEX('حضور سوريال'!$G$7:$G$36,$O305),INDEX('حضور غبريال'!$G$7:$G$36,$O305),INDEX('حضور رفائيل'!$G$7:$G$36,$O305),INDEX('حضور ميخائيل'!$G$7:$G$36,$O305)),""))</f>
        <v/>
      </c>
      <c r="T305" s="35" t="str">
        <f>IF($O305="","",IFERROR(CHOOSE(MATCH($F305,الإعدادات!$B$4:$B$7,0),INDEX('حضور سوريال'!$H$7:$H$36,$O305),INDEX('حضور غبريال'!$H$7:$H$36,$O305),INDEX('حضور رفائيل'!$H$7:$H$36,$O305),INDEX('حضور ميخائيل'!$H$7:$H$36,$O305)),""))</f>
        <v/>
      </c>
      <c r="U305" s="36" t="str">
        <f>IF($O305="","",IFERROR(CHOOSE(MATCH($F305,الإعدادات!$B$4:$B$7,0),INDEX('حضور سوريال'!$I$7:$I$36,$O305),INDEX('حضور غبريال'!$I$7:$I$36,$O305),INDEX('حضور رفائيل'!$I$7:$I$36,$O305),INDEX('حضور ميخائيل'!$I$7:$I$36,$O305)),""))</f>
        <v/>
      </c>
      <c r="V305" t="str">
        <f>IF($O305="","",IFERROR(CHOOSE(MATCH($F305,الإعدادات!$B$4:$B$7,0),INDEX('حضور سوريال'!$BM$7:$BM$36,$O305),INDEX('حضور غبريال'!$BM$7:$BM$36,$O305),INDEX('حضور رفائيل'!$BM$7:$BM$36,$O305),INDEX('حضور ميخائيل'!$BM$7:$BM$36,$O305)),""))</f>
        <v/>
      </c>
      <c r="W305" t="str">
        <f>IF(OR(V305=3,V305=4),COUNTIFS(V$6:V305,3)+COUNTIFS(V$6:V305,4),"")</f>
        <v/>
      </c>
    </row>
  </sheetData>
  <sheetProtection sheet="1" formatCells="0" formatColumns="0" formatRows="0"/>
  <mergeCells count="7">
    <mergeCell ref="A3:U3"/>
    <mergeCell ref="A4:U4"/>
    <mergeCell ref="A1:U1"/>
    <mergeCell ref="A2:B2"/>
    <mergeCell ref="D2:F2"/>
    <mergeCell ref="K2:L2"/>
    <mergeCell ref="M2:U2"/>
  </mergeCells>
  <phoneticPr fontId="67" type="noConversion"/>
  <conditionalFormatting sqref="A6:U305">
    <cfRule type="expression" dxfId="0" priority="2">
      <formula>$M6="غير نشط"</formula>
    </cfRule>
  </conditionalFormatting>
  <conditionalFormatting sqref="C6:C305">
    <cfRule type="expression" dxfId="149" priority="3">
      <formula>AND($C6&lt;&gt;"",COUNTIF($C$6:$C$305,$C6)&gt;1)</formula>
    </cfRule>
  </conditionalFormatting>
  <conditionalFormatting sqref="D6:D305">
    <cfRule type="expression" dxfId="154" priority="9">
      <formula>$D6="ولد"</formula>
    </cfRule>
    <cfRule type="expression" dxfId="153" priority="10">
      <formula>$D6="بنت"</formula>
    </cfRule>
  </conditionalFormatting>
  <conditionalFormatting sqref="F6:F305">
    <cfRule type="expression" dxfId="148" priority="4">
      <formula>AND($C6&lt;&gt;"",$F6="")</formula>
    </cfRule>
    <cfRule type="expression" dxfId="147" priority="5">
      <formula>$F6="سوريال"</formula>
    </cfRule>
    <cfRule type="expression" dxfId="146" priority="6">
      <formula>$F6="غبريال"</formula>
    </cfRule>
    <cfRule type="expression" dxfId="145" priority="7">
      <formula>$F6="رفائيل"</formula>
    </cfRule>
    <cfRule type="expression" dxfId="144" priority="8">
      <formula>$F6="ميخائيل"</formula>
    </cfRule>
  </conditionalFormatting>
  <conditionalFormatting sqref="R6:U305">
    <cfRule type="expression" dxfId="143" priority="11">
      <formula>$V6=1</formula>
    </cfRule>
    <cfRule type="expression" dxfId="142" priority="12">
      <formula>$V6=2</formula>
    </cfRule>
    <cfRule type="expression" dxfId="141" priority="13">
      <formula>$V6=3</formula>
    </cfRule>
    <cfRule type="expression" dxfId="140" priority="14">
      <formula>$V6=4</formula>
    </cfRule>
  </conditionalFormatting>
  <dataValidations disablePrompts="1" count="1">
    <dataValidation type="custom" errorStyle="warning" allowBlank="1" showErrorMessage="1" errorTitle="رقم تليفون" error="رقم الموبايل لازم يكون 11 رقم ويبدأ بـ 01." sqref="H6:I305" xr:uid="{00000000-0002-0000-0100-000005000000}">
      <formula1>AND(LEN(H6)=11,LEFT(H6,2)="01",ISNUMBER(--H6))</formula1>
      <formula2>0</formula2>
    </dataValidation>
  </dataValidations>
  <printOptions horizontalCentered="1"/>
  <pageMargins left="0.75" right="0.75" top="1" bottom="1" header="0.511811023622047" footer="0.511811023622047"/>
  <pageSetup scale="29" fitToHeight="0" orientation="portrait" horizontalDpi="300" verticalDpi="300" r:id="rId1"/>
  <legacyDrawing r:id="rId2"/>
  <extLst>
    <ext xmlns:x14="http://schemas.microsoft.com/office/spreadsheetml/2009/9/main" uri="{CCE6A557-97BC-4b89-ADB6-D9C93CAAB3DF}">
      <x14:dataValidations xmlns:xm="http://schemas.microsoft.com/office/excel/2006/main" disablePrompts="1" count="5">
        <x14:dataValidation type="list" allowBlank="1" showErrorMessage="1" errorTitle="قيمة غير صحيحة" error="اختار من القايمة." xr:uid="{00000000-0002-0000-0100-000001000000}">
          <x14:formula1>
            <xm:f>الإعدادات!$D$4:$D$13</xm:f>
          </x14:formula1>
          <x14:formula2>
            <xm:f>0</xm:f>
          </x14:formula2>
          <xm:sqref>E6:E305</xm:sqref>
        </x14:dataValidation>
        <x14:dataValidation type="list" allowBlank="1" showErrorMessage="1" errorTitle="قيمة غير صحيحة" error="اختار من القايمة." xr:uid="{00000000-0002-0000-0100-000002000000}">
          <x14:formula1>
            <xm:f>الإعدادات!$B$4:$B$7</xm:f>
          </x14:formula1>
          <x14:formula2>
            <xm:f>0</xm:f>
          </x14:formula2>
          <xm:sqref>F6:F305</xm:sqref>
        </x14:dataValidation>
        <x14:dataValidation type="list" allowBlank="1" showErrorMessage="1" errorTitle="قيمة غير صحيحة" error="اختار من القايمة." xr:uid="{00000000-0002-0000-0100-000003000000}">
          <x14:formula1>
            <xm:f>الإعدادات!$F$4:$F$5</xm:f>
          </x14:formula1>
          <x14:formula2>
            <xm:f>0</xm:f>
          </x14:formula2>
          <xm:sqref>G6:G305</xm:sqref>
        </x14:dataValidation>
        <x14:dataValidation type="list" allowBlank="1" showErrorMessage="1" errorTitle="قيمة غير صحيحة" error="اختار من القايمة." xr:uid="{00000000-0002-0000-0100-000004000000}">
          <x14:formula1>
            <xm:f>الإعدادات!$G$4:$G$5</xm:f>
          </x14:formula1>
          <x14:formula2>
            <xm:f>0</xm:f>
          </x14:formula2>
          <xm:sqref>M6:M305</xm:sqref>
        </x14:dataValidation>
        <x14:dataValidation type="list" allowBlank="1" showErrorMessage="1" errorTitle="قيمة غير صحيحة" error="اختار من القايمة." xr:uid="{00000000-0002-0000-0100-000000000000}">
          <x14:formula1>
            <xm:f>الإعدادات!$E$4:$E$5</xm:f>
          </x14:formula1>
          <x14:formula2>
            <xm:f>0</xm:f>
          </x14:formula2>
          <xm:sqref>D6:D23 D25:D305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B1:S118"/>
  <sheetViews>
    <sheetView showGridLines="0" rightToLeft="1" tabSelected="1" zoomScale="90" zoomScaleNormal="90" workbookViewId="0">
      <pane ySplit="2" topLeftCell="A3" activePane="bottomLeft" state="frozen"/>
      <selection pane="bottomLeft" activeCell="N9" sqref="N9"/>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14" t="str">
        <f>"🪪 كروت أطفال ملاك "&amp;الإعدادات!$B$4</f>
        <v>🪪 كروت أطفال ملاك سوريال</v>
      </c>
      <c r="C1" s="114"/>
      <c r="D1" s="114"/>
      <c r="E1" s="114"/>
      <c r="F1" s="114"/>
      <c r="G1" s="114"/>
      <c r="H1" s="114"/>
      <c r="I1" s="114"/>
      <c r="J1" s="114"/>
      <c r="K1" s="114"/>
      <c r="L1" s="114"/>
    </row>
    <row r="2" spans="2:19" ht="30" customHeight="1">
      <c r="B2" s="111" t="str">
        <f>HYPERLINK("#'الرئيسية'!A1","🏠 الرئيسية")</f>
        <v>🏠 الرئيسية</v>
      </c>
      <c r="C2" s="111"/>
      <c r="D2" s="115" t="str">
        <f>HYPERLINK("#'قاعدة البيانات'!C"&amp;MIN(305,6+COUNTA('قاعدة البيانات'!$C$6:$C$305)),"➕ إضافة طفل جديد")</f>
        <v>➕ إضافة طفل جديد</v>
      </c>
      <c r="E2" s="115"/>
      <c r="F2" s="115"/>
      <c r="G2" s="116" t="str">
        <f>HYPERLINK("#'حضور سوريال'!A1","📅 حضور الفصل")</f>
        <v>📅 حضور الفصل</v>
      </c>
      <c r="H2" s="116"/>
      <c r="J2" s="111" t="str">
        <f>HYPERLINK("#'الافتقاد'!A1","📞 الافتقاد")</f>
        <v>📞 الافتقاد</v>
      </c>
      <c r="K2" s="111"/>
      <c r="L2" s="18" t="str">
        <f>HYPERLINK("#'قاعدة البيانات'!A1","📋 القاعدة")</f>
        <v>📋 القاعدة</v>
      </c>
    </row>
    <row r="3" spans="2:19" ht="7.5" customHeight="1"/>
    <row r="4" spans="2:19" ht="19.5" customHeight="1">
      <c r="B4" s="117" t="s">
        <v>52</v>
      </c>
      <c r="C4" s="117"/>
      <c r="D4" s="117"/>
      <c r="F4" s="117" t="s">
        <v>53</v>
      </c>
      <c r="G4" s="117"/>
      <c r="H4" s="117"/>
      <c r="J4" s="117" t="s">
        <v>54</v>
      </c>
      <c r="K4" s="117"/>
      <c r="L4" s="117"/>
    </row>
    <row r="5" spans="2:19" ht="37.5" customHeight="1">
      <c r="B5" s="118">
        <f>COUNTIFS('قاعدة البيانات'!$F$6:$F$305,الإعدادات!$B$4,'قاعدة البيانات'!$C$6:$C$305,"&lt;&gt;",'قاعدة البيانات'!$M$6:$M$305,"&lt;&gt;غير نشط")</f>
        <v>24</v>
      </c>
      <c r="C5" s="118"/>
      <c r="D5" s="118"/>
      <c r="F5" s="119" t="str">
        <f>"👦 "&amp;COUNTIFS('قاعدة البيانات'!$F$6:$F$305,الإعدادات!$B$4,'قاعدة البيانات'!$D$6:$D$305,"ولد",'قاعدة البيانات'!$C$6:$C$305,"&lt;&gt;",'قاعدة البيانات'!$M$6:$M$305,"&lt;&gt;غير نشط")&amp;"    👧 "&amp;COUNTIFS('قاعدة البيانات'!$F$6:$F$305,الإعدادات!$B$4,'قاعدة البيانات'!$D$6:$D$305,"بنت",'قاعدة البيانات'!$C$6:$C$305,"&lt;&gt;",'قاعدة البيانات'!$M$6:$M$305,"&lt;&gt;غير نشط")</f>
        <v>👦 13    👧 11</v>
      </c>
      <c r="G5" s="119"/>
      <c r="H5" s="119"/>
      <c r="J5" s="120" t="str">
        <f>IFERROR(SUM('حضور سوريال'!C7:C36)/(SUM('حضور سوريال'!C7:C36)+SUM('حضور سوريال'!D7:D36)),"—")</f>
        <v>—</v>
      </c>
      <c r="K5" s="120"/>
      <c r="L5" s="120"/>
    </row>
    <row r="6" spans="2:19" ht="21.75" customHeight="1">
      <c r="B6" s="121" t="str">
        <f>"📅 جمع مسجلة: "&amp;COUNT('حضور سوريال'!J4:BJ4)&amp;"        ⚠️ محتاجين افتقاد: "&amp;(COUNTIFS('قاعدة البيانات'!$F$6:$F$305,الإعدادات!$B$4,'قاعدة البيانات'!$V$6:$V$305,3)+COUNTIFS('قاعدة البيانات'!$F$6:$F$305,الإعدادات!$B$4,'قاعدة البيانات'!$V$6:$V$305,4))&amp;"        🆓 أماكن فاضية: "&amp;(30-COUNTIFS('قاعدة البيانات'!$F$6:$F$305,الإعدادات!$B$4,'قاعدة البيانات'!$C$6:$C$305,"&lt;&gt;"))</f>
        <v>📅 جمع مسجلة: 0        ⚠️ محتاجين افتقاد: 0        🆓 أماكن فاضية: 6</v>
      </c>
      <c r="C6" s="121"/>
      <c r="D6" s="121"/>
      <c r="E6" s="121"/>
      <c r="F6" s="121"/>
      <c r="G6" s="121"/>
      <c r="H6" s="121"/>
      <c r="I6" s="121"/>
      <c r="J6" s="121"/>
      <c r="K6" s="121"/>
      <c r="L6" s="121"/>
    </row>
    <row r="7" spans="2:19" ht="7.5" customHeight="1"/>
    <row r="8" spans="2:19" ht="6" customHeight="1"/>
    <row r="9" spans="2:19" ht="30" customHeight="1">
      <c r="B9" s="122" t="str">
        <f>IF($Q$9=0,"",IF(INDEX('قاعدة البيانات'!$D$6:$D$305,$Q$9)="بنت","👧 ","👦 ")&amp;INDEX('قاعدة البيانات'!$C$6:$C$305,$Q$9))</f>
        <v>👧 بارثينيا اسحق جرجس نادى</v>
      </c>
      <c r="C9" s="122"/>
      <c r="D9" s="122"/>
      <c r="F9" s="122" t="str">
        <f>IF($Q$10=0,"",IF(INDEX('قاعدة البيانات'!$D$6:$D$305,$Q$10)="بنت","👧 ","👦 ")&amp;INDEX('قاعدة البيانات'!$C$6:$C$305,$Q$10))</f>
        <v>👦 ادم يوسف يعقوب فهمى عزيز</v>
      </c>
      <c r="G9" s="122"/>
      <c r="H9" s="122"/>
      <c r="J9" s="122" t="str">
        <f>IF($Q$11=0,"",IF(INDEX('قاعدة البيانات'!$D$6:$D$305,$Q$11)="بنت","👧 ","👦 ")&amp;INDEX('قاعدة البيانات'!$C$6:$C$305,$Q$11))</f>
        <v>👧 ميرا هاني ظريف فوزى</v>
      </c>
      <c r="K9" s="122"/>
      <c r="L9" s="122"/>
      <c r="P9">
        <v>1</v>
      </c>
      <c r="Q9">
        <f>'حضور سوريال'!BL7</f>
        <v>25</v>
      </c>
      <c r="R9" t="str">
        <f>IF(Q9=0,"",INDEX('قاعدة البيانات'!$D$6:$D$305,Q9))</f>
        <v>بنت</v>
      </c>
      <c r="S9">
        <f>'حضور سوريال'!BM7</f>
        <v>0</v>
      </c>
    </row>
    <row r="10" spans="2:19" ht="108" customHeight="1">
      <c r="B10" s="37" t="e" vm="28">
        <f>IF($Q$9=0,"",IF(ISBLANK(INDEX('قاعدة البيانات'!$K$6:$K$305,$Q$9)),LEFT(INDEX('قاعدة البيانات'!$C$6:$C$305,$Q$9),1),INDEX('قاعدة البيانات'!$K$6:$K$305,$Q$9)))</f>
        <v>#VALUE!</v>
      </c>
      <c r="C10" s="123"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B-025
🎓 سنة تانية
🚶 يروح لوحده: —
📝 مفيش ملاحظات</v>
      </c>
      <c r="D10" s="123"/>
      <c r="F10" s="37" t="str">
        <f>IF($Q$10=0,"",IF(ISBLANK(INDEX('قاعدة البيانات'!$K$6:$K$305,$Q$10)),LEFT(INDEX('قاعدة البيانات'!$C$6:$C$305,$Q$10),1),INDEX('قاعدة البيانات'!$K$6:$K$305,$Q$10)))</f>
        <v>ا</v>
      </c>
      <c r="G10" s="123"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B-026
🎓 سنة تانية
🚶 يروح لوحده: —
📝 مفيش ملاحظات</v>
      </c>
      <c r="H10" s="123"/>
      <c r="J10" s="37" t="e" vm="29">
        <f>IF($Q$11=0,"",IF(ISBLANK(INDEX('قاعدة البيانات'!$K$6:$K$305,$Q$11)),LEFT(INDEX('قاعدة البيانات'!$C$6:$C$305,$Q$11),1),INDEX('قاعدة البيانات'!$K$6:$K$305,$Q$11)))</f>
        <v>#VALUE!</v>
      </c>
      <c r="K10" s="123"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B-027
🎓 سنة تانية
🚶 يروح لوحده: —
📝 مفيش ملاحظات</v>
      </c>
      <c r="L10" s="123"/>
      <c r="P10">
        <v>2</v>
      </c>
      <c r="Q10">
        <f>'حضور سوريال'!BL8</f>
        <v>26</v>
      </c>
      <c r="R10" t="str">
        <f>IF(Q10=0,"",INDEX('قاعدة البيانات'!$D$6:$D$305,Q10))</f>
        <v>ولد</v>
      </c>
      <c r="S10">
        <f>'حضور سوريال'!BM8</f>
        <v>0</v>
      </c>
    </row>
    <row r="11" spans="2:19" ht="24" customHeight="1">
      <c r="B11" s="38" t="str">
        <f>IF($Q$9=0,"","👩 ماما")</f>
        <v>👩 ماما</v>
      </c>
      <c r="C11" s="39" t="str">
        <f>IF($Q$9=0,"",IF(INDEX('قاعدة البيانات'!$H$6:$H$305,$Q$9)="","— مفيش رقم —",HYPERLINK("tel:"&amp;INDEX('قاعدة البيانات'!$H$6:$H$305,$Q$9),"📞 "&amp;INDEX('قاعدة البيانات'!$H$6:$H$305,$Q$9))))</f>
        <v>📞 01287576432</v>
      </c>
      <c r="D11" s="40" t="str">
        <f>IF(OR($Q$9=0,INDEX('قاعدة البيانات'!$H$6:$H$305,$Q$9)=""),"",HYPERLINK("https://wa.me/20"&amp;RIGHT(INDEX('قاعدة البيانات'!$H$6:$H$305,$Q$9),10),"💬 واتساب"))</f>
        <v>💬 واتساب</v>
      </c>
      <c r="F11" s="38" t="str">
        <f>IF($Q$10=0,"","👩 ماما")</f>
        <v>👩 ماما</v>
      </c>
      <c r="G11" s="39" t="str">
        <f>IF($Q$10=0,"",IF(INDEX('قاعدة البيانات'!$H$6:$H$305,$Q$10)="","— مفيش رقم —",HYPERLINK("tel:"&amp;INDEX('قاعدة البيانات'!$H$6:$H$305,$Q$10),"📞 "&amp;INDEX('قاعدة البيانات'!$H$6:$H$305,$Q$10))))</f>
        <v>📞 01277715819</v>
      </c>
      <c r="H11" s="40" t="str">
        <f>IF(OR($Q$10=0,INDEX('قاعدة البيانات'!$H$6:$H$305,$Q$10)=""),"",HYPERLINK("https://wa.me/20"&amp;RIGHT(INDEX('قاعدة البيانات'!$H$6:$H$305,$Q$10),10),"💬 واتساب"))</f>
        <v>💬 واتساب</v>
      </c>
      <c r="J11" s="38" t="str">
        <f>IF($Q$11=0,"","👩 ماما")</f>
        <v>👩 ماما</v>
      </c>
      <c r="K11" s="39" t="str">
        <f>IF($Q$11=0,"",IF(INDEX('قاعدة البيانات'!$H$6:$H$305,$Q$11)="","— مفيش رقم —",HYPERLINK("tel:"&amp;INDEX('قاعدة البيانات'!$H$6:$H$305,$Q$11),"📞 "&amp;INDEX('قاعدة البيانات'!$H$6:$H$305,$Q$11))))</f>
        <v>📞 01280605823</v>
      </c>
      <c r="L11" s="40" t="str">
        <f>IF(OR($Q$11=0,INDEX('قاعدة البيانات'!$H$6:$H$305,$Q$11)=""),"",HYPERLINK("https://wa.me/20"&amp;RIGHT(INDEX('قاعدة البيانات'!$H$6:$H$305,$Q$11),10),"💬 واتساب"))</f>
        <v>💬 واتساب</v>
      </c>
      <c r="P11">
        <v>3</v>
      </c>
      <c r="Q11">
        <f>'حضور سوريال'!BL9</f>
        <v>27</v>
      </c>
      <c r="R11" t="str">
        <f>IF(Q11=0,"",INDEX('قاعدة البيانات'!$D$6:$D$305,Q11))</f>
        <v>بنت</v>
      </c>
      <c r="S11">
        <f>'حضور سوريال'!BM9</f>
        <v>0</v>
      </c>
    </row>
    <row r="12" spans="2:19" ht="24" customHeight="1">
      <c r="B12" s="38" t="str">
        <f>IF($Q$9=0,"","👨 بابا")</f>
        <v>👨 بابا</v>
      </c>
      <c r="C12" s="39" t="str">
        <f>IF($Q$9=0,"",IF(INDEX('قاعدة البيانات'!$I$6:$I$305,$Q$9)="","— مفيش رقم —",HYPERLINK("tel:"&amp;INDEX('قاعدة البيانات'!$I$6:$I$305,$Q$9),"📞 "&amp;INDEX('قاعدة البيانات'!$I$6:$I$305,$Q$9))))</f>
        <v>📞 01287576432</v>
      </c>
      <c r="D12" s="40" t="str">
        <f>IF(OR($Q$9=0,INDEX('قاعدة البيانات'!$I$6:$I$305,$Q$9)=""),"",HYPERLINK("https://wa.me/20"&amp;RIGHT(INDEX('قاعدة البيانات'!$I$6:$I$305,$Q$9),10),"💬 واتساب"))</f>
        <v>💬 واتساب</v>
      </c>
      <c r="F12" s="38" t="str">
        <f>IF($Q$10=0,"","👨 بابا")</f>
        <v>👨 بابا</v>
      </c>
      <c r="G12" s="39" t="str">
        <f>IF($Q$10=0,"",IF(INDEX('قاعدة البيانات'!$I$6:$I$305,$Q$10)="","— مفيش رقم —",HYPERLINK("tel:"&amp;INDEX('قاعدة البيانات'!$I$6:$I$305,$Q$10),"📞 "&amp;INDEX('قاعدة البيانات'!$I$6:$I$305,$Q$10))))</f>
        <v>📞 01277715819</v>
      </c>
      <c r="H12" s="40" t="str">
        <f>IF(OR($Q$10=0,INDEX('قاعدة البيانات'!$I$6:$I$305,$Q$10)=""),"",HYPERLINK("https://wa.me/20"&amp;RIGHT(INDEX('قاعدة البيانات'!$I$6:$I$305,$Q$10),10),"💬 واتساب"))</f>
        <v>💬 واتساب</v>
      </c>
      <c r="J12" s="38" t="str">
        <f>IF($Q$11=0,"","👨 بابا")</f>
        <v>👨 بابا</v>
      </c>
      <c r="K12" s="39" t="str">
        <f>IF($Q$11=0,"",IF(INDEX('قاعدة البيانات'!$I$6:$I$305,$Q$11)="","— مفيش رقم —",HYPERLINK("tel:"&amp;INDEX('قاعدة البيانات'!$I$6:$I$305,$Q$11),"📞 "&amp;INDEX('قاعدة البيانات'!$I$6:$I$305,$Q$11))))</f>
        <v>📞 01280605823</v>
      </c>
      <c r="L12" s="40" t="str">
        <f>IF(OR($Q$11=0,INDEX('قاعدة البيانات'!$I$6:$I$305,$Q$11)=""),"",HYPERLINK("https://wa.me/20"&amp;RIGHT(INDEX('قاعدة البيانات'!$I$6:$I$305,$Q$11),10),"💬 واتساب"))</f>
        <v>💬 واتساب</v>
      </c>
      <c r="P12">
        <v>4</v>
      </c>
      <c r="Q12">
        <f>'حضور سوريال'!BL10</f>
        <v>28</v>
      </c>
      <c r="R12" t="str">
        <f>IF(Q12=0,"",INDEX('قاعدة البيانات'!$D$6:$D$305,Q12))</f>
        <v>بنت</v>
      </c>
      <c r="S12">
        <f>'حضور سوريال'!BM10</f>
        <v>0</v>
      </c>
    </row>
    <row r="13" spans="2:19" ht="37.5" customHeight="1">
      <c r="B13" s="124" t="str">
        <f>IF($Q$9=0,"","📍 "&amp;IF(INDEX('قاعدة البيانات'!$J$6:$J$305,$Q$9)="","— مفيش عنوان —",INDEX('قاعدة البيانات'!$J$6:$J$305,$Q$9)))</f>
        <v>📍 5 شارع صليب نخلة، المليحة، حدائق القبة، القاهرة؛ شقة 9، الدور 2</v>
      </c>
      <c r="C13" s="124"/>
      <c r="D13" s="124"/>
      <c r="F13" s="124" t="str">
        <f>IF($Q$10=0,"","📍 "&amp;IF(INDEX('قاعدة البيانات'!$J$6:$J$305,$Q$10)="","— مفيش عنوان —",INDEX('قاعدة البيانات'!$J$6:$J$305,$Q$10)))</f>
        <v>📍 7 شارع حامد رضوان، المليحة، حدائق القبة، القاهرة؛ شقة 8، الدور 5</v>
      </c>
      <c r="G13" s="124"/>
      <c r="H13" s="124"/>
      <c r="J13" s="124" t="str">
        <f>IF($Q$11=0,"","📍 "&amp;IF(INDEX('قاعدة البيانات'!$J$6:$J$305,$Q$11)="","— مفيش عنوان —",INDEX('قاعدة البيانات'!$J$6:$J$305,$Q$11)))</f>
        <v>📍 20 شارع محمد علي خليل، المليحة، حدائق القبة، القاهرة؛ شقة 8، الدور 4</v>
      </c>
      <c r="K13" s="124"/>
      <c r="L13" s="124"/>
      <c r="P13">
        <v>5</v>
      </c>
      <c r="Q13">
        <f>'حضور سوريال'!BL11</f>
        <v>29</v>
      </c>
      <c r="R13" t="str">
        <f>IF(Q13=0,"",INDEX('قاعدة البيانات'!$D$6:$D$305,Q13))</f>
        <v>ولد</v>
      </c>
      <c r="S13">
        <f>'حضور سوريال'!BM11</f>
        <v>0</v>
      </c>
    </row>
    <row r="14" spans="2:19" ht="21.75" customHeight="1">
      <c r="B14" s="125" t="str">
        <f>IF($Q$9=0,"","📊 إحصائيات الحضور")</f>
        <v>📊 إحصائيات الحضور</v>
      </c>
      <c r="C14" s="125"/>
      <c r="D14" s="125"/>
      <c r="F14" s="125" t="str">
        <f>IF($Q$10=0,"","📊 إحصائيات الحضور")</f>
        <v>📊 إحصائيات الحضور</v>
      </c>
      <c r="G14" s="125"/>
      <c r="H14" s="125"/>
      <c r="J14" s="125" t="str">
        <f>IF($Q$11=0,"","📊 إحصائيات الحضور")</f>
        <v>📊 إحصائيات الحضور</v>
      </c>
      <c r="K14" s="125"/>
      <c r="L14" s="125"/>
      <c r="P14">
        <v>6</v>
      </c>
      <c r="Q14">
        <f>'حضور سوريال'!BL12</f>
        <v>30</v>
      </c>
      <c r="R14" t="str">
        <f>IF(Q14=0,"",INDEX('قاعدة البيانات'!$D$6:$D$305,Q14))</f>
        <v>ولد</v>
      </c>
      <c r="S14">
        <f>'حضور سوريال'!BM12</f>
        <v>0</v>
      </c>
    </row>
    <row r="15" spans="2:19" ht="15.75" customHeight="1">
      <c r="B15" s="41" t="str">
        <f>IF($Q$9=0,"","✅ حضور")</f>
        <v>✅ حضور</v>
      </c>
      <c r="C15" s="41" t="str">
        <f>IF($Q$9=0,"","❌ غياب")</f>
        <v>❌ غياب</v>
      </c>
      <c r="D15" s="41" t="str">
        <f>IF($Q$9=0,"","📈 النسبة")</f>
        <v>📈 النسبة</v>
      </c>
      <c r="F15" s="41" t="str">
        <f>IF($Q$10=0,"","✅ حضور")</f>
        <v>✅ حضور</v>
      </c>
      <c r="G15" s="41" t="str">
        <f>IF($Q$10=0,"","❌ غياب")</f>
        <v>❌ غياب</v>
      </c>
      <c r="H15" s="41" t="str">
        <f>IF($Q$10=0,"","📈 النسبة")</f>
        <v>📈 النسبة</v>
      </c>
      <c r="J15" s="41" t="str">
        <f>IF($Q$11=0,"","✅ حضور")</f>
        <v>✅ حضور</v>
      </c>
      <c r="K15" s="41" t="str">
        <f>IF($Q$11=0,"","❌ غياب")</f>
        <v>❌ غياب</v>
      </c>
      <c r="L15" s="41" t="str">
        <f>IF($Q$11=0,"","📈 النسبة")</f>
        <v>📈 النسبة</v>
      </c>
      <c r="P15">
        <v>7</v>
      </c>
      <c r="Q15">
        <f>'حضور سوريال'!BL13</f>
        <v>31</v>
      </c>
      <c r="R15" t="str">
        <f>IF(Q15=0,"",INDEX('قاعدة البيانات'!$D$6:$D$305,Q15))</f>
        <v>بنت</v>
      </c>
      <c r="S15">
        <f>'حضور سوريال'!BM13</f>
        <v>0</v>
      </c>
    </row>
    <row r="16" spans="2:19" ht="33.75" customHeight="1">
      <c r="B16" s="42">
        <f>'حضور سوريال'!C7</f>
        <v>0</v>
      </c>
      <c r="C16" s="43">
        <f>'حضور سوريال'!D7</f>
        <v>0</v>
      </c>
      <c r="D16" s="44" t="str">
        <f>'حضور سوريال'!F7</f>
        <v/>
      </c>
      <c r="F16" s="42">
        <f>'حضور سوريال'!C8</f>
        <v>0</v>
      </c>
      <c r="G16" s="43">
        <f>'حضور سوريال'!D8</f>
        <v>0</v>
      </c>
      <c r="H16" s="44" t="str">
        <f>'حضور سوريال'!F8</f>
        <v/>
      </c>
      <c r="J16" s="42">
        <f>'حضور سوريال'!C9</f>
        <v>0</v>
      </c>
      <c r="K16" s="43">
        <f>'حضور سوريال'!D9</f>
        <v>0</v>
      </c>
      <c r="L16" s="44" t="str">
        <f>'حضور سوريال'!F9</f>
        <v/>
      </c>
      <c r="P16">
        <v>8</v>
      </c>
      <c r="Q16">
        <f>'حضور سوريال'!BL14</f>
        <v>32</v>
      </c>
      <c r="R16" t="str">
        <f>IF(Q16=0,"",INDEX('قاعدة البيانات'!$D$6:$D$305,Q16))</f>
        <v>ولد</v>
      </c>
      <c r="S16">
        <f>'حضور سوريال'!BM14</f>
        <v>0</v>
      </c>
    </row>
    <row r="17" spans="2:19" ht="24" customHeight="1">
      <c r="B17" s="126" t="str">
        <f>'حضور سوريال'!I7</f>
        <v>⏳ لسه مفيش حضور</v>
      </c>
      <c r="C17" s="126"/>
      <c r="D17" s="126"/>
      <c r="F17" s="126" t="str">
        <f>'حضور سوريال'!I8</f>
        <v>⏳ لسه مفيش حضور</v>
      </c>
      <c r="G17" s="126"/>
      <c r="H17" s="126"/>
      <c r="J17" s="126" t="str">
        <f>'حضور سوريال'!I9</f>
        <v>⏳ لسه مفيش حضور</v>
      </c>
      <c r="K17" s="126"/>
      <c r="L17" s="126"/>
      <c r="P17">
        <v>9</v>
      </c>
      <c r="Q17">
        <f>'حضور سوريال'!BL15</f>
        <v>33</v>
      </c>
      <c r="R17" t="str">
        <f>IF(Q17=0,"",INDEX('قاعدة البيانات'!$D$6:$D$305,Q17))</f>
        <v>بنت</v>
      </c>
      <c r="S17">
        <f>'حضور سوريال'!BM15</f>
        <v>0</v>
      </c>
    </row>
    <row r="18" spans="2:19" ht="19.5" customHeight="1">
      <c r="B18" s="127" t="str">
        <f>IF($Q$9=0,"","🗓️ آخر حضور: "&amp;IF(ISNUMBER('حضور سوريال'!H7),DAY('حضور سوريال'!H7)&amp;"/"&amp;MONTH('حضور سوريال'!H7)&amp;"/"&amp;YEAR('حضور سوريال'!H7),"—")&amp;"   •   غياب متتالي: "&amp;'حضور سوريال'!G7)</f>
        <v>🗓️ آخر حضور: —   •   غياب متتالي: 0</v>
      </c>
      <c r="C18" s="127"/>
      <c r="D18" s="127"/>
      <c r="F18" s="127" t="str">
        <f>IF($Q$10=0,"","🗓️ آخر حضور: "&amp;IF(ISNUMBER('حضور سوريال'!H8),DAY('حضور سوريال'!H8)&amp;"/"&amp;MONTH('حضور سوريال'!H8)&amp;"/"&amp;YEAR('حضور سوريال'!H8),"—")&amp;"   •   غياب متتالي: "&amp;'حضور سوريال'!G8)</f>
        <v>🗓️ آخر حضور: —   •   غياب متتالي: 0</v>
      </c>
      <c r="G18" s="127"/>
      <c r="H18" s="127"/>
      <c r="J18" s="127" t="str">
        <f>IF($Q$11=0,"","🗓️ آخر حضور: "&amp;IF(ISNUMBER('حضور سوريال'!H9),DAY('حضور سوريال'!H9)&amp;"/"&amp;MONTH('حضور سوريال'!H9)&amp;"/"&amp;YEAR('حضور سوريال'!H9),"—")&amp;"   •   غياب متتالي: "&amp;'حضور سوريال'!G9)</f>
        <v>🗓️ آخر حضور: —   •   غياب متتالي: 0</v>
      </c>
      <c r="K18" s="127"/>
      <c r="L18" s="127"/>
      <c r="P18">
        <v>10</v>
      </c>
      <c r="Q18">
        <f>'حضور سوريال'!BL16</f>
        <v>34</v>
      </c>
      <c r="R18" t="str">
        <f>IF(Q18=0,"",INDEX('قاعدة البيانات'!$D$6:$D$305,Q18))</f>
        <v>ولد</v>
      </c>
      <c r="S18">
        <f>'حضور سوريال'!BM16</f>
        <v>0</v>
      </c>
    </row>
    <row r="19" spans="2:19" ht="13.5" customHeight="1">
      <c r="P19">
        <v>11</v>
      </c>
      <c r="Q19">
        <f>'حضور سوريال'!BL17</f>
        <v>35</v>
      </c>
      <c r="R19" t="str">
        <f>IF(Q19=0,"",INDEX('قاعدة البيانات'!$D$6:$D$305,Q19))</f>
        <v>بنت</v>
      </c>
      <c r="S19">
        <f>'حضور سوريال'!BM17</f>
        <v>0</v>
      </c>
    </row>
    <row r="20" spans="2:19" ht="30" customHeight="1">
      <c r="B20" s="122" t="str">
        <f>IF($Q$12=0,"",IF(INDEX('قاعدة البيانات'!$D$6:$D$305,$Q$12)="بنت","👧 ","👦 ")&amp;INDEX('قاعدة البيانات'!$C$6:$C$305,$Q$12))</f>
        <v>👧 ماريا هانى مكرم نصيف</v>
      </c>
      <c r="C20" s="122"/>
      <c r="D20" s="122"/>
      <c r="F20" s="122" t="str">
        <f>IF($Q$13=0,"",IF(INDEX('قاعدة البيانات'!$D$6:$D$305,$Q$13)="بنت","👧 ","👦 ")&amp;INDEX('قاعدة البيانات'!$C$6:$C$305,$Q$13))</f>
        <v>👦 بافلى سلامه سليمان</v>
      </c>
      <c r="G20" s="122"/>
      <c r="H20" s="122"/>
      <c r="J20" s="122" t="str">
        <f>IF($Q$14=0,"",IF(INDEX('قاعدة البيانات'!$D$6:$D$305,$Q$14)="بنت","👧 ","👦 ")&amp;INDEX('قاعدة البيانات'!$C$6:$C$305,$Q$14))</f>
        <v>👦 سامي سامح سامي جاد الله</v>
      </c>
      <c r="K20" s="122"/>
      <c r="L20" s="122"/>
      <c r="P20">
        <v>12</v>
      </c>
      <c r="Q20">
        <f>'حضور سوريال'!BL18</f>
        <v>36</v>
      </c>
      <c r="R20" t="str">
        <f>IF(Q20=0,"",INDEX('قاعدة البيانات'!$D$6:$D$305,Q20))</f>
        <v>ولد</v>
      </c>
      <c r="S20">
        <f>'حضور سوريال'!BM18</f>
        <v>0</v>
      </c>
    </row>
    <row r="21" spans="2:19" ht="108" customHeight="1">
      <c r="B21" s="37" t="e" vm="30">
        <f>IF($Q$12=0,"",IF(ISBLANK(INDEX('قاعدة البيانات'!$K$6:$K$305,$Q$12)),LEFT(INDEX('قاعدة البيانات'!$C$6:$C$305,$Q$12),1),INDEX('قاعدة البيانات'!$K$6:$K$305,$Q$12)))</f>
        <v>#VALUE!</v>
      </c>
      <c r="C21" s="123"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B-028
🎓 سنة تانية
🚶 يروح لوحده: —
📝 مفيش ملاحظات</v>
      </c>
      <c r="D21" s="123"/>
      <c r="F21" s="37" t="str">
        <f>IF($Q$13=0,"",IF(ISBLANK(INDEX('قاعدة البيانات'!$K$6:$K$305,$Q$13)),LEFT(INDEX('قاعدة البيانات'!$C$6:$C$305,$Q$13),1),INDEX('قاعدة البيانات'!$K$6:$K$305,$Q$13)))</f>
        <v>ب</v>
      </c>
      <c r="G21" s="123"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B-029
🎓 سنة تانية
🚶 يروح لوحده: —
📝 مفيش ملاحظات</v>
      </c>
      <c r="H21" s="123"/>
      <c r="J21" s="37" t="e" vm="31">
        <f>IF($Q$14=0,"",IF(ISBLANK(INDEX('قاعدة البيانات'!$K$6:$K$305,$Q$14)),LEFT(INDEX('قاعدة البيانات'!$C$6:$C$305,$Q$14),1),INDEX('قاعدة البيانات'!$K$6:$K$305,$Q$14)))</f>
        <v>#VALUE!</v>
      </c>
      <c r="K21" s="123"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B-030
🎓 سنة تانية
🚶 يروح لوحده: —
📝 مفيش ملاحظات</v>
      </c>
      <c r="L21" s="123"/>
      <c r="P21">
        <v>13</v>
      </c>
      <c r="Q21">
        <f>'حضور سوريال'!BL19</f>
        <v>37</v>
      </c>
      <c r="R21" t="str">
        <f>IF(Q21=0,"",INDEX('قاعدة البيانات'!$D$6:$D$305,Q21))</f>
        <v>بنت</v>
      </c>
      <c r="S21">
        <f>'حضور سوريال'!BM19</f>
        <v>0</v>
      </c>
    </row>
    <row r="22" spans="2:19" ht="24" customHeight="1">
      <c r="B22" s="38" t="str">
        <f>IF($Q$12=0,"","👩 ماما")</f>
        <v>👩 ماما</v>
      </c>
      <c r="C22" s="39" t="str">
        <f>IF($Q$12=0,"",IF(INDEX('قاعدة البيانات'!$H$6:$H$305,$Q$12)="","— مفيش رقم —",HYPERLINK("tel:"&amp;INDEX('قاعدة البيانات'!$H$6:$H$305,$Q$12),"📞 "&amp;INDEX('قاعدة البيانات'!$H$6:$H$305,$Q$12))))</f>
        <v>📞 01200977582</v>
      </c>
      <c r="D22" s="40" t="str">
        <f>IF(OR($Q$12=0,INDEX('قاعدة البيانات'!$H$6:$H$305,$Q$12)=""),"",HYPERLINK("https://wa.me/20"&amp;RIGHT(INDEX('قاعدة البيانات'!$H$6:$H$305,$Q$12),10),"💬 واتساب"))</f>
        <v>💬 واتساب</v>
      </c>
      <c r="F22" s="38" t="str">
        <f>IF($Q$13=0,"","👩 ماما")</f>
        <v>👩 ماما</v>
      </c>
      <c r="G22" s="39" t="str">
        <f>IF($Q$13=0,"",IF(INDEX('قاعدة البيانات'!$H$6:$H$305,$Q$13)="","— مفيش رقم —",HYPERLINK("tel:"&amp;INDEX('قاعدة البيانات'!$H$6:$H$305,$Q$13),"📞 "&amp;INDEX('قاعدة البيانات'!$H$6:$H$305,$Q$13))))</f>
        <v>📞 01211025572</v>
      </c>
      <c r="H22" s="40" t="str">
        <f>IF(OR($Q$13=0,INDEX('قاعدة البيانات'!$H$6:$H$305,$Q$13)=""),"",HYPERLINK("https://wa.me/20"&amp;RIGHT(INDEX('قاعدة البيانات'!$H$6:$H$305,$Q$13),10),"💬 واتساب"))</f>
        <v>💬 واتساب</v>
      </c>
      <c r="J22" s="38" t="str">
        <f>IF($Q$14=0,"","👩 ماما")</f>
        <v>👩 ماما</v>
      </c>
      <c r="K22" s="39" t="str">
        <f>IF($Q$14=0,"",IF(INDEX('قاعدة البيانات'!$H$6:$H$305,$Q$14)="","— مفيش رقم —",HYPERLINK("tel:"&amp;INDEX('قاعدة البيانات'!$H$6:$H$305,$Q$14),"📞 "&amp;INDEX('قاعدة البيانات'!$H$6:$H$305,$Q$14))))</f>
        <v>📞 01224717891</v>
      </c>
      <c r="L22" s="40" t="str">
        <f>IF(OR($Q$14=0,INDEX('قاعدة البيانات'!$H$6:$H$305,$Q$14)=""),"",HYPERLINK("https://wa.me/20"&amp;RIGHT(INDEX('قاعدة البيانات'!$H$6:$H$305,$Q$14),10),"💬 واتساب"))</f>
        <v>💬 واتساب</v>
      </c>
      <c r="P22">
        <v>14</v>
      </c>
      <c r="Q22">
        <f>'حضور سوريال'!BL20</f>
        <v>38</v>
      </c>
      <c r="R22" t="str">
        <f>IF(Q22=0,"",INDEX('قاعدة البيانات'!$D$6:$D$305,Q22))</f>
        <v>بنت</v>
      </c>
      <c r="S22">
        <f>'حضور سوريال'!BM20</f>
        <v>0</v>
      </c>
    </row>
    <row r="23" spans="2:19" ht="24" customHeight="1">
      <c r="B23" s="38" t="str">
        <f>IF($Q$12=0,"","👨 بابا")</f>
        <v>👨 بابا</v>
      </c>
      <c r="C23" s="39" t="str">
        <f>IF($Q$12=0,"",IF(INDEX('قاعدة البيانات'!$I$6:$I$305,$Q$12)="","— مفيش رقم —",HYPERLINK("tel:"&amp;INDEX('قاعدة البيانات'!$I$6:$I$305,$Q$12),"📞 "&amp;INDEX('قاعدة البيانات'!$I$6:$I$305,$Q$12))))</f>
        <v>📞 01283970133</v>
      </c>
      <c r="D23" s="40" t="str">
        <f>IF(OR($Q$12=0,INDEX('قاعدة البيانات'!$I$6:$I$305,$Q$12)=""),"",HYPERLINK("https://wa.me/20"&amp;RIGHT(INDEX('قاعدة البيانات'!$I$6:$I$305,$Q$12),10),"💬 واتساب"))</f>
        <v>💬 واتساب</v>
      </c>
      <c r="F23" s="38" t="str">
        <f>IF($Q$13=0,"","👨 بابا")</f>
        <v>👨 بابا</v>
      </c>
      <c r="G23" s="39" t="str">
        <f>IF($Q$13=0,"",IF(INDEX('قاعدة البيانات'!$I$6:$I$305,$Q$13)="","— مفيش رقم —",HYPERLINK("tel:"&amp;INDEX('قاعدة البيانات'!$I$6:$I$305,$Q$13),"📞 "&amp;INDEX('قاعدة البيانات'!$I$6:$I$305,$Q$13))))</f>
        <v>— مفيش رقم —</v>
      </c>
      <c r="H23" s="40" t="str">
        <f>IF(OR($Q$13=0,INDEX('قاعدة البيانات'!$I$6:$I$305,$Q$13)=""),"",HYPERLINK("https://wa.me/20"&amp;RIGHT(INDEX('قاعدة البيانات'!$I$6:$I$305,$Q$13),10),"💬 واتساب"))</f>
        <v/>
      </c>
      <c r="J23" s="38" t="str">
        <f>IF($Q$14=0,"","👨 بابا")</f>
        <v>👨 بابا</v>
      </c>
      <c r="K23" s="39" t="str">
        <f>IF($Q$14=0,"",IF(INDEX('قاعدة البيانات'!$I$6:$I$305,$Q$14)="","— مفيش رقم —",HYPERLINK("tel:"&amp;INDEX('قاعدة البيانات'!$I$6:$I$305,$Q$14),"📞 "&amp;INDEX('قاعدة البيانات'!$I$6:$I$305,$Q$14))))</f>
        <v>📞 01223222833</v>
      </c>
      <c r="L23" s="40" t="str">
        <f>IF(OR($Q$14=0,INDEX('قاعدة البيانات'!$I$6:$I$305,$Q$14)=""),"",HYPERLINK("https://wa.me/20"&amp;RIGHT(INDEX('قاعدة البيانات'!$I$6:$I$305,$Q$14),10),"💬 واتساب"))</f>
        <v>💬 واتساب</v>
      </c>
      <c r="P23">
        <v>15</v>
      </c>
      <c r="Q23">
        <f>'حضور سوريال'!BL21</f>
        <v>39</v>
      </c>
      <c r="R23" t="str">
        <f>IF(Q23=0,"",INDEX('قاعدة البيانات'!$D$6:$D$305,Q23))</f>
        <v>ولد</v>
      </c>
      <c r="S23">
        <f>'حضور سوريال'!BM21</f>
        <v>0</v>
      </c>
    </row>
    <row r="24" spans="2:19" ht="37.5" customHeight="1">
      <c r="B24" s="124" t="str">
        <f>IF($Q$12=0,"","📍 "&amp;IF(INDEX('قاعدة البيانات'!$J$6:$J$305,$Q$12)="","— مفيش عنوان —",INDEX('قاعدة البيانات'!$J$6:$J$305,$Q$12)))</f>
        <v>📍 20 شارع عاصم، المليحة، حدائق القبة، القاهرة؛ شقة 7، الدور 7</v>
      </c>
      <c r="C24" s="124"/>
      <c r="D24" s="124"/>
      <c r="F24" s="124" t="str">
        <f>IF($Q$13=0,"","📍 "&amp;IF(INDEX('قاعدة البيانات'!$J$6:$J$305,$Q$13)="","— مفيش عنوان —",INDEX('قاعدة البيانات'!$J$6:$J$305,$Q$13)))</f>
        <v>📍 23 شارع عبد الرحمن السني، عمار بن ياسر، العمرانية، الجيزة؛ شقة 5، الدور 3</v>
      </c>
      <c r="G24" s="124"/>
      <c r="H24" s="124"/>
      <c r="J24" s="124" t="str">
        <f>IF($Q$14=0,"","📍 "&amp;IF(INDEX('قاعدة البيانات'!$J$6:$J$305,$Q$14)="","— مفيش عنوان —",INDEX('قاعدة البيانات'!$J$6:$J$305,$Q$14)))</f>
        <v>📍 3 شارع نصر الدين محمد، المليحة، حدائق القبة، القاهرة؛ شقة 11، الدور 4</v>
      </c>
      <c r="K24" s="124"/>
      <c r="L24" s="124"/>
      <c r="P24">
        <v>16</v>
      </c>
      <c r="Q24">
        <f>'حضور سوريال'!BL22</f>
        <v>40</v>
      </c>
      <c r="R24" t="str">
        <f>IF(Q24=0,"",INDEX('قاعدة البيانات'!$D$6:$D$305,Q24))</f>
        <v>ولد</v>
      </c>
      <c r="S24">
        <f>'حضور سوريال'!BM22</f>
        <v>0</v>
      </c>
    </row>
    <row r="25" spans="2:19" ht="21.75" customHeight="1">
      <c r="B25" s="125" t="str">
        <f>IF($Q$12=0,"","📊 إحصائيات الحضور")</f>
        <v>📊 إحصائيات الحضور</v>
      </c>
      <c r="C25" s="125"/>
      <c r="D25" s="125"/>
      <c r="F25" s="125" t="str">
        <f>IF($Q$13=0,"","📊 إحصائيات الحضور")</f>
        <v>📊 إحصائيات الحضور</v>
      </c>
      <c r="G25" s="125"/>
      <c r="H25" s="125"/>
      <c r="J25" s="125" t="str">
        <f>IF($Q$14=0,"","📊 إحصائيات الحضور")</f>
        <v>📊 إحصائيات الحضور</v>
      </c>
      <c r="K25" s="125"/>
      <c r="L25" s="125"/>
      <c r="P25">
        <v>17</v>
      </c>
      <c r="Q25">
        <f>'حضور سوريال'!BL23</f>
        <v>41</v>
      </c>
      <c r="R25" t="str">
        <f>IF(Q25=0,"",INDEX('قاعدة البيانات'!$D$6:$D$305,Q25))</f>
        <v>بنت</v>
      </c>
      <c r="S25">
        <f>'حضور سوريال'!BM23</f>
        <v>0</v>
      </c>
    </row>
    <row r="26" spans="2:19" ht="15.75" customHeight="1">
      <c r="B26" s="41" t="str">
        <f>IF($Q$12=0,"","✅ حضور")</f>
        <v>✅ حضور</v>
      </c>
      <c r="C26" s="41" t="str">
        <f>IF($Q$12=0,"","❌ غياب")</f>
        <v>❌ غياب</v>
      </c>
      <c r="D26" s="41" t="str">
        <f>IF($Q$12=0,"","📈 النسبة")</f>
        <v>📈 النسبة</v>
      </c>
      <c r="F26" s="41" t="str">
        <f>IF($Q$13=0,"","✅ حضور")</f>
        <v>✅ حضور</v>
      </c>
      <c r="G26" s="41" t="str">
        <f>IF($Q$13=0,"","❌ غياب")</f>
        <v>❌ غياب</v>
      </c>
      <c r="H26" s="41" t="str">
        <f>IF($Q$13=0,"","📈 النسبة")</f>
        <v>📈 النسبة</v>
      </c>
      <c r="J26" s="41" t="str">
        <f>IF($Q$14=0,"","✅ حضور")</f>
        <v>✅ حضور</v>
      </c>
      <c r="K26" s="41" t="str">
        <f>IF($Q$14=0,"","❌ غياب")</f>
        <v>❌ غياب</v>
      </c>
      <c r="L26" s="41" t="str">
        <f>IF($Q$14=0,"","📈 النسبة")</f>
        <v>📈 النسبة</v>
      </c>
      <c r="P26">
        <v>18</v>
      </c>
      <c r="Q26">
        <f>'حضور سوريال'!BL24</f>
        <v>42</v>
      </c>
      <c r="R26" t="str">
        <f>IF(Q26=0,"",INDEX('قاعدة البيانات'!$D$6:$D$305,Q26))</f>
        <v>بنت</v>
      </c>
      <c r="S26">
        <f>'حضور سوريال'!BM24</f>
        <v>0</v>
      </c>
    </row>
    <row r="27" spans="2:19" ht="33.75" customHeight="1">
      <c r="B27" s="42">
        <f>'حضور سوريال'!C10</f>
        <v>0</v>
      </c>
      <c r="C27" s="43">
        <f>'حضور سوريال'!D10</f>
        <v>0</v>
      </c>
      <c r="D27" s="44" t="str">
        <f>'حضور سوريال'!F10</f>
        <v/>
      </c>
      <c r="F27" s="42">
        <f>'حضور سوريال'!C11</f>
        <v>0</v>
      </c>
      <c r="G27" s="43">
        <f>'حضور سوريال'!D11</f>
        <v>0</v>
      </c>
      <c r="H27" s="44" t="str">
        <f>'حضور سوريال'!F11</f>
        <v/>
      </c>
      <c r="J27" s="42">
        <f>'حضور سوريال'!C12</f>
        <v>0</v>
      </c>
      <c r="K27" s="43">
        <f>'حضور سوريال'!D12</f>
        <v>0</v>
      </c>
      <c r="L27" s="44" t="str">
        <f>'حضور سوريال'!F12</f>
        <v/>
      </c>
      <c r="P27">
        <v>19</v>
      </c>
      <c r="Q27">
        <f>'حضور سوريال'!BL25</f>
        <v>43</v>
      </c>
      <c r="R27" t="str">
        <f>IF(Q27=0,"",INDEX('قاعدة البيانات'!$D$6:$D$305,Q27))</f>
        <v>ولد</v>
      </c>
      <c r="S27">
        <f>'حضور سوريال'!BM25</f>
        <v>0</v>
      </c>
    </row>
    <row r="28" spans="2:19" ht="24" customHeight="1">
      <c r="B28" s="126" t="str">
        <f>'حضور سوريال'!I10</f>
        <v>⏳ لسه مفيش حضور</v>
      </c>
      <c r="C28" s="126"/>
      <c r="D28" s="126"/>
      <c r="F28" s="126" t="str">
        <f>'حضور سوريال'!I11</f>
        <v>⏳ لسه مفيش حضور</v>
      </c>
      <c r="G28" s="126"/>
      <c r="H28" s="126"/>
      <c r="J28" s="126" t="str">
        <f>'حضور سوريال'!I12</f>
        <v>⏳ لسه مفيش حضور</v>
      </c>
      <c r="K28" s="126"/>
      <c r="L28" s="126"/>
      <c r="P28">
        <v>20</v>
      </c>
      <c r="Q28">
        <f>'حضور سوريال'!BL26</f>
        <v>44</v>
      </c>
      <c r="R28" t="str">
        <f>IF(Q28=0,"",INDEX('قاعدة البيانات'!$D$6:$D$305,Q28))</f>
        <v>بنت</v>
      </c>
      <c r="S28">
        <f>'حضور سوريال'!BM26</f>
        <v>0</v>
      </c>
    </row>
    <row r="29" spans="2:19" ht="19.5" customHeight="1">
      <c r="B29" s="127" t="str">
        <f>IF($Q$12=0,"","🗓️ آخر حضور: "&amp;IF(ISNUMBER('حضور سوريال'!H10),DAY('حضور سوريال'!H10)&amp;"/"&amp;MONTH('حضور سوريال'!H10)&amp;"/"&amp;YEAR('حضور سوريال'!H10),"—")&amp;"   •   غياب متتالي: "&amp;'حضور سوريال'!G10)</f>
        <v>🗓️ آخر حضور: —   •   غياب متتالي: 0</v>
      </c>
      <c r="C29" s="127"/>
      <c r="D29" s="127"/>
      <c r="F29" s="127" t="str">
        <f>IF($Q$13=0,"","🗓️ آخر حضور: "&amp;IF(ISNUMBER('حضور سوريال'!H11),DAY('حضور سوريال'!H11)&amp;"/"&amp;MONTH('حضور سوريال'!H11)&amp;"/"&amp;YEAR('حضور سوريال'!H11),"—")&amp;"   •   غياب متتالي: "&amp;'حضور سوريال'!G11)</f>
        <v>🗓️ آخر حضور: —   •   غياب متتالي: 0</v>
      </c>
      <c r="G29" s="127"/>
      <c r="H29" s="127"/>
      <c r="J29" s="127" t="str">
        <f>IF($Q$14=0,"","🗓️ آخر حضور: "&amp;IF(ISNUMBER('حضور سوريال'!H12),DAY('حضور سوريال'!H12)&amp;"/"&amp;MONTH('حضور سوريال'!H12)&amp;"/"&amp;YEAR('حضور سوريال'!H12),"—")&amp;"   •   غياب متتالي: "&amp;'حضور سوريال'!G12)</f>
        <v>🗓️ آخر حضور: —   •   غياب متتالي: 0</v>
      </c>
      <c r="K29" s="127"/>
      <c r="L29" s="127"/>
      <c r="P29">
        <v>21</v>
      </c>
      <c r="Q29">
        <f>'حضور سوريال'!BL27</f>
        <v>45</v>
      </c>
      <c r="R29" t="str">
        <f>IF(Q29=0,"",INDEX('قاعدة البيانات'!$D$6:$D$305,Q29))</f>
        <v>ولد</v>
      </c>
      <c r="S29">
        <f>'حضور سوريال'!BM27</f>
        <v>0</v>
      </c>
    </row>
    <row r="30" spans="2:19" ht="13.5" customHeight="1">
      <c r="P30">
        <v>22</v>
      </c>
      <c r="Q30">
        <f>'حضور سوريال'!BL28</f>
        <v>46</v>
      </c>
      <c r="R30" t="str">
        <f>IF(Q30=0,"",INDEX('قاعدة البيانات'!$D$6:$D$305,Q30))</f>
        <v>ولد</v>
      </c>
      <c r="S30">
        <f>'حضور سوريال'!BM28</f>
        <v>0</v>
      </c>
    </row>
    <row r="31" spans="2:19" ht="30" customHeight="1">
      <c r="B31" s="122" t="str">
        <f>IF($Q$15=0,"",IF(INDEX('قاعدة البيانات'!$D$6:$D$305,$Q$15)="بنت","👧 ","👦 ")&amp;INDEX('قاعدة البيانات'!$C$6:$C$305,$Q$15))</f>
        <v>👧 فيرينا مينا عجايبي يوسف سعد</v>
      </c>
      <c r="C31" s="122"/>
      <c r="D31" s="122"/>
      <c r="F31" s="122" t="str">
        <f>IF($Q$16=0,"",IF(INDEX('قاعدة البيانات'!$D$6:$D$305,$Q$16)="بنت","👧 ","👦 ")&amp;INDEX('قاعدة البيانات'!$C$6:$C$305,$Q$16))</f>
        <v>👦 بافلى بيشوى جرجس جندى</v>
      </c>
      <c r="G31" s="122"/>
      <c r="H31" s="122"/>
      <c r="J31" s="122" t="str">
        <f>IF($Q$17=0,"",IF(INDEX('قاعدة البيانات'!$D$6:$D$305,$Q$17)="بنت","👧 ","👦 ")&amp;INDEX('قاعدة البيانات'!$C$6:$C$305,$Q$17))</f>
        <v>👧 يؤانا دميان جمال</v>
      </c>
      <c r="K31" s="122"/>
      <c r="L31" s="122"/>
      <c r="P31">
        <v>23</v>
      </c>
      <c r="Q31">
        <f>'حضور سوريال'!BL29</f>
        <v>47</v>
      </c>
      <c r="R31" t="str">
        <f>IF(Q31=0,"",INDEX('قاعدة البيانات'!$D$6:$D$305,Q31))</f>
        <v>ولد</v>
      </c>
      <c r="S31">
        <f>'حضور سوريال'!BM29</f>
        <v>0</v>
      </c>
    </row>
    <row r="32" spans="2:19" ht="108" customHeight="1">
      <c r="B32" s="37" t="str">
        <f>IF($Q$15=0,"",IF(ISBLANK(INDEX('قاعدة البيانات'!$K$6:$K$305,$Q$15)),LEFT(INDEX('قاعدة البيانات'!$C$6:$C$305,$Q$15),1),INDEX('قاعدة البيانات'!$K$6:$K$305,$Q$15)))</f>
        <v>ف</v>
      </c>
      <c r="C32" s="123"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B-031
🎓 سنة تانية
🚶 يروح لوحده: —
📝 مفيش ملاحظات</v>
      </c>
      <c r="D32" s="123"/>
      <c r="F32" s="37" t="e" vm="32">
        <f>IF($Q$16=0,"",IF(ISBLANK(INDEX('قاعدة البيانات'!$K$6:$K$305,$Q$16)),LEFT(INDEX('قاعدة البيانات'!$C$6:$C$305,$Q$16),1),INDEX('قاعدة البيانات'!$K$6:$K$305,$Q$16)))</f>
        <v>#VALUE!</v>
      </c>
      <c r="G32" s="123"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B-032
🎓 سنة تانية
🚶 يروح لوحده: —
📝 مفيش ملاحظات</v>
      </c>
      <c r="H32" s="123"/>
      <c r="J32" s="37" t="e" vm="33">
        <f>IF($Q$17=0,"",IF(ISBLANK(INDEX('قاعدة البيانات'!$K$6:$K$305,$Q$17)),LEFT(INDEX('قاعدة البيانات'!$C$6:$C$305,$Q$17),1),INDEX('قاعدة البيانات'!$K$6:$K$305,$Q$17)))</f>
        <v>#VALUE!</v>
      </c>
      <c r="K32" s="123"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B-033
🎓 سنة تانية
🚶 يروح لوحده: —
📝 مفيش ملاحظات</v>
      </c>
      <c r="L32" s="123"/>
      <c r="P32">
        <v>24</v>
      </c>
      <c r="Q32">
        <f>'حضور سوريال'!BL30</f>
        <v>48</v>
      </c>
      <c r="R32" t="str">
        <f>IF(Q32=0,"",INDEX('قاعدة البيانات'!$D$6:$D$305,Q32))</f>
        <v>ولد</v>
      </c>
      <c r="S32">
        <f>'حضور سوريال'!BM30</f>
        <v>0</v>
      </c>
    </row>
    <row r="33" spans="2:19" ht="24" customHeight="1">
      <c r="B33" s="38" t="str">
        <f>IF($Q$15=0,"","👩 ماما")</f>
        <v>👩 ماما</v>
      </c>
      <c r="C33" s="39" t="str">
        <f>IF($Q$15=0,"",IF(INDEX('قاعدة البيانات'!$H$6:$H$305,$Q$15)="","— مفيش رقم —",HYPERLINK("tel:"&amp;INDEX('قاعدة البيانات'!$H$6:$H$305,$Q$15),"📞 "&amp;INDEX('قاعدة البيانات'!$H$6:$H$305,$Q$15))))</f>
        <v>📞 01283850844</v>
      </c>
      <c r="D33" s="40" t="str">
        <f>IF(OR($Q$15=0,INDEX('قاعدة البيانات'!$H$6:$H$305,$Q$15)=""),"",HYPERLINK("https://wa.me/20"&amp;RIGHT(INDEX('قاعدة البيانات'!$H$6:$H$305,$Q$15),10),"💬 واتساب"))</f>
        <v>💬 واتساب</v>
      </c>
      <c r="F33" s="38" t="str">
        <f>IF($Q$16=0,"","👩 ماما")</f>
        <v>👩 ماما</v>
      </c>
      <c r="G33" s="39" t="str">
        <f>IF($Q$16=0,"",IF(INDEX('قاعدة البيانات'!$H$6:$H$305,$Q$16)="","— مفيش رقم —",HYPERLINK("tel:"&amp;INDEX('قاعدة البيانات'!$H$6:$H$305,$Q$16),"📞 "&amp;INDEX('قاعدة البيانات'!$H$6:$H$305,$Q$16))))</f>
        <v>📞 01279057492</v>
      </c>
      <c r="H33" s="40" t="str">
        <f>IF(OR($Q$16=0,INDEX('قاعدة البيانات'!$H$6:$H$305,$Q$16)=""),"",HYPERLINK("https://wa.me/20"&amp;RIGHT(INDEX('قاعدة البيانات'!$H$6:$H$305,$Q$16),10),"💬 واتساب"))</f>
        <v>💬 واتساب</v>
      </c>
      <c r="J33" s="38" t="str">
        <f>IF($Q$17=0,"","👩 ماما")</f>
        <v>👩 ماما</v>
      </c>
      <c r="K33" s="39" t="str">
        <f>IF($Q$17=0,"",IF(INDEX('قاعدة البيانات'!$H$6:$H$305,$Q$17)="","— مفيش رقم —",HYPERLINK("tel:"&amp;INDEX('قاعدة البيانات'!$H$6:$H$305,$Q$17),"📞 "&amp;INDEX('قاعدة البيانات'!$H$6:$H$305,$Q$17))))</f>
        <v>📞 01280039813</v>
      </c>
      <c r="L33" s="40" t="str">
        <f>IF(OR($Q$17=0,INDEX('قاعدة البيانات'!$H$6:$H$305,$Q$17)=""),"",HYPERLINK("https://wa.me/20"&amp;RIGHT(INDEX('قاعدة البيانات'!$H$6:$H$305,$Q$17),10),"💬 واتساب"))</f>
        <v>💬 واتساب</v>
      </c>
      <c r="P33">
        <v>25</v>
      </c>
      <c r="Q33">
        <f>'حضور سوريال'!BL31</f>
        <v>0</v>
      </c>
      <c r="R33" t="str">
        <f>IF(Q33=0,"",INDEX('قاعدة البيانات'!$D$6:$D$305,Q33))</f>
        <v/>
      </c>
      <c r="S33">
        <f>'حضور سوريال'!BM31</f>
        <v>0</v>
      </c>
    </row>
    <row r="34" spans="2:19" ht="24" customHeight="1">
      <c r="B34" s="38" t="str">
        <f>IF($Q$15=0,"","👨 بابا")</f>
        <v>👨 بابا</v>
      </c>
      <c r="C34" s="39" t="str">
        <f>IF($Q$15=0,"",IF(INDEX('قاعدة البيانات'!$I$6:$I$305,$Q$15)="","— مفيش رقم —",HYPERLINK("tel:"&amp;INDEX('قاعدة البيانات'!$I$6:$I$305,$Q$15),"📞 "&amp;INDEX('قاعدة البيانات'!$I$6:$I$305,$Q$15))))</f>
        <v>📞 01285721261</v>
      </c>
      <c r="D34" s="40" t="str">
        <f>IF(OR($Q$15=0,INDEX('قاعدة البيانات'!$I$6:$I$305,$Q$15)=""),"",HYPERLINK("https://wa.me/20"&amp;RIGHT(INDEX('قاعدة البيانات'!$I$6:$I$305,$Q$15),10),"💬 واتساب"))</f>
        <v>💬 واتساب</v>
      </c>
      <c r="F34" s="38" t="str">
        <f>IF($Q$16=0,"","👨 بابا")</f>
        <v>👨 بابا</v>
      </c>
      <c r="G34" s="39" t="str">
        <f>IF($Q$16=0,"",IF(INDEX('قاعدة البيانات'!$I$6:$I$305,$Q$16)="","— مفيش رقم —",HYPERLINK("tel:"&amp;INDEX('قاعدة البيانات'!$I$6:$I$305,$Q$16),"📞 "&amp;INDEX('قاعدة البيانات'!$I$6:$I$305,$Q$16))))</f>
        <v>📞 01272167444</v>
      </c>
      <c r="H34" s="40" t="str">
        <f>IF(OR($Q$16=0,INDEX('قاعدة البيانات'!$I$6:$I$305,$Q$16)=""),"",HYPERLINK("https://wa.me/20"&amp;RIGHT(INDEX('قاعدة البيانات'!$I$6:$I$305,$Q$16),10),"💬 واتساب"))</f>
        <v>💬 واتساب</v>
      </c>
      <c r="J34" s="38" t="str">
        <f>IF($Q$17=0,"","👨 بابا")</f>
        <v>👨 بابا</v>
      </c>
      <c r="K34" s="39" t="str">
        <f>IF($Q$17=0,"",IF(INDEX('قاعدة البيانات'!$I$6:$I$305,$Q$17)="","— مفيش رقم —",HYPERLINK("tel:"&amp;INDEX('قاعدة البيانات'!$I$6:$I$305,$Q$17),"📞 "&amp;INDEX('قاعدة البيانات'!$I$6:$I$305,$Q$17))))</f>
        <v>— مفيش رقم —</v>
      </c>
      <c r="L34" s="40" t="str">
        <f>IF(OR($Q$17=0,INDEX('قاعدة البيانات'!$I$6:$I$305,$Q$17)=""),"",HYPERLINK("https://wa.me/20"&amp;RIGHT(INDEX('قاعدة البيانات'!$I$6:$I$305,$Q$17),10),"💬 واتساب"))</f>
        <v/>
      </c>
      <c r="P34">
        <v>26</v>
      </c>
      <c r="Q34">
        <f>'حضور سوريال'!BL32</f>
        <v>0</v>
      </c>
      <c r="R34" t="str">
        <f>IF(Q34=0,"",INDEX('قاعدة البيانات'!$D$6:$D$305,Q34))</f>
        <v/>
      </c>
      <c r="S34">
        <f>'حضور سوريال'!BM32</f>
        <v>0</v>
      </c>
    </row>
    <row r="35" spans="2:19" ht="37.5" customHeight="1">
      <c r="B35" s="124" t="str">
        <f>IF($Q$15=0,"","📍 "&amp;IF(INDEX('قاعدة البيانات'!$J$6:$J$305,$Q$15)="","— مفيش عنوان —",INDEX('قاعدة البيانات'!$J$6:$J$305,$Q$15)))</f>
        <v>📍 23 شارع عاصم، المليحة، حدائق القبة، القاهرة؛ الدور 3</v>
      </c>
      <c r="C35" s="124"/>
      <c r="D35" s="124"/>
      <c r="F35" s="124" t="str">
        <f>IF($Q$16=0,"","📍 "&amp;IF(INDEX('قاعدة البيانات'!$J$6:$J$305,$Q$16)="","— مفيش عنوان —",INDEX('قاعدة البيانات'!$J$6:$J$305,$Q$16)))</f>
        <v>📍 16 شارع فضل دير الملاك، حدائق القبة، القاهرة؛ شقة 15، الدور 9</v>
      </c>
      <c r="G35" s="124"/>
      <c r="H35" s="124"/>
      <c r="J35" s="124" t="str">
        <f>IF($Q$17=0,"","📍 "&amp;IF(INDEX('قاعدة البيانات'!$J$6:$J$305,$Q$17)="","— مفيش عنوان —",INDEX('قاعدة البيانات'!$J$6:$J$305,$Q$17)))</f>
        <v>📍 23 شارع عبد الرحمن السني، عمار بن ياسر، العمرانية، الجيزة؛ شقة 5، الدور 3</v>
      </c>
      <c r="K35" s="124"/>
      <c r="L35" s="124"/>
      <c r="P35">
        <v>27</v>
      </c>
      <c r="Q35">
        <f>'حضور سوريال'!BL33</f>
        <v>0</v>
      </c>
      <c r="R35" t="str">
        <f>IF(Q35=0,"",INDEX('قاعدة البيانات'!$D$6:$D$305,Q35))</f>
        <v/>
      </c>
      <c r="S35">
        <f>'حضور سوريال'!BM33</f>
        <v>0</v>
      </c>
    </row>
    <row r="36" spans="2:19" ht="21.75" customHeight="1">
      <c r="B36" s="125" t="str">
        <f>IF($Q$15=0,"","📊 إحصائيات الحضور")</f>
        <v>📊 إحصائيات الحضور</v>
      </c>
      <c r="C36" s="125"/>
      <c r="D36" s="125"/>
      <c r="F36" s="125" t="str">
        <f>IF($Q$16=0,"","📊 إحصائيات الحضور")</f>
        <v>📊 إحصائيات الحضور</v>
      </c>
      <c r="G36" s="125"/>
      <c r="H36" s="125"/>
      <c r="J36" s="125" t="str">
        <f>IF($Q$17=0,"","📊 إحصائيات الحضور")</f>
        <v>📊 إحصائيات الحضور</v>
      </c>
      <c r="K36" s="125"/>
      <c r="L36" s="125"/>
      <c r="P36">
        <v>28</v>
      </c>
      <c r="Q36">
        <f>'حضور سوريال'!BL34</f>
        <v>0</v>
      </c>
      <c r="R36" t="str">
        <f>IF(Q36=0,"",INDEX('قاعدة البيانات'!$D$6:$D$305,Q36))</f>
        <v/>
      </c>
      <c r="S36">
        <f>'حضور سوريال'!BM34</f>
        <v>0</v>
      </c>
    </row>
    <row r="37" spans="2:19" ht="15.75" customHeight="1">
      <c r="B37" s="41" t="str">
        <f>IF($Q$15=0,"","✅ حضور")</f>
        <v>✅ حضور</v>
      </c>
      <c r="C37" s="41" t="str">
        <f>IF($Q$15=0,"","❌ غياب")</f>
        <v>❌ غياب</v>
      </c>
      <c r="D37" s="41" t="str">
        <f>IF($Q$15=0,"","📈 النسبة")</f>
        <v>📈 النسبة</v>
      </c>
      <c r="F37" s="41" t="str">
        <f>IF($Q$16=0,"","✅ حضور")</f>
        <v>✅ حضور</v>
      </c>
      <c r="G37" s="41" t="str">
        <f>IF($Q$16=0,"","❌ غياب")</f>
        <v>❌ غياب</v>
      </c>
      <c r="H37" s="41" t="str">
        <f>IF($Q$16=0,"","📈 النسبة")</f>
        <v>📈 النسبة</v>
      </c>
      <c r="J37" s="41" t="str">
        <f>IF($Q$17=0,"","✅ حضور")</f>
        <v>✅ حضور</v>
      </c>
      <c r="K37" s="41" t="str">
        <f>IF($Q$17=0,"","❌ غياب")</f>
        <v>❌ غياب</v>
      </c>
      <c r="L37" s="41" t="str">
        <f>IF($Q$17=0,"","📈 النسبة")</f>
        <v>📈 النسبة</v>
      </c>
      <c r="P37">
        <v>29</v>
      </c>
      <c r="Q37">
        <f>'حضور سوريال'!BL35</f>
        <v>0</v>
      </c>
      <c r="R37" t="str">
        <f>IF(Q37=0,"",INDEX('قاعدة البيانات'!$D$6:$D$305,Q37))</f>
        <v/>
      </c>
      <c r="S37">
        <f>'حضور سوريال'!BM35</f>
        <v>0</v>
      </c>
    </row>
    <row r="38" spans="2:19" ht="33.75" customHeight="1">
      <c r="B38" s="42">
        <f>'حضور سوريال'!C13</f>
        <v>0</v>
      </c>
      <c r="C38" s="43">
        <f>'حضور سوريال'!D13</f>
        <v>0</v>
      </c>
      <c r="D38" s="44" t="str">
        <f>'حضور سوريال'!F13</f>
        <v/>
      </c>
      <c r="F38" s="42">
        <f>'حضور سوريال'!C14</f>
        <v>0</v>
      </c>
      <c r="G38" s="43">
        <f>'حضور سوريال'!D14</f>
        <v>0</v>
      </c>
      <c r="H38" s="44" t="str">
        <f>'حضور سوريال'!F14</f>
        <v/>
      </c>
      <c r="J38" s="42">
        <f>'حضور سوريال'!C15</f>
        <v>0</v>
      </c>
      <c r="K38" s="43">
        <f>'حضور سوريال'!D15</f>
        <v>0</v>
      </c>
      <c r="L38" s="44" t="str">
        <f>'حضور سوريال'!F15</f>
        <v/>
      </c>
      <c r="P38">
        <v>30</v>
      </c>
      <c r="Q38">
        <f>'حضور سوريال'!BL36</f>
        <v>0</v>
      </c>
      <c r="R38" t="str">
        <f>IF(Q38=0,"",INDEX('قاعدة البيانات'!$D$6:$D$305,Q38))</f>
        <v/>
      </c>
      <c r="S38">
        <f>'حضور سوريال'!BM36</f>
        <v>0</v>
      </c>
    </row>
    <row r="39" spans="2:19" ht="24" customHeight="1">
      <c r="B39" s="126" t="str">
        <f>'حضور سوريال'!I13</f>
        <v>⏳ لسه مفيش حضور</v>
      </c>
      <c r="C39" s="126"/>
      <c r="D39" s="126"/>
      <c r="F39" s="126" t="str">
        <f>'حضور سوريال'!I14</f>
        <v>⏳ لسه مفيش حضور</v>
      </c>
      <c r="G39" s="126"/>
      <c r="H39" s="126"/>
      <c r="J39" s="126" t="str">
        <f>'حضور سوريال'!I15</f>
        <v>⏳ لسه مفيش حضور</v>
      </c>
      <c r="K39" s="126"/>
      <c r="L39" s="126"/>
    </row>
    <row r="40" spans="2:19" ht="19.5" customHeight="1">
      <c r="B40" s="127" t="str">
        <f>IF($Q$15=0,"","🗓️ آخر حضور: "&amp;IF(ISNUMBER('حضور سوريال'!H13),DAY('حضور سوريال'!H13)&amp;"/"&amp;MONTH('حضور سوريال'!H13)&amp;"/"&amp;YEAR('حضور سوريال'!H13),"—")&amp;"   •   غياب متتالي: "&amp;'حضور سوريال'!G13)</f>
        <v>🗓️ آخر حضور: —   •   غياب متتالي: 0</v>
      </c>
      <c r="C40" s="127"/>
      <c r="D40" s="127"/>
      <c r="F40" s="127" t="str">
        <f>IF($Q$16=0,"","🗓️ آخر حضور: "&amp;IF(ISNUMBER('حضور سوريال'!H14),DAY('حضور سوريال'!H14)&amp;"/"&amp;MONTH('حضور سوريال'!H14)&amp;"/"&amp;YEAR('حضور سوريال'!H14),"—")&amp;"   •   غياب متتالي: "&amp;'حضور سوريال'!G14)</f>
        <v>🗓️ آخر حضور: —   •   غياب متتالي: 0</v>
      </c>
      <c r="G40" s="127"/>
      <c r="H40" s="127"/>
      <c r="J40" s="127" t="str">
        <f>IF($Q$17=0,"","🗓️ آخر حضور: "&amp;IF(ISNUMBER('حضور سوريال'!H15),DAY('حضور سوريال'!H15)&amp;"/"&amp;MONTH('حضور سوريال'!H15)&amp;"/"&amp;YEAR('حضور سوريال'!H15),"—")&amp;"   •   غياب متتالي: "&amp;'حضور سوريال'!G15)</f>
        <v>🗓️ آخر حضور: —   •   غياب متتالي: 0</v>
      </c>
      <c r="K40" s="127"/>
      <c r="L40" s="127"/>
    </row>
    <row r="41" spans="2:19" ht="13.5" customHeight="1"/>
    <row r="42" spans="2:19" ht="30" customHeight="1">
      <c r="B42" s="122" t="str">
        <f>IF($Q$18=0,"",IF(INDEX('قاعدة البيانات'!$D$6:$D$305,$Q$18)="بنت","👧 ","👦 ")&amp;INDEX('قاعدة البيانات'!$C$6:$C$305,$Q$18))</f>
        <v>👦 مارسيلينو جرجس روماني حبيب</v>
      </c>
      <c r="C42" s="122"/>
      <c r="D42" s="122"/>
      <c r="F42" s="122" t="str">
        <f>IF($Q$19=0,"",IF(INDEX('قاعدة البيانات'!$D$6:$D$305,$Q$19)="بنت","👧 ","👦 ")&amp;INDEX('قاعدة البيانات'!$C$6:$C$305,$Q$19))</f>
        <v>👧 جاسيكا صموئيل شكر الله</v>
      </c>
      <c r="G42" s="122"/>
      <c r="H42" s="122"/>
      <c r="J42" s="122" t="str">
        <f>IF($Q$20=0,"",IF(INDEX('قاعدة البيانات'!$D$6:$D$305,$Q$20)="بنت","👧 ","👦 ")&amp;INDEX('قاعدة البيانات'!$C$6:$C$305,$Q$20))</f>
        <v>👦 باتريك بولا عطا الله</v>
      </c>
      <c r="K42" s="122"/>
      <c r="L42" s="122"/>
    </row>
    <row r="43" spans="2:19" ht="108" customHeight="1">
      <c r="B43" s="37" t="e" vm="34">
        <f>IF($Q$18=0,"",IF(ISBLANK(INDEX('قاعدة البيانات'!$K$6:$K$305,$Q$18)),LEFT(INDEX('قاعدة البيانات'!$C$6:$C$305,$Q$18),1),INDEX('قاعدة البيانات'!$K$6:$K$305,$Q$18)))</f>
        <v>#VALUE!</v>
      </c>
      <c r="C43" s="123"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B-034
🎓 سنة تانية
🚶 يروح لوحده: —
📝 مفيش ملاحظات</v>
      </c>
      <c r="D43" s="123"/>
      <c r="F43" s="37" t="str">
        <f>IF($Q$19=0,"",IF(ISBLANK(INDEX('قاعدة البيانات'!$K$6:$K$305,$Q$19)),LEFT(INDEX('قاعدة البيانات'!$C$6:$C$305,$Q$19),1),INDEX('قاعدة البيانات'!$K$6:$K$305,$Q$19)))</f>
        <v>ج</v>
      </c>
      <c r="G43" s="123"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B-035
🎓 سنة تانية
🚶 يروح لوحده: —
📝 مفيش ملاحظات</v>
      </c>
      <c r="H43" s="123"/>
      <c r="J43" s="37" t="str">
        <f>IF($Q$20=0,"",IF(ISBLANK(INDEX('قاعدة البيانات'!$K$6:$K$305,$Q$20)),LEFT(INDEX('قاعدة البيانات'!$C$6:$C$305,$Q$20),1),INDEX('قاعدة البيانات'!$K$6:$K$305,$Q$20)))</f>
        <v>ب</v>
      </c>
      <c r="K43" s="123"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B-036
🎓 سنة تانية
🚶 يروح لوحده: —
📝 مفيش ملاحظات</v>
      </c>
      <c r="L43" s="123"/>
    </row>
    <row r="44" spans="2:19" ht="24" customHeight="1">
      <c r="B44" s="38" t="str">
        <f>IF($Q$18=0,"","👩 ماما")</f>
        <v>👩 ماما</v>
      </c>
      <c r="C44" s="39" t="str">
        <f>IF($Q$18=0,"",IF(INDEX('قاعدة البيانات'!$H$6:$H$305,$Q$18)="","— مفيش رقم —",HYPERLINK("tel:"&amp;INDEX('قاعدة البيانات'!$H$6:$H$305,$Q$18),"📞 "&amp;INDEX('قاعدة البيانات'!$H$6:$H$305,$Q$18))))</f>
        <v>📞 01020032613</v>
      </c>
      <c r="D44" s="40" t="str">
        <f>IF(OR($Q$18=0,INDEX('قاعدة البيانات'!$H$6:$H$305,$Q$18)=""),"",HYPERLINK("https://wa.me/20"&amp;RIGHT(INDEX('قاعدة البيانات'!$H$6:$H$305,$Q$18),10),"💬 واتساب"))</f>
        <v>💬 واتساب</v>
      </c>
      <c r="F44" s="38" t="str">
        <f>IF($Q$19=0,"","👩 ماما")</f>
        <v>👩 ماما</v>
      </c>
      <c r="G44" s="39" t="str">
        <f>IF($Q$19=0,"",IF(INDEX('قاعدة البيانات'!$H$6:$H$305,$Q$19)="","— مفيش رقم —",HYPERLINK("tel:"&amp;INDEX('قاعدة البيانات'!$H$6:$H$305,$Q$19),"📞 "&amp;INDEX('قاعدة البيانات'!$H$6:$H$305,$Q$19))))</f>
        <v>📞 01202234121</v>
      </c>
      <c r="H44" s="40" t="str">
        <f>IF(OR($Q$19=0,INDEX('قاعدة البيانات'!$H$6:$H$305,$Q$19)=""),"",HYPERLINK("https://wa.me/20"&amp;RIGHT(INDEX('قاعدة البيانات'!$H$6:$H$305,$Q$19),10),"💬 واتساب"))</f>
        <v>💬 واتساب</v>
      </c>
      <c r="J44" s="38" t="str">
        <f>IF($Q$20=0,"","👩 ماما")</f>
        <v>👩 ماما</v>
      </c>
      <c r="K44" s="39" t="str">
        <f>IF($Q$20=0,"",IF(INDEX('قاعدة البيانات'!$H$6:$H$305,$Q$20)="","— مفيش رقم —",HYPERLINK("tel:"&amp;INDEX('قاعدة البيانات'!$H$6:$H$305,$Q$20),"📞 "&amp;INDEX('قاعدة البيانات'!$H$6:$H$305,$Q$20))))</f>
        <v>📞 01284074874</v>
      </c>
      <c r="L44" s="40" t="str">
        <f>IF(OR($Q$20=0,INDEX('قاعدة البيانات'!$H$6:$H$305,$Q$20)=""),"",HYPERLINK("https://wa.me/20"&amp;RIGHT(INDEX('قاعدة البيانات'!$H$6:$H$305,$Q$20),10),"💬 واتساب"))</f>
        <v>💬 واتساب</v>
      </c>
    </row>
    <row r="45" spans="2:19" ht="24" customHeight="1">
      <c r="B45" s="38" t="str">
        <f>IF($Q$18=0,"","👨 بابا")</f>
        <v>👨 بابا</v>
      </c>
      <c r="C45" s="39" t="str">
        <f>IF($Q$18=0,"",IF(INDEX('قاعدة البيانات'!$I$6:$I$305,$Q$18)="","— مفيش رقم —",HYPERLINK("tel:"&amp;INDEX('قاعدة البيانات'!$I$6:$I$305,$Q$18),"📞 "&amp;INDEX('قاعدة البيانات'!$I$6:$I$305,$Q$18))))</f>
        <v>— مفيش رقم —</v>
      </c>
      <c r="D45" s="40" t="str">
        <f>IF(OR($Q$18=0,INDEX('قاعدة البيانات'!$I$6:$I$305,$Q$18)=""),"",HYPERLINK("https://wa.me/20"&amp;RIGHT(INDEX('قاعدة البيانات'!$I$6:$I$305,$Q$18),10),"💬 واتساب"))</f>
        <v/>
      </c>
      <c r="F45" s="38" t="str">
        <f>IF($Q$19=0,"","👨 بابا")</f>
        <v>👨 بابا</v>
      </c>
      <c r="G45" s="39" t="str">
        <f>IF($Q$19=0,"",IF(INDEX('قاعدة البيانات'!$I$6:$I$305,$Q$19)="","— مفيش رقم —",HYPERLINK("tel:"&amp;INDEX('قاعدة البيانات'!$I$6:$I$305,$Q$19),"📞 "&amp;INDEX('قاعدة البيانات'!$I$6:$I$305,$Q$19))))</f>
        <v>📞 01283206525</v>
      </c>
      <c r="H45" s="40" t="str">
        <f>IF(OR($Q$19=0,INDEX('قاعدة البيانات'!$I$6:$I$305,$Q$19)=""),"",HYPERLINK("https://wa.me/20"&amp;RIGHT(INDEX('قاعدة البيانات'!$I$6:$I$305,$Q$19),10),"💬 واتساب"))</f>
        <v>💬 واتساب</v>
      </c>
      <c r="J45" s="38" t="str">
        <f>IF($Q$20=0,"","👨 بابا")</f>
        <v>👨 بابا</v>
      </c>
      <c r="K45" s="39" t="str">
        <f>IF($Q$20=0,"",IF(INDEX('قاعدة البيانات'!$I$6:$I$305,$Q$20)="","— مفيش رقم —",HYPERLINK("tel:"&amp;INDEX('قاعدة البيانات'!$I$6:$I$305,$Q$20),"📞 "&amp;INDEX('قاعدة البيانات'!$I$6:$I$305,$Q$20))))</f>
        <v>📞 01277714878</v>
      </c>
      <c r="L45" s="40" t="str">
        <f>IF(OR($Q$20=0,INDEX('قاعدة البيانات'!$I$6:$I$305,$Q$20)=""),"",HYPERLINK("https://wa.me/20"&amp;RIGHT(INDEX('قاعدة البيانات'!$I$6:$I$305,$Q$20),10),"💬 واتساب"))</f>
        <v>💬 واتساب</v>
      </c>
    </row>
    <row r="46" spans="2:19" ht="37.5" customHeight="1">
      <c r="B46" s="124" t="str">
        <f>IF($Q$18=0,"","📍 "&amp;IF(INDEX('قاعدة البيانات'!$J$6:$J$305,$Q$18)="","— مفيش عنوان —",INDEX('قاعدة البيانات'!$J$6:$J$305,$Q$18)))</f>
        <v>📍 18 شارع أحمد محمد فرج، منطقة 5، المليحة، حدائق القبة، القاهرة؛ شقة 1، الدور 4</v>
      </c>
      <c r="C46" s="124"/>
      <c r="D46" s="124"/>
      <c r="F46" s="124" t="str">
        <f>IF($Q$19=0,"","📍 "&amp;IF(INDEX('قاعدة البيانات'!$J$6:$J$305,$Q$19)="","— مفيش عنوان —",INDEX('قاعدة البيانات'!$J$6:$J$305,$Q$19)))</f>
        <v>📍 7 شارع أبو طه، متفرع من الفريد، عزبة النخل، القاهرة؛ شقة 2، الدور 3</v>
      </c>
      <c r="G46" s="124"/>
      <c r="H46" s="124"/>
      <c r="J46" s="124" t="str">
        <f>IF($Q$20=0,"","📍 "&amp;IF(INDEX('قاعدة البيانات'!$J$6:$J$305,$Q$20)="","— مفيش عنوان —",INDEX('قاعدة البيانات'!$J$6:$J$305,$Q$20)))</f>
        <v>📍 22 شارع دياب فهمي، المليحة، حدائق القبة، القاهرة؛ الدور 4</v>
      </c>
      <c r="K46" s="124"/>
      <c r="L46" s="124"/>
    </row>
    <row r="47" spans="2:19" ht="21.75" customHeight="1">
      <c r="B47" s="125" t="str">
        <f>IF($Q$18=0,"","📊 إحصائيات الحضور")</f>
        <v>📊 إحصائيات الحضور</v>
      </c>
      <c r="C47" s="125"/>
      <c r="D47" s="125"/>
      <c r="F47" s="125" t="str">
        <f>IF($Q$19=0,"","📊 إحصائيات الحضور")</f>
        <v>📊 إحصائيات الحضور</v>
      </c>
      <c r="G47" s="125"/>
      <c r="H47" s="125"/>
      <c r="J47" s="125" t="str">
        <f>IF($Q$20=0,"","📊 إحصائيات الحضور")</f>
        <v>📊 إحصائيات الحضور</v>
      </c>
      <c r="K47" s="125"/>
      <c r="L47" s="125"/>
    </row>
    <row r="48" spans="2:19" ht="15.75" customHeight="1">
      <c r="B48" s="41" t="str">
        <f>IF($Q$18=0,"","✅ حضور")</f>
        <v>✅ حضور</v>
      </c>
      <c r="C48" s="41" t="str">
        <f>IF($Q$18=0,"","❌ غياب")</f>
        <v>❌ غياب</v>
      </c>
      <c r="D48" s="41" t="str">
        <f>IF($Q$18=0,"","📈 النسبة")</f>
        <v>📈 النسبة</v>
      </c>
      <c r="F48" s="41" t="str">
        <f>IF($Q$19=0,"","✅ حضور")</f>
        <v>✅ حضور</v>
      </c>
      <c r="G48" s="41" t="str">
        <f>IF($Q$19=0,"","❌ غياب")</f>
        <v>❌ غياب</v>
      </c>
      <c r="H48" s="41" t="str">
        <f>IF($Q$19=0,"","📈 النسبة")</f>
        <v>📈 النسبة</v>
      </c>
      <c r="J48" s="41" t="str">
        <f>IF($Q$20=0,"","✅ حضور")</f>
        <v>✅ حضور</v>
      </c>
      <c r="K48" s="41" t="str">
        <f>IF($Q$20=0,"","❌ غياب")</f>
        <v>❌ غياب</v>
      </c>
      <c r="L48" s="41" t="str">
        <f>IF($Q$20=0,"","📈 النسبة")</f>
        <v>📈 النسبة</v>
      </c>
    </row>
    <row r="49" spans="2:12" ht="33.75" customHeight="1">
      <c r="B49" s="42">
        <f>'حضور سوريال'!C16</f>
        <v>0</v>
      </c>
      <c r="C49" s="43">
        <f>'حضور سوريال'!D16</f>
        <v>0</v>
      </c>
      <c r="D49" s="44" t="str">
        <f>'حضور سوريال'!F16</f>
        <v/>
      </c>
      <c r="F49" s="42">
        <f>'حضور سوريال'!C17</f>
        <v>0</v>
      </c>
      <c r="G49" s="43">
        <f>'حضور سوريال'!D17</f>
        <v>0</v>
      </c>
      <c r="H49" s="44" t="str">
        <f>'حضور سوريال'!F17</f>
        <v/>
      </c>
      <c r="J49" s="42">
        <f>'حضور سوريال'!C18</f>
        <v>0</v>
      </c>
      <c r="K49" s="43">
        <f>'حضور سوريال'!D18</f>
        <v>0</v>
      </c>
      <c r="L49" s="44" t="str">
        <f>'حضور سوريال'!F18</f>
        <v/>
      </c>
    </row>
    <row r="50" spans="2:12" ht="24" customHeight="1">
      <c r="B50" s="126" t="str">
        <f>'حضور سوريال'!I16</f>
        <v>⏳ لسه مفيش حضور</v>
      </c>
      <c r="C50" s="126"/>
      <c r="D50" s="126"/>
      <c r="F50" s="126" t="str">
        <f>'حضور سوريال'!I17</f>
        <v>⏳ لسه مفيش حضور</v>
      </c>
      <c r="G50" s="126"/>
      <c r="H50" s="126"/>
      <c r="J50" s="126" t="str">
        <f>'حضور سوريال'!I18</f>
        <v>⏳ لسه مفيش حضور</v>
      </c>
      <c r="K50" s="126"/>
      <c r="L50" s="126"/>
    </row>
    <row r="51" spans="2:12" ht="19.5" customHeight="1">
      <c r="B51" s="127" t="str">
        <f>IF($Q$18=0,"","🗓️ آخر حضور: "&amp;IF(ISNUMBER('حضور سوريال'!H16),DAY('حضور سوريال'!H16)&amp;"/"&amp;MONTH('حضور سوريال'!H16)&amp;"/"&amp;YEAR('حضور سوريال'!H16),"—")&amp;"   •   غياب متتالي: "&amp;'حضور سوريال'!G16)</f>
        <v>🗓️ آخر حضور: —   •   غياب متتالي: 0</v>
      </c>
      <c r="C51" s="127"/>
      <c r="D51" s="127"/>
      <c r="F51" s="127" t="str">
        <f>IF($Q$19=0,"","🗓️ آخر حضور: "&amp;IF(ISNUMBER('حضور سوريال'!H17),DAY('حضور سوريال'!H17)&amp;"/"&amp;MONTH('حضور سوريال'!H17)&amp;"/"&amp;YEAR('حضور سوريال'!H17),"—")&amp;"   •   غياب متتالي: "&amp;'حضور سوريال'!G17)</f>
        <v>🗓️ آخر حضور: —   •   غياب متتالي: 0</v>
      </c>
      <c r="G51" s="127"/>
      <c r="H51" s="127"/>
      <c r="J51" s="127" t="str">
        <f>IF($Q$20=0,"","🗓️ آخر حضور: "&amp;IF(ISNUMBER('حضور سوريال'!H18),DAY('حضور سوريال'!H18)&amp;"/"&amp;MONTH('حضور سوريال'!H18)&amp;"/"&amp;YEAR('حضور سوريال'!H18),"—")&amp;"   •   غياب متتالي: "&amp;'حضور سوريال'!G18)</f>
        <v>🗓️ آخر حضور: —   •   غياب متتالي: 0</v>
      </c>
      <c r="K51" s="127"/>
      <c r="L51" s="127"/>
    </row>
    <row r="52" spans="2:12" ht="13.5" customHeight="1"/>
    <row r="53" spans="2:12" ht="30" customHeight="1">
      <c r="B53" s="122" t="str">
        <f>IF($Q$21=0,"",IF(INDEX('قاعدة البيانات'!$D$6:$D$305,$Q$21)="بنت","👧 ","👦 ")&amp;INDEX('قاعدة البيانات'!$C$6:$C$305,$Q$21))</f>
        <v>👧 كنده بيشوي سامي</v>
      </c>
      <c r="C53" s="122"/>
      <c r="D53" s="122"/>
      <c r="F53" s="122" t="str">
        <f>IF($Q$22=0,"",IF(INDEX('قاعدة البيانات'!$D$6:$D$305,$Q$22)="بنت","👧 ","👦 ")&amp;INDEX('قاعدة البيانات'!$C$6:$C$305,$Q$22))</f>
        <v>👧 إيلاريا أمير رسمي مراد</v>
      </c>
      <c r="G53" s="122"/>
      <c r="H53" s="122"/>
      <c r="J53" s="122" t="str">
        <f>IF($Q$23=0,"",IF(INDEX('قاعدة البيانات'!$D$6:$D$305,$Q$23)="بنت","👧 ","👦 ")&amp;INDEX('قاعدة البيانات'!$C$6:$C$305,$Q$23))</f>
        <v>👦 بولا ميشيل رزق يوسف</v>
      </c>
      <c r="K53" s="122"/>
      <c r="L53" s="122"/>
    </row>
    <row r="54" spans="2:12" ht="108" customHeight="1">
      <c r="B54" s="37" t="e" vm="35">
        <f>IF($Q$21=0,"",IF(ISBLANK(INDEX('قاعدة البيانات'!$K$6:$K$305,$Q$21)),LEFT(INDEX('قاعدة البيانات'!$C$6:$C$305,$Q$21),1),INDEX('قاعدة البيانات'!$K$6:$K$305,$Q$21)))</f>
        <v>#VALUE!</v>
      </c>
      <c r="C54" s="123"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B-037
🎓 سنة تانية
🚶 يروح لوحده: —
📝 مفيش ملاحظات</v>
      </c>
      <c r="D54" s="123"/>
      <c r="F54" s="37" t="str">
        <f>IF($Q$22=0,"",IF(ISBLANK(INDEX('قاعدة البيانات'!$K$6:$K$305,$Q$22)),LEFT(INDEX('قاعدة البيانات'!$C$6:$C$305,$Q$22),1),INDEX('قاعدة البيانات'!$K$6:$K$305,$Q$22)))</f>
        <v>إ</v>
      </c>
      <c r="G54" s="123"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B-038
🎓 سنة تانية
🚶 يروح لوحده: —
📝 مفيش ملاحظات</v>
      </c>
      <c r="H54" s="123"/>
      <c r="J54" s="37" t="str">
        <f>IF($Q$23=0,"",IF(ISBLANK(INDEX('قاعدة البيانات'!$K$6:$K$305,$Q$23)),LEFT(INDEX('قاعدة البيانات'!$C$6:$C$305,$Q$23),1),INDEX('قاعدة البيانات'!$K$6:$K$305,$Q$23)))</f>
        <v>ب</v>
      </c>
      <c r="K54" s="123"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B-039
🎓 سنة تانية
🚶 يروح لوحده: —
📝 مفيش ملاحظات</v>
      </c>
      <c r="L54" s="123"/>
    </row>
    <row r="55" spans="2:12" ht="24" customHeight="1">
      <c r="B55" s="38" t="str">
        <f>IF($Q$21=0,"","👩 ماما")</f>
        <v>👩 ماما</v>
      </c>
      <c r="C55" s="39" t="str">
        <f>IF($Q$21=0,"",IF(INDEX('قاعدة البيانات'!$H$6:$H$305,$Q$21)="","— مفيش رقم —",HYPERLINK("tel:"&amp;INDEX('قاعدة البيانات'!$H$6:$H$305,$Q$21),"📞 "&amp;INDEX('قاعدة البيانات'!$H$6:$H$305,$Q$21))))</f>
        <v>📞 01204337555</v>
      </c>
      <c r="D55" s="40" t="str">
        <f>IF(OR($Q$21=0,INDEX('قاعدة البيانات'!$H$6:$H$305,$Q$21)=""),"",HYPERLINK("https://wa.me/20"&amp;RIGHT(INDEX('قاعدة البيانات'!$H$6:$H$305,$Q$21),10),"💬 واتساب"))</f>
        <v>💬 واتساب</v>
      </c>
      <c r="F55" s="38" t="str">
        <f>IF($Q$22=0,"","👩 ماما")</f>
        <v>👩 ماما</v>
      </c>
      <c r="G55" s="39" t="str">
        <f>IF($Q$22=0,"",IF(INDEX('قاعدة البيانات'!$H$6:$H$305,$Q$22)="","— مفيش رقم —",HYPERLINK("tel:"&amp;INDEX('قاعدة البيانات'!$H$6:$H$305,$Q$22),"📞 "&amp;INDEX('قاعدة البيانات'!$H$6:$H$305,$Q$22))))</f>
        <v>📞 01201002104</v>
      </c>
      <c r="H55" s="40" t="str">
        <f>IF(OR($Q$22=0,INDEX('قاعدة البيانات'!$H$6:$H$305,$Q$22)=""),"",HYPERLINK("https://wa.me/20"&amp;RIGHT(INDEX('قاعدة البيانات'!$H$6:$H$305,$Q$22),10),"💬 واتساب"))</f>
        <v>💬 واتساب</v>
      </c>
      <c r="J55" s="38" t="str">
        <f>IF($Q$23=0,"","👩 ماما")</f>
        <v>👩 ماما</v>
      </c>
      <c r="K55" s="39" t="str">
        <f>IF($Q$23=0,"",IF(INDEX('قاعدة البيانات'!$H$6:$H$305,$Q$23)="","— مفيش رقم —",HYPERLINK("tel:"&amp;INDEX('قاعدة البيانات'!$H$6:$H$305,$Q$23),"📞 "&amp;INDEX('قاعدة البيانات'!$H$6:$H$305,$Q$23))))</f>
        <v>📞 01287025522</v>
      </c>
      <c r="L55" s="40" t="str">
        <f>IF(OR($Q$23=0,INDEX('قاعدة البيانات'!$H$6:$H$305,$Q$23)=""),"",HYPERLINK("https://wa.me/20"&amp;RIGHT(INDEX('قاعدة البيانات'!$H$6:$H$305,$Q$23),10),"💬 واتساب"))</f>
        <v>💬 واتساب</v>
      </c>
    </row>
    <row r="56" spans="2:12" ht="24" customHeight="1">
      <c r="B56" s="38" t="str">
        <f>IF($Q$21=0,"","👨 بابا")</f>
        <v>👨 بابا</v>
      </c>
      <c r="C56" s="39" t="str">
        <f>IF($Q$21=0,"",IF(INDEX('قاعدة البيانات'!$I$6:$I$305,$Q$21)="","— مفيش رقم —",HYPERLINK("tel:"&amp;INDEX('قاعدة البيانات'!$I$6:$I$305,$Q$21),"📞 "&amp;INDEX('قاعدة البيانات'!$I$6:$I$305,$Q$21))))</f>
        <v>📞 01204337555</v>
      </c>
      <c r="D56" s="40" t="str">
        <f>IF(OR($Q$21=0,INDEX('قاعدة البيانات'!$I$6:$I$305,$Q$21)=""),"",HYPERLINK("https://wa.me/20"&amp;RIGHT(INDEX('قاعدة البيانات'!$I$6:$I$305,$Q$21),10),"💬 واتساب"))</f>
        <v>💬 واتساب</v>
      </c>
      <c r="F56" s="38" t="str">
        <f>IF($Q$22=0,"","👨 بابا")</f>
        <v>👨 بابا</v>
      </c>
      <c r="G56" s="39" t="str">
        <f>IF($Q$22=0,"",IF(INDEX('قاعدة البيانات'!$I$6:$I$305,$Q$22)="","— مفيش رقم —",HYPERLINK("tel:"&amp;INDEX('قاعدة البيانات'!$I$6:$I$305,$Q$22),"📞 "&amp;INDEX('قاعدة البيانات'!$I$6:$I$305,$Q$22))))</f>
        <v>📞 01201682184</v>
      </c>
      <c r="H56" s="40" t="str">
        <f>IF(OR($Q$22=0,INDEX('قاعدة البيانات'!$I$6:$I$305,$Q$22)=""),"",HYPERLINK("https://wa.me/20"&amp;RIGHT(INDEX('قاعدة البيانات'!$I$6:$I$305,$Q$22),10),"💬 واتساب"))</f>
        <v>💬 واتساب</v>
      </c>
      <c r="J56" s="38" t="str">
        <f>IF($Q$23=0,"","👨 بابا")</f>
        <v>👨 بابا</v>
      </c>
      <c r="K56" s="39" t="str">
        <f>IF($Q$23=0,"",IF(INDEX('قاعدة البيانات'!$I$6:$I$305,$Q$23)="","— مفيش رقم —",HYPERLINK("tel:"&amp;INDEX('قاعدة البيانات'!$I$6:$I$305,$Q$23),"📞 "&amp;INDEX('قاعدة البيانات'!$I$6:$I$305,$Q$23))))</f>
        <v>📞 01060867397</v>
      </c>
      <c r="L56" s="40" t="str">
        <f>IF(OR($Q$23=0,INDEX('قاعدة البيانات'!$I$6:$I$305,$Q$23)=""),"",HYPERLINK("https://wa.me/20"&amp;RIGHT(INDEX('قاعدة البيانات'!$I$6:$I$305,$Q$23),10),"💬 واتساب"))</f>
        <v>💬 واتساب</v>
      </c>
    </row>
    <row r="57" spans="2:12" ht="37.5" customHeight="1">
      <c r="B57" s="124" t="str">
        <f>IF($Q$21=0,"","📍 "&amp;IF(INDEX('قاعدة البيانات'!$J$6:$J$305,$Q$21)="","— مفيش عنوان —",INDEX('قاعدة البيانات'!$J$6:$J$305,$Q$21)))</f>
        <v xml:space="preserve">📍 13 شارع الشيخ المنفلوطي، المليحة، حدائق القبة، القاهرة؛ الدور 8، شقة </v>
      </c>
      <c r="C57" s="124"/>
      <c r="D57" s="124"/>
      <c r="F57" s="124" t="str">
        <f>IF($Q$22=0,"","📍 "&amp;IF(INDEX('قاعدة البيانات'!$J$6:$J$305,$Q$22)="","— مفيش عنوان —",INDEX('قاعدة البيانات'!$J$6:$J$305,$Q$22)))</f>
        <v>📍 17 شارع صليب نخلة، المليحة، حدائق القبة، القاهرة؛ شقة 2، الدور 2</v>
      </c>
      <c r="G57" s="124"/>
      <c r="H57" s="124"/>
      <c r="J57" s="124" t="str">
        <f>IF($Q$23=0,"","📍 "&amp;IF(INDEX('قاعدة البيانات'!$J$6:$J$305,$Q$23)="","— مفيش عنوان —",INDEX('قاعدة البيانات'!$J$6:$J$305,$Q$23)))</f>
        <v>📍 11 شارع محمود سامي عامر، المليحة، حدائق القبة، القاهرة؛ الدور 6</v>
      </c>
      <c r="K57" s="124"/>
      <c r="L57" s="124"/>
    </row>
    <row r="58" spans="2:12" ht="21.75" customHeight="1">
      <c r="B58" s="125" t="str">
        <f>IF($Q$21=0,"","📊 إحصائيات الحضور")</f>
        <v>📊 إحصائيات الحضور</v>
      </c>
      <c r="C58" s="125"/>
      <c r="D58" s="125"/>
      <c r="F58" s="125" t="str">
        <f>IF($Q$22=0,"","📊 إحصائيات الحضور")</f>
        <v>📊 إحصائيات الحضور</v>
      </c>
      <c r="G58" s="125"/>
      <c r="H58" s="125"/>
      <c r="J58" s="125" t="str">
        <f>IF($Q$23=0,"","📊 إحصائيات الحضور")</f>
        <v>📊 إحصائيات الحضور</v>
      </c>
      <c r="K58" s="125"/>
      <c r="L58" s="125"/>
    </row>
    <row r="59" spans="2:12" ht="15.75" customHeight="1">
      <c r="B59" s="41" t="str">
        <f>IF($Q$21=0,"","✅ حضور")</f>
        <v>✅ حضور</v>
      </c>
      <c r="C59" s="41" t="str">
        <f>IF($Q$21=0,"","❌ غياب")</f>
        <v>❌ غياب</v>
      </c>
      <c r="D59" s="41" t="str">
        <f>IF($Q$21=0,"","📈 النسبة")</f>
        <v>📈 النسبة</v>
      </c>
      <c r="F59" s="41" t="str">
        <f>IF($Q$22=0,"","✅ حضور")</f>
        <v>✅ حضور</v>
      </c>
      <c r="G59" s="41" t="str">
        <f>IF($Q$22=0,"","❌ غياب")</f>
        <v>❌ غياب</v>
      </c>
      <c r="H59" s="41" t="str">
        <f>IF($Q$22=0,"","📈 النسبة")</f>
        <v>📈 النسبة</v>
      </c>
      <c r="J59" s="41" t="str">
        <f>IF($Q$23=0,"","✅ حضور")</f>
        <v>✅ حضور</v>
      </c>
      <c r="K59" s="41" t="str">
        <f>IF($Q$23=0,"","❌ غياب")</f>
        <v>❌ غياب</v>
      </c>
      <c r="L59" s="41" t="str">
        <f>IF($Q$23=0,"","📈 النسبة")</f>
        <v>📈 النسبة</v>
      </c>
    </row>
    <row r="60" spans="2:12" ht="33.75" customHeight="1">
      <c r="B60" s="42">
        <f>'حضور سوريال'!C19</f>
        <v>0</v>
      </c>
      <c r="C60" s="43">
        <f>'حضور سوريال'!D19</f>
        <v>0</v>
      </c>
      <c r="D60" s="44" t="str">
        <f>'حضور سوريال'!F19</f>
        <v/>
      </c>
      <c r="F60" s="42">
        <f>'حضور سوريال'!C20</f>
        <v>0</v>
      </c>
      <c r="G60" s="43">
        <f>'حضور سوريال'!D20</f>
        <v>0</v>
      </c>
      <c r="H60" s="44" t="str">
        <f>'حضور سوريال'!F20</f>
        <v/>
      </c>
      <c r="J60" s="42">
        <f>'حضور سوريال'!C21</f>
        <v>0</v>
      </c>
      <c r="K60" s="43">
        <f>'حضور سوريال'!D21</f>
        <v>0</v>
      </c>
      <c r="L60" s="44" t="str">
        <f>'حضور سوريال'!F21</f>
        <v/>
      </c>
    </row>
    <row r="61" spans="2:12" ht="24" customHeight="1">
      <c r="B61" s="126" t="str">
        <f>'حضور سوريال'!I19</f>
        <v>⏳ لسه مفيش حضور</v>
      </c>
      <c r="C61" s="126"/>
      <c r="D61" s="126"/>
      <c r="F61" s="126" t="str">
        <f>'حضور سوريال'!I20</f>
        <v>⏳ لسه مفيش حضور</v>
      </c>
      <c r="G61" s="126"/>
      <c r="H61" s="126"/>
      <c r="J61" s="126" t="str">
        <f>'حضور سوريال'!I21</f>
        <v>⏳ لسه مفيش حضور</v>
      </c>
      <c r="K61" s="126"/>
      <c r="L61" s="126"/>
    </row>
    <row r="62" spans="2:12" ht="19.5" customHeight="1">
      <c r="B62" s="127" t="str">
        <f>IF($Q$21=0,"","🗓️ آخر حضور: "&amp;IF(ISNUMBER('حضور سوريال'!H19),DAY('حضور سوريال'!H19)&amp;"/"&amp;MONTH('حضور سوريال'!H19)&amp;"/"&amp;YEAR('حضور سوريال'!H19),"—")&amp;"   •   غياب متتالي: "&amp;'حضور سوريال'!G19)</f>
        <v>🗓️ آخر حضور: —   •   غياب متتالي: 0</v>
      </c>
      <c r="C62" s="127"/>
      <c r="D62" s="127"/>
      <c r="F62" s="127" t="str">
        <f>IF($Q$22=0,"","🗓️ آخر حضور: "&amp;IF(ISNUMBER('حضور سوريال'!H20),DAY('حضور سوريال'!H20)&amp;"/"&amp;MONTH('حضور سوريال'!H20)&amp;"/"&amp;YEAR('حضور سوريال'!H20),"—")&amp;"   •   غياب متتالي: "&amp;'حضور سوريال'!G20)</f>
        <v>🗓️ آخر حضور: —   •   غياب متتالي: 0</v>
      </c>
      <c r="G62" s="127"/>
      <c r="H62" s="127"/>
      <c r="J62" s="127" t="str">
        <f>IF($Q$23=0,"","🗓️ آخر حضور: "&amp;IF(ISNUMBER('حضور سوريال'!H21),DAY('حضور سوريال'!H21)&amp;"/"&amp;MONTH('حضور سوريال'!H21)&amp;"/"&amp;YEAR('حضور سوريال'!H21),"—")&amp;"   •   غياب متتالي: "&amp;'حضور سوريال'!G21)</f>
        <v>🗓️ آخر حضور: —   •   غياب متتالي: 0</v>
      </c>
      <c r="K62" s="127"/>
      <c r="L62" s="127"/>
    </row>
    <row r="63" spans="2:12" ht="13.5" customHeight="1"/>
    <row r="64" spans="2:12" ht="30" customHeight="1">
      <c r="B64" s="122" t="str">
        <f>IF($Q$24=0,"",IF(INDEX('قاعدة البيانات'!$D$6:$D$305,$Q$24)="بنت","👧 ","👦 ")&amp;INDEX('قاعدة البيانات'!$C$6:$C$305,$Q$24))</f>
        <v>👦 كريس فيكتور الشحات</v>
      </c>
      <c r="C64" s="122"/>
      <c r="D64" s="122"/>
      <c r="F64" s="122" t="str">
        <f>IF($Q$25=0,"",IF(INDEX('قاعدة البيانات'!$D$6:$D$305,$Q$25)="بنت","👧 ","👦 ")&amp;INDEX('قاعدة البيانات'!$C$6:$C$305,$Q$25))</f>
        <v>👧 مريم نادر امين يعقوب حنا</v>
      </c>
      <c r="G64" s="122"/>
      <c r="H64" s="122"/>
      <c r="J64" s="122" t="str">
        <f>IF($Q$26=0,"",IF(INDEX('قاعدة البيانات'!$D$6:$D$305,$Q$26)="بنت","👧 ","👦 ")&amp;INDEX('قاعدة البيانات'!$C$6:$C$305,$Q$26))</f>
        <v>👧 كيريا مدحت كمال قاعود</v>
      </c>
      <c r="K64" s="122"/>
      <c r="L64" s="122"/>
    </row>
    <row r="65" spans="2:12" ht="108" customHeight="1">
      <c r="B65" s="37" t="e" vm="36">
        <f>IF($Q$24=0,"",IF(ISBLANK(INDEX('قاعدة البيانات'!$K$6:$K$305,$Q$24)),LEFT(INDEX('قاعدة البيانات'!$C$6:$C$305,$Q$24),1),INDEX('قاعدة البيانات'!$K$6:$K$305,$Q$24)))</f>
        <v>#VALUE!</v>
      </c>
      <c r="C65" s="123"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B-040
🎓 سنة تانية
🚶 يروح لوحده: —
📝 مفيش ملاحظات</v>
      </c>
      <c r="D65" s="123"/>
      <c r="F65" s="37" t="e" vm="37">
        <f>IF($Q$25=0,"",IF(ISBLANK(INDEX('قاعدة البيانات'!$K$6:$K$305,$Q$25)),LEFT(INDEX('قاعدة البيانات'!$C$6:$C$305,$Q$25),1),INDEX('قاعدة البيانات'!$K$6:$K$305,$Q$25)))</f>
        <v>#VALUE!</v>
      </c>
      <c r="G65" s="123"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B-041
🎓 سنة تانية
🚶 يروح لوحده: —
📝 مفيش ملاحظات</v>
      </c>
      <c r="H65" s="123"/>
      <c r="J65" s="37" t="e" vm="38">
        <f>IF($Q$26=0,"",IF(ISBLANK(INDEX('قاعدة البيانات'!$K$6:$K$305,$Q$26)),LEFT(INDEX('قاعدة البيانات'!$C$6:$C$305,$Q$26),1),INDEX('قاعدة البيانات'!$K$6:$K$305,$Q$26)))</f>
        <v>#VALUE!</v>
      </c>
      <c r="K65" s="123"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B-042
🎓 سنة تانية
🚶 يروح لوحده: —
📝 مفيش ملاحظات</v>
      </c>
      <c r="L65" s="123"/>
    </row>
    <row r="66" spans="2:12" ht="24" customHeight="1">
      <c r="B66" s="38" t="str">
        <f>IF($Q$24=0,"","👩 ماما")</f>
        <v>👩 ماما</v>
      </c>
      <c r="C66" s="39" t="str">
        <f>IF($Q$24=0,"",IF(INDEX('قاعدة البيانات'!$H$6:$H$305,$Q$24)="","— مفيش رقم —",HYPERLINK("tel:"&amp;INDEX('قاعدة البيانات'!$H$6:$H$305,$Q$24),"📞 "&amp;INDEX('قاعدة البيانات'!$H$6:$H$305,$Q$24))))</f>
        <v>📞 01094784210</v>
      </c>
      <c r="D66" s="40" t="str">
        <f>IF(OR($Q$24=0,INDEX('قاعدة البيانات'!$H$6:$H$305,$Q$24)=""),"",HYPERLINK("https://wa.me/20"&amp;RIGHT(INDEX('قاعدة البيانات'!$H$6:$H$305,$Q$24),10),"💬 واتساب"))</f>
        <v>💬 واتساب</v>
      </c>
      <c r="F66" s="38" t="str">
        <f>IF($Q$25=0,"","👩 ماما")</f>
        <v>👩 ماما</v>
      </c>
      <c r="G66" s="39" t="str">
        <f>IF($Q$25=0,"",IF(INDEX('قاعدة البيانات'!$H$6:$H$305,$Q$25)="","— مفيش رقم —",HYPERLINK("tel:"&amp;INDEX('قاعدة البيانات'!$H$6:$H$305,$Q$25),"📞 "&amp;INDEX('قاعدة البيانات'!$H$6:$H$305,$Q$25))))</f>
        <v>📞 01287124772</v>
      </c>
      <c r="H66" s="40" t="str">
        <f>IF(OR($Q$25=0,INDEX('قاعدة البيانات'!$H$6:$H$305,$Q$25)=""),"",HYPERLINK("https://wa.me/20"&amp;RIGHT(INDEX('قاعدة البيانات'!$H$6:$H$305,$Q$25),10),"💬 واتساب"))</f>
        <v>💬 واتساب</v>
      </c>
      <c r="J66" s="38" t="str">
        <f>IF($Q$26=0,"","👩 ماما")</f>
        <v>👩 ماما</v>
      </c>
      <c r="K66" s="39" t="str">
        <f>IF($Q$26=0,"",IF(INDEX('قاعدة البيانات'!$H$6:$H$305,$Q$26)="","— مفيش رقم —",HYPERLINK("tel:"&amp;INDEX('قاعدة البيانات'!$H$6:$H$305,$Q$26),"📞 "&amp;INDEX('قاعدة البيانات'!$H$6:$H$305,$Q$26))))</f>
        <v>📞 01284238840</v>
      </c>
      <c r="L66" s="40" t="str">
        <f>IF(OR($Q$26=0,INDEX('قاعدة البيانات'!$H$6:$H$305,$Q$26)=""),"",HYPERLINK("https://wa.me/20"&amp;RIGHT(INDEX('قاعدة البيانات'!$H$6:$H$305,$Q$26),10),"💬 واتساب"))</f>
        <v>💬 واتساب</v>
      </c>
    </row>
    <row r="67" spans="2:12" ht="24" customHeight="1">
      <c r="B67" s="38" t="str">
        <f>IF($Q$24=0,"","👨 بابا")</f>
        <v>👨 بابا</v>
      </c>
      <c r="C67" s="39" t="str">
        <f>IF($Q$24=0,"",IF(INDEX('قاعدة البيانات'!$I$6:$I$305,$Q$24)="","— مفيش رقم —",HYPERLINK("tel:"&amp;INDEX('قاعدة البيانات'!$I$6:$I$305,$Q$24),"📞 "&amp;INDEX('قاعدة البيانات'!$I$6:$I$305,$Q$24))))</f>
        <v>📞 01206016411</v>
      </c>
      <c r="D67" s="40" t="str">
        <f>IF(OR($Q$24=0,INDEX('قاعدة البيانات'!$I$6:$I$305,$Q$24)=""),"",HYPERLINK("https://wa.me/20"&amp;RIGHT(INDEX('قاعدة البيانات'!$I$6:$I$305,$Q$24),10),"💬 واتساب"))</f>
        <v>💬 واتساب</v>
      </c>
      <c r="F67" s="38" t="str">
        <f>IF($Q$25=0,"","👨 بابا")</f>
        <v>👨 بابا</v>
      </c>
      <c r="G67" s="39" t="str">
        <f>IF($Q$25=0,"",IF(INDEX('قاعدة البيانات'!$I$6:$I$305,$Q$25)="","— مفيش رقم —",HYPERLINK("tel:"&amp;INDEX('قاعدة البيانات'!$I$6:$I$305,$Q$25),"📞 "&amp;INDEX('قاعدة البيانات'!$I$6:$I$305,$Q$25))))</f>
        <v>📞 01227021759</v>
      </c>
      <c r="H67" s="40" t="str">
        <f>IF(OR($Q$25=0,INDEX('قاعدة البيانات'!$I$6:$I$305,$Q$25)=""),"",HYPERLINK("https://wa.me/20"&amp;RIGHT(INDEX('قاعدة البيانات'!$I$6:$I$305,$Q$25),10),"💬 واتساب"))</f>
        <v>💬 واتساب</v>
      </c>
      <c r="J67" s="38" t="str">
        <f>IF($Q$26=0,"","👨 بابا")</f>
        <v>👨 بابا</v>
      </c>
      <c r="K67" s="39" t="str">
        <f>IF($Q$26=0,"",IF(INDEX('قاعدة البيانات'!$I$6:$I$305,$Q$26)="","— مفيش رقم —",HYPERLINK("tel:"&amp;INDEX('قاعدة البيانات'!$I$6:$I$305,$Q$26),"📞 "&amp;INDEX('قاعدة البيانات'!$I$6:$I$305,$Q$26))))</f>
        <v>📞 01206387683</v>
      </c>
      <c r="L67" s="40" t="str">
        <f>IF(OR($Q$26=0,INDEX('قاعدة البيانات'!$I$6:$I$305,$Q$26)=""),"",HYPERLINK("https://wa.me/20"&amp;RIGHT(INDEX('قاعدة البيانات'!$I$6:$I$305,$Q$26),10),"💬 واتساب"))</f>
        <v>💬 واتساب</v>
      </c>
    </row>
    <row r="68" spans="2:12" ht="37.5" customHeight="1">
      <c r="B68" s="124" t="str">
        <f>IF($Q$24=0,"","📍 "&amp;IF(INDEX('قاعدة البيانات'!$J$6:$J$305,$Q$24)="","— مفيش عنوان —",INDEX('قاعدة البيانات'!$J$6:$J$305,$Q$24)))</f>
        <v>📍 17 شارع أحمد رشاد، النزهة، الإسكندرية؛ شقة 21، الدور 6</v>
      </c>
      <c r="C68" s="124"/>
      <c r="D68" s="124"/>
      <c r="F68" s="124" t="str">
        <f>IF($Q$25=0,"","📍 "&amp;IF(INDEX('قاعدة البيانات'!$J$6:$J$305,$Q$25)="","— مفيش عنوان —",INDEX('قاعدة البيانات'!$J$6:$J$305,$Q$25)))</f>
        <v>📍 24 شارع سعيد علي أحمد، المليحة، حدائق القبة، القاهرة</v>
      </c>
      <c r="G68" s="124"/>
      <c r="H68" s="124"/>
      <c r="J68" s="124" t="str">
        <f>IF($Q$26=0,"","📍 "&amp;IF(INDEX('قاعدة البيانات'!$J$6:$J$305,$Q$26)="","— مفيش عنوان —",INDEX('قاعدة البيانات'!$J$6:$J$305,$Q$26)))</f>
        <v>📍 3 شارع حسين العقبى، المليحة، حدائق القبة، القاهرة؛ الدور 4</v>
      </c>
      <c r="K68" s="124"/>
      <c r="L68" s="124"/>
    </row>
    <row r="69" spans="2:12" ht="21.75" customHeight="1">
      <c r="B69" s="125" t="str">
        <f>IF($Q$24=0,"","📊 إحصائيات الحضور")</f>
        <v>📊 إحصائيات الحضور</v>
      </c>
      <c r="C69" s="125"/>
      <c r="D69" s="125"/>
      <c r="F69" s="125" t="str">
        <f>IF($Q$25=0,"","📊 إحصائيات الحضور")</f>
        <v>📊 إحصائيات الحضور</v>
      </c>
      <c r="G69" s="125"/>
      <c r="H69" s="125"/>
      <c r="J69" s="125" t="str">
        <f>IF($Q$26=0,"","📊 إحصائيات الحضور")</f>
        <v>📊 إحصائيات الحضور</v>
      </c>
      <c r="K69" s="125"/>
      <c r="L69" s="125"/>
    </row>
    <row r="70" spans="2:12" ht="15.75" customHeight="1">
      <c r="B70" s="41" t="str">
        <f>IF($Q$24=0,"","✅ حضور")</f>
        <v>✅ حضور</v>
      </c>
      <c r="C70" s="41" t="str">
        <f>IF($Q$24=0,"","❌ غياب")</f>
        <v>❌ غياب</v>
      </c>
      <c r="D70" s="41" t="str">
        <f>IF($Q$24=0,"","📈 النسبة")</f>
        <v>📈 النسبة</v>
      </c>
      <c r="F70" s="41" t="str">
        <f>IF($Q$25=0,"","✅ حضور")</f>
        <v>✅ حضور</v>
      </c>
      <c r="G70" s="41" t="str">
        <f>IF($Q$25=0,"","❌ غياب")</f>
        <v>❌ غياب</v>
      </c>
      <c r="H70" s="41" t="str">
        <f>IF($Q$25=0,"","📈 النسبة")</f>
        <v>📈 النسبة</v>
      </c>
      <c r="J70" s="41" t="str">
        <f>IF($Q$26=0,"","✅ حضور")</f>
        <v>✅ حضور</v>
      </c>
      <c r="K70" s="41" t="str">
        <f>IF($Q$26=0,"","❌ غياب")</f>
        <v>❌ غياب</v>
      </c>
      <c r="L70" s="41" t="str">
        <f>IF($Q$26=0,"","📈 النسبة")</f>
        <v>📈 النسبة</v>
      </c>
    </row>
    <row r="71" spans="2:12" ht="33.75" customHeight="1">
      <c r="B71" s="42">
        <f>'حضور سوريال'!C22</f>
        <v>0</v>
      </c>
      <c r="C71" s="43">
        <f>'حضور سوريال'!D22</f>
        <v>0</v>
      </c>
      <c r="D71" s="44" t="str">
        <f>'حضور سوريال'!F22</f>
        <v/>
      </c>
      <c r="F71" s="42">
        <f>'حضور سوريال'!C23</f>
        <v>0</v>
      </c>
      <c r="G71" s="43">
        <f>'حضور سوريال'!D23</f>
        <v>0</v>
      </c>
      <c r="H71" s="44" t="str">
        <f>'حضور سوريال'!F23</f>
        <v/>
      </c>
      <c r="J71" s="42">
        <f>'حضور سوريال'!C24</f>
        <v>0</v>
      </c>
      <c r="K71" s="43">
        <f>'حضور سوريال'!D24</f>
        <v>0</v>
      </c>
      <c r="L71" s="44" t="str">
        <f>'حضور سوريال'!F24</f>
        <v/>
      </c>
    </row>
    <row r="72" spans="2:12" ht="24" customHeight="1">
      <c r="B72" s="126" t="str">
        <f>'حضور سوريال'!I22</f>
        <v>⏳ لسه مفيش حضور</v>
      </c>
      <c r="C72" s="126"/>
      <c r="D72" s="126"/>
      <c r="F72" s="126" t="str">
        <f>'حضور سوريال'!I23</f>
        <v>⏳ لسه مفيش حضور</v>
      </c>
      <c r="G72" s="126"/>
      <c r="H72" s="126"/>
      <c r="J72" s="126" t="str">
        <f>'حضور سوريال'!I24</f>
        <v>⏳ لسه مفيش حضور</v>
      </c>
      <c r="K72" s="126"/>
      <c r="L72" s="126"/>
    </row>
    <row r="73" spans="2:12" ht="19.5" customHeight="1">
      <c r="B73" s="127" t="str">
        <f>IF($Q$24=0,"","🗓️ آخر حضور: "&amp;IF(ISNUMBER('حضور سوريال'!H22),DAY('حضور سوريال'!H22)&amp;"/"&amp;MONTH('حضور سوريال'!H22)&amp;"/"&amp;YEAR('حضور سوريال'!H22),"—")&amp;"   •   غياب متتالي: "&amp;'حضور سوريال'!G22)</f>
        <v>🗓️ آخر حضور: —   •   غياب متتالي: 0</v>
      </c>
      <c r="C73" s="127"/>
      <c r="D73" s="127"/>
      <c r="F73" s="127" t="str">
        <f>IF($Q$25=0,"","🗓️ آخر حضور: "&amp;IF(ISNUMBER('حضور سوريال'!H23),DAY('حضور سوريال'!H23)&amp;"/"&amp;MONTH('حضور سوريال'!H23)&amp;"/"&amp;YEAR('حضور سوريال'!H23),"—")&amp;"   •   غياب متتالي: "&amp;'حضور سوريال'!G23)</f>
        <v>🗓️ آخر حضور: —   •   غياب متتالي: 0</v>
      </c>
      <c r="G73" s="127"/>
      <c r="H73" s="127"/>
      <c r="J73" s="127" t="str">
        <f>IF($Q$26=0,"","🗓️ آخر حضور: "&amp;IF(ISNUMBER('حضور سوريال'!H24),DAY('حضور سوريال'!H24)&amp;"/"&amp;MONTH('حضور سوريال'!H24)&amp;"/"&amp;YEAR('حضور سوريال'!H24),"—")&amp;"   •   غياب متتالي: "&amp;'حضور سوريال'!G24)</f>
        <v>🗓️ آخر حضور: —   •   غياب متتالي: 0</v>
      </c>
      <c r="K73" s="127"/>
      <c r="L73" s="127"/>
    </row>
    <row r="74" spans="2:12" ht="13.5" customHeight="1"/>
    <row r="75" spans="2:12" ht="30" customHeight="1">
      <c r="B75" s="122" t="str">
        <f>IF($Q$27=0,"",IF(INDEX('قاعدة البيانات'!$D$6:$D$305,$Q$27)="بنت","👧 ","👦 ")&amp;INDEX('قاعدة البيانات'!$C$6:$C$305,$Q$27))</f>
        <v>👦 تونی رومانی فخرى فرهود</v>
      </c>
      <c r="C75" s="122"/>
      <c r="D75" s="122"/>
      <c r="F75" s="122" t="str">
        <f>IF($Q$28=0,"",IF(INDEX('قاعدة البيانات'!$D$6:$D$305,$Q$28)="بنت","👧 ","👦 ")&amp;INDEX('قاعدة البيانات'!$C$6:$C$305,$Q$28))</f>
        <v>👧 مارتسيا سامح ميلاد</v>
      </c>
      <c r="G75" s="122"/>
      <c r="H75" s="122"/>
      <c r="J75" s="122" t="str">
        <f>IF($Q$29=0,"",IF(INDEX('قاعدة البيانات'!$D$6:$D$305,$Q$29)="بنت","👧 ","👦 ")&amp;INDEX('قاعدة البيانات'!$C$6:$C$305,$Q$29))</f>
        <v>👦 ماثيو مينا مجدى</v>
      </c>
      <c r="K75" s="122"/>
      <c r="L75" s="122"/>
    </row>
    <row r="76" spans="2:12" ht="108" customHeight="1">
      <c r="B76" s="37" t="e" vm="39">
        <f>IF($Q$27=0,"",IF(ISBLANK(INDEX('قاعدة البيانات'!$K$6:$K$305,$Q$27)),LEFT(INDEX('قاعدة البيانات'!$C$6:$C$305,$Q$27),1),INDEX('قاعدة البيانات'!$K$6:$K$305,$Q$27)))</f>
        <v>#VALUE!</v>
      </c>
      <c r="C76" s="123"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B-043
🎓 سنة تانية
🚶 يروح لوحده: —
📝 مفيش ملاحظات</v>
      </c>
      <c r="D76" s="123"/>
      <c r="F76" s="37" t="str">
        <f>IF($Q$28=0,"",IF(ISBLANK(INDEX('قاعدة البيانات'!$K$6:$K$305,$Q$28)),LEFT(INDEX('قاعدة البيانات'!$C$6:$C$305,$Q$28),1),INDEX('قاعدة البيانات'!$K$6:$K$305,$Q$28)))</f>
        <v>م</v>
      </c>
      <c r="G76" s="123"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كود: B-044
🎓 سنة تانية
🚶 يروح لوحده: —
📝 مفيش ملاحظات</v>
      </c>
      <c r="H76" s="123"/>
      <c r="J76" s="37" t="str">
        <f>IF($Q$29=0,"",IF(ISBLANK(INDEX('قاعدة البيانات'!$K$6:$K$305,$Q$29)),LEFT(INDEX('قاعدة البيانات'!$C$6:$C$305,$Q$29),1),INDEX('قاعدة البيانات'!$K$6:$K$305,$Q$29)))</f>
        <v>م</v>
      </c>
      <c r="K76" s="123"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كود: B-045
🎓 سنة تانية
🚶 يروح لوحده: —
📝 مفيش ملاحظات</v>
      </c>
      <c r="L76" s="123"/>
    </row>
    <row r="77" spans="2:12" ht="24" customHeight="1">
      <c r="B77" s="38" t="str">
        <f>IF($Q$27=0,"","👩 ماما")</f>
        <v>👩 ماما</v>
      </c>
      <c r="C77" s="39" t="str">
        <f>IF($Q$27=0,"",IF(INDEX('قاعدة البيانات'!$H$6:$H$305,$Q$27)="","— مفيش رقم —",HYPERLINK("tel:"&amp;INDEX('قاعدة البيانات'!$H$6:$H$305,$Q$27),"📞 "&amp;INDEX('قاعدة البيانات'!$H$6:$H$305,$Q$27))))</f>
        <v>📞 01227395565</v>
      </c>
      <c r="D77" s="40" t="str">
        <f>IF(OR($Q$27=0,INDEX('قاعدة البيانات'!$H$6:$H$305,$Q$27)=""),"",HYPERLINK("https://wa.me/20"&amp;RIGHT(INDEX('قاعدة البيانات'!$H$6:$H$305,$Q$27),10),"💬 واتساب"))</f>
        <v>💬 واتساب</v>
      </c>
      <c r="F77" s="38" t="str">
        <f>IF($Q$28=0,"","👩 ماما")</f>
        <v>👩 ماما</v>
      </c>
      <c r="G77" s="39" t="str">
        <f>IF($Q$28=0,"",IF(INDEX('قاعدة البيانات'!$H$6:$H$305,$Q$28)="","— مفيش رقم —",HYPERLINK("tel:"&amp;INDEX('قاعدة البيانات'!$H$6:$H$305,$Q$28),"📞 "&amp;INDEX('قاعدة البيانات'!$H$6:$H$305,$Q$28))))</f>
        <v>📞 01201432926</v>
      </c>
      <c r="H77" s="40" t="str">
        <f>IF(OR($Q$28=0,INDEX('قاعدة البيانات'!$H$6:$H$305,$Q$28)=""),"",HYPERLINK("https://wa.me/20"&amp;RIGHT(INDEX('قاعدة البيانات'!$H$6:$H$305,$Q$28),10),"💬 واتساب"))</f>
        <v>💬 واتساب</v>
      </c>
      <c r="J77" s="38" t="str">
        <f>IF($Q$29=0,"","👩 ماما")</f>
        <v>👩 ماما</v>
      </c>
      <c r="K77" s="39" t="str">
        <f>IF($Q$29=0,"",IF(INDEX('قاعدة البيانات'!$H$6:$H$305,$Q$29)="","— مفيش رقم —",HYPERLINK("tel:"&amp;INDEX('قاعدة البيانات'!$H$6:$H$305,$Q$29),"📞 "&amp;INDEX('قاعدة البيانات'!$H$6:$H$305,$Q$29))))</f>
        <v>📞 01208403031</v>
      </c>
      <c r="L77" s="40" t="str">
        <f>IF(OR($Q$29=0,INDEX('قاعدة البيانات'!$H$6:$H$305,$Q$29)=""),"",HYPERLINK("https://wa.me/20"&amp;RIGHT(INDEX('قاعدة البيانات'!$H$6:$H$305,$Q$29),10),"💬 واتساب"))</f>
        <v>💬 واتساب</v>
      </c>
    </row>
    <row r="78" spans="2:12" ht="24" customHeight="1">
      <c r="B78" s="38" t="str">
        <f>IF($Q$27=0,"","👨 بابا")</f>
        <v>👨 بابا</v>
      </c>
      <c r="C78" s="39" t="str">
        <f>IF($Q$27=0,"",IF(INDEX('قاعدة البيانات'!$I$6:$I$305,$Q$27)="","— مفيش رقم —",HYPERLINK("tel:"&amp;INDEX('قاعدة البيانات'!$I$6:$I$305,$Q$27),"📞 "&amp;INDEX('قاعدة البيانات'!$I$6:$I$305,$Q$27))))</f>
        <v>📞 01276392214</v>
      </c>
      <c r="D78" s="40" t="str">
        <f>IF(OR($Q$27=0,INDEX('قاعدة البيانات'!$I$6:$I$305,$Q$27)=""),"",HYPERLINK("https://wa.me/20"&amp;RIGHT(INDEX('قاعدة البيانات'!$I$6:$I$305,$Q$27),10),"💬 واتساب"))</f>
        <v>💬 واتساب</v>
      </c>
      <c r="F78" s="38" t="str">
        <f>IF($Q$28=0,"","👨 بابا")</f>
        <v>👨 بابا</v>
      </c>
      <c r="G78" s="39" t="str">
        <f>IF($Q$28=0,"",IF(INDEX('قاعدة البيانات'!$I$6:$I$305,$Q$28)="","— مفيش رقم —",HYPERLINK("tel:"&amp;INDEX('قاعدة البيانات'!$I$6:$I$305,$Q$28),"📞 "&amp;INDEX('قاعدة البيانات'!$I$6:$I$305,$Q$28))))</f>
        <v>📞 01201432926</v>
      </c>
      <c r="H78" s="40" t="str">
        <f>IF(OR($Q$28=0,INDEX('قاعدة البيانات'!$I$6:$I$305,$Q$28)=""),"",HYPERLINK("https://wa.me/20"&amp;RIGHT(INDEX('قاعدة البيانات'!$I$6:$I$305,$Q$28),10),"💬 واتساب"))</f>
        <v>💬 واتساب</v>
      </c>
      <c r="J78" s="38" t="str">
        <f>IF($Q$29=0,"","👨 بابا")</f>
        <v>👨 بابا</v>
      </c>
      <c r="K78" s="39" t="str">
        <f>IF($Q$29=0,"",IF(INDEX('قاعدة البيانات'!$I$6:$I$305,$Q$29)="","— مفيش رقم —",HYPERLINK("tel:"&amp;INDEX('قاعدة البيانات'!$I$6:$I$305,$Q$29),"📞 "&amp;INDEX('قاعدة البيانات'!$I$6:$I$305,$Q$29))))</f>
        <v>📞 01208403031</v>
      </c>
      <c r="L78" s="40" t="str">
        <f>IF(OR($Q$29=0,INDEX('قاعدة البيانات'!$I$6:$I$305,$Q$29)=""),"",HYPERLINK("https://wa.me/20"&amp;RIGHT(INDEX('قاعدة البيانات'!$I$6:$I$305,$Q$29),10),"💬 واتساب"))</f>
        <v>💬 واتساب</v>
      </c>
    </row>
    <row r="79" spans="2:12" ht="37.5" customHeight="1">
      <c r="B79" s="124" t="str">
        <f>IF($Q$27=0,"","📍 "&amp;IF(INDEX('قاعدة البيانات'!$J$6:$J$305,$Q$27)="","— مفيش عنوان —",INDEX('قاعدة البيانات'!$J$6:$J$305,$Q$27)))</f>
        <v>📍 22 شارع علي شعراوي، المليحة، حدائق القبة، القاهرة؛ الدور 2، شقة 8</v>
      </c>
      <c r="C79" s="124"/>
      <c r="D79" s="124"/>
      <c r="F79" s="124" t="str">
        <f>IF($Q$28=0,"","📍 "&amp;IF(INDEX('قاعدة البيانات'!$J$6:$J$305,$Q$28)="","— مفيش عنوان —",INDEX('قاعدة البيانات'!$J$6:$J$305,$Q$28)))</f>
        <v>📍 15 شارع فوزي كيرلس، منطقة 5، المليحة، حدائق القبة، القاهرة؛ الدور 4</v>
      </c>
      <c r="G79" s="124"/>
      <c r="H79" s="124"/>
      <c r="J79" s="124" t="str">
        <f>IF($Q$29=0,"","📍 "&amp;IF(INDEX('قاعدة البيانات'!$J$6:$J$305,$Q$29)="","— مفيش عنوان —",INDEX('قاعدة البيانات'!$J$6:$J$305,$Q$29)))</f>
        <v>📍 12 شارع روفائيل سليمان، المليحة، حدائق القبة، القاهرة؛ شقة 12، الدور 12</v>
      </c>
      <c r="K79" s="124"/>
      <c r="L79" s="124"/>
    </row>
    <row r="80" spans="2:12" ht="21.75" customHeight="1">
      <c r="B80" s="125" t="str">
        <f>IF($Q$27=0,"","📊 إحصائيات الحضور")</f>
        <v>📊 إحصائيات الحضور</v>
      </c>
      <c r="C80" s="125"/>
      <c r="D80" s="125"/>
      <c r="F80" s="125" t="str">
        <f>IF($Q$28=0,"","📊 إحصائيات الحضور")</f>
        <v>📊 إحصائيات الحضور</v>
      </c>
      <c r="G80" s="125"/>
      <c r="H80" s="125"/>
      <c r="J80" s="125" t="str">
        <f>IF($Q$29=0,"","📊 إحصائيات الحضور")</f>
        <v>📊 إحصائيات الحضور</v>
      </c>
      <c r="K80" s="125"/>
      <c r="L80" s="125"/>
    </row>
    <row r="81" spans="2:12" ht="15.75" customHeight="1">
      <c r="B81" s="41" t="str">
        <f>IF($Q$27=0,"","✅ حضور")</f>
        <v>✅ حضور</v>
      </c>
      <c r="C81" s="41" t="str">
        <f>IF($Q$27=0,"","❌ غياب")</f>
        <v>❌ غياب</v>
      </c>
      <c r="D81" s="41" t="str">
        <f>IF($Q$27=0,"","📈 النسبة")</f>
        <v>📈 النسبة</v>
      </c>
      <c r="F81" s="41" t="str">
        <f>IF($Q$28=0,"","✅ حضور")</f>
        <v>✅ حضور</v>
      </c>
      <c r="G81" s="41" t="str">
        <f>IF($Q$28=0,"","❌ غياب")</f>
        <v>❌ غياب</v>
      </c>
      <c r="H81" s="41" t="str">
        <f>IF($Q$28=0,"","📈 النسبة")</f>
        <v>📈 النسبة</v>
      </c>
      <c r="J81" s="41" t="str">
        <f>IF($Q$29=0,"","✅ حضور")</f>
        <v>✅ حضور</v>
      </c>
      <c r="K81" s="41" t="str">
        <f>IF($Q$29=0,"","❌ غياب")</f>
        <v>❌ غياب</v>
      </c>
      <c r="L81" s="41" t="str">
        <f>IF($Q$29=0,"","📈 النسبة")</f>
        <v>📈 النسبة</v>
      </c>
    </row>
    <row r="82" spans="2:12" ht="33.75" customHeight="1">
      <c r="B82" s="42">
        <f>'حضور سوريال'!C25</f>
        <v>0</v>
      </c>
      <c r="C82" s="43">
        <f>'حضور سوريال'!D25</f>
        <v>0</v>
      </c>
      <c r="D82" s="44" t="str">
        <f>'حضور سوريال'!F25</f>
        <v/>
      </c>
      <c r="F82" s="42">
        <f>'حضور سوريال'!C26</f>
        <v>0</v>
      </c>
      <c r="G82" s="43">
        <f>'حضور سوريال'!D26</f>
        <v>0</v>
      </c>
      <c r="H82" s="44" t="str">
        <f>'حضور سوريال'!F26</f>
        <v/>
      </c>
      <c r="J82" s="42">
        <f>'حضور سوريال'!C27</f>
        <v>0</v>
      </c>
      <c r="K82" s="43">
        <f>'حضور سوريال'!D27</f>
        <v>0</v>
      </c>
      <c r="L82" s="44" t="str">
        <f>'حضور سوريال'!F27</f>
        <v/>
      </c>
    </row>
    <row r="83" spans="2:12" ht="24" customHeight="1">
      <c r="B83" s="126" t="str">
        <f>'حضور سوريال'!I25</f>
        <v>⏳ لسه مفيش حضور</v>
      </c>
      <c r="C83" s="126"/>
      <c r="D83" s="126"/>
      <c r="F83" s="126" t="str">
        <f>'حضور سوريال'!I26</f>
        <v>⏳ لسه مفيش حضور</v>
      </c>
      <c r="G83" s="126"/>
      <c r="H83" s="126"/>
      <c r="J83" s="126" t="str">
        <f>'حضور سوريال'!I27</f>
        <v>⏳ لسه مفيش حضور</v>
      </c>
      <c r="K83" s="126"/>
      <c r="L83" s="126"/>
    </row>
    <row r="84" spans="2:12" ht="19.5" customHeight="1">
      <c r="B84" s="127" t="str">
        <f>IF($Q$27=0,"","🗓️ آخر حضور: "&amp;IF(ISNUMBER('حضور سوريال'!H25),DAY('حضور سوريال'!H25)&amp;"/"&amp;MONTH('حضور سوريال'!H25)&amp;"/"&amp;YEAR('حضور سوريال'!H25),"—")&amp;"   •   غياب متتالي: "&amp;'حضور سوريال'!G25)</f>
        <v>🗓️ آخر حضور: —   •   غياب متتالي: 0</v>
      </c>
      <c r="C84" s="127"/>
      <c r="D84" s="127"/>
      <c r="F84" s="127" t="str">
        <f>IF($Q$28=0,"","🗓️ آخر حضور: "&amp;IF(ISNUMBER('حضور سوريال'!H26),DAY('حضور سوريال'!H26)&amp;"/"&amp;MONTH('حضور سوريال'!H26)&amp;"/"&amp;YEAR('حضور سوريال'!H26),"—")&amp;"   •   غياب متتالي: "&amp;'حضور سوريال'!G26)</f>
        <v>🗓️ آخر حضور: —   •   غياب متتالي: 0</v>
      </c>
      <c r="G84" s="127"/>
      <c r="H84" s="127"/>
      <c r="J84" s="127" t="str">
        <f>IF($Q$29=0,"","🗓️ آخر حضور: "&amp;IF(ISNUMBER('حضور سوريال'!H27),DAY('حضور سوريال'!H27)&amp;"/"&amp;MONTH('حضور سوريال'!H27)&amp;"/"&amp;YEAR('حضور سوريال'!H27),"—")&amp;"   •   غياب متتالي: "&amp;'حضور سوريال'!G27)</f>
        <v>🗓️ آخر حضور: —   •   غياب متتالي: 0</v>
      </c>
      <c r="K84" s="127"/>
      <c r="L84" s="127"/>
    </row>
    <row r="85" spans="2:12" ht="13.5" customHeight="1"/>
    <row r="86" spans="2:12" ht="30" customHeight="1">
      <c r="B86" s="122" t="str">
        <f>IF($Q$30=0,"",IF(INDEX('قاعدة البيانات'!$D$6:$D$305,$Q$30)="بنت","👧 ","👦 ")&amp;INDEX('قاعدة البيانات'!$C$6:$C$305,$Q$30))</f>
        <v>👦 كاراس سمير توفيق شفيق</v>
      </c>
      <c r="C86" s="122"/>
      <c r="D86" s="122"/>
      <c r="F86" s="122" t="str">
        <f>IF($Q$31=0,"",IF(INDEX('قاعدة البيانات'!$D$6:$D$305,$Q$31)="بنت","👧 ","👦 ")&amp;INDEX('قاعدة البيانات'!$C$6:$C$305,$Q$31))</f>
        <v>👦 روفانيو مينا ناجى</v>
      </c>
      <c r="G86" s="122"/>
      <c r="H86" s="122"/>
      <c r="J86" s="122" t="str">
        <f>IF($Q$32=0,"",IF(INDEX('قاعدة البيانات'!$D$6:$D$305,$Q$32)="بنت","👧 ","👦 ")&amp;INDEX('قاعدة البيانات'!$C$6:$C$305,$Q$32))</f>
        <v>👦 مارك مايكل نبيل نجيب</v>
      </c>
      <c r="K86" s="122"/>
      <c r="L86" s="122"/>
    </row>
    <row r="87" spans="2:12" ht="108" customHeight="1">
      <c r="B87" s="37" t="e" vm="40">
        <f>IF($Q$30=0,"",IF(ISBLANK(INDEX('قاعدة البيانات'!$K$6:$K$305,$Q$30)),LEFT(INDEX('قاعدة البيانات'!$C$6:$C$305,$Q$30),1),INDEX('قاعدة البيانات'!$K$6:$K$305,$Q$30)))</f>
        <v>#VALUE!</v>
      </c>
      <c r="C87" s="123"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كود: B-046
🎓 سنة تانية
🚶 يروح لوحده: —
📝 مفيش ملاحظات</v>
      </c>
      <c r="D87" s="123"/>
      <c r="F87" s="37" t="str">
        <f>IF($Q$31=0,"",IF(ISBLANK(INDEX('قاعدة البيانات'!$K$6:$K$305,$Q$31)),LEFT(INDEX('قاعدة البيانات'!$C$6:$C$305,$Q$31),1),INDEX('قاعدة البيانات'!$K$6:$K$305,$Q$31)))</f>
        <v>ر</v>
      </c>
      <c r="G87" s="123"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كود: B-047
🎓 سنة تانية
🚶 يروح لوحده: —
📝 مفيش ملاحظات</v>
      </c>
      <c r="H87" s="123"/>
      <c r="J87" s="37" t="str">
        <f>IF($Q$32=0,"",IF(ISBLANK(INDEX('قاعدة البيانات'!$K$6:$K$305,$Q$32)),LEFT(INDEX('قاعدة البيانات'!$C$6:$C$305,$Q$32),1),INDEX('قاعدة البيانات'!$K$6:$K$305,$Q$32)))</f>
        <v>م</v>
      </c>
      <c r="K87" s="123"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كود: B-048
🎓 سنة تانية
🚶 يروح لوحده: —
📝 مفيش ملاحظات</v>
      </c>
      <c r="L87" s="123"/>
    </row>
    <row r="88" spans="2:12" ht="24" customHeight="1">
      <c r="B88" s="38" t="str">
        <f>IF($Q$30=0,"","👩 ماما")</f>
        <v>👩 ماما</v>
      </c>
      <c r="C88" s="39" t="str">
        <f>IF($Q$30=0,"",IF(INDEX('قاعدة البيانات'!$H$6:$H$305,$Q$30)="","— مفيش رقم —",HYPERLINK("tel:"&amp;INDEX('قاعدة البيانات'!$H$6:$H$305,$Q$30),"📞 "&amp;INDEX('قاعدة البيانات'!$H$6:$H$305,$Q$30))))</f>
        <v>📞 01211025537</v>
      </c>
      <c r="D88" s="40" t="str">
        <f>IF(OR($Q$30=0,INDEX('قاعدة البيانات'!$H$6:$H$305,$Q$30)=""),"",HYPERLINK("https://wa.me/20"&amp;RIGHT(INDEX('قاعدة البيانات'!$H$6:$H$305,$Q$30),10),"💬 واتساب"))</f>
        <v>💬 واتساب</v>
      </c>
      <c r="F88" s="38" t="str">
        <f>IF($Q$31=0,"","👩 ماما")</f>
        <v>👩 ماما</v>
      </c>
      <c r="G88" s="39" t="str">
        <f>IF($Q$31=0,"",IF(INDEX('قاعدة البيانات'!$H$6:$H$305,$Q$31)="","— مفيش رقم —",HYPERLINK("tel:"&amp;INDEX('قاعدة البيانات'!$H$6:$H$305,$Q$31),"📞 "&amp;INDEX('قاعدة البيانات'!$H$6:$H$305,$Q$31))))</f>
        <v>📞 01220413105</v>
      </c>
      <c r="H88" s="40" t="str">
        <f>IF(OR($Q$31=0,INDEX('قاعدة البيانات'!$H$6:$H$305,$Q$31)=""),"",HYPERLINK("https://wa.me/20"&amp;RIGHT(INDEX('قاعدة البيانات'!$H$6:$H$305,$Q$31),10),"💬 واتساب"))</f>
        <v>💬 واتساب</v>
      </c>
      <c r="J88" s="38" t="str">
        <f>IF($Q$32=0,"","👩 ماما")</f>
        <v>👩 ماما</v>
      </c>
      <c r="K88" s="39" t="str">
        <f>IF($Q$32=0,"",IF(INDEX('قاعدة البيانات'!$H$6:$H$305,$Q$32)="","— مفيش رقم —",HYPERLINK("tel:"&amp;INDEX('قاعدة البيانات'!$H$6:$H$305,$Q$32),"📞 "&amp;INDEX('قاعدة البيانات'!$H$6:$H$305,$Q$32))))</f>
        <v>📞 01286886002</v>
      </c>
      <c r="L88" s="40" t="str">
        <f>IF(OR($Q$32=0,INDEX('قاعدة البيانات'!$H$6:$H$305,$Q$32)=""),"",HYPERLINK("https://wa.me/20"&amp;RIGHT(INDEX('قاعدة البيانات'!$H$6:$H$305,$Q$32),10),"💬 واتساب"))</f>
        <v>💬 واتساب</v>
      </c>
    </row>
    <row r="89" spans="2:12" ht="24" customHeight="1">
      <c r="B89" s="38" t="str">
        <f>IF($Q$30=0,"","👨 بابا")</f>
        <v>👨 بابا</v>
      </c>
      <c r="C89" s="39" t="str">
        <f>IF($Q$30=0,"",IF(INDEX('قاعدة البيانات'!$I$6:$I$305,$Q$30)="","— مفيش رقم —",HYPERLINK("tel:"&amp;INDEX('قاعدة البيانات'!$I$6:$I$305,$Q$30),"📞 "&amp;INDEX('قاعدة البيانات'!$I$6:$I$305,$Q$30))))</f>
        <v>📞 01201449110</v>
      </c>
      <c r="D89" s="40" t="str">
        <f>IF(OR($Q$30=0,INDEX('قاعدة البيانات'!$I$6:$I$305,$Q$30)=""),"",HYPERLINK("https://wa.me/20"&amp;RIGHT(INDEX('قاعدة البيانات'!$I$6:$I$305,$Q$30),10),"💬 واتساب"))</f>
        <v>💬 واتساب</v>
      </c>
      <c r="F89" s="38" t="str">
        <f>IF($Q$31=0,"","👨 بابا")</f>
        <v>👨 بابا</v>
      </c>
      <c r="G89" s="39" t="str">
        <f>IF($Q$31=0,"",IF(INDEX('قاعدة البيانات'!$I$6:$I$305,$Q$31)="","— مفيش رقم —",HYPERLINK("tel:"&amp;INDEX('قاعدة البيانات'!$I$6:$I$305,$Q$31),"📞 "&amp;INDEX('قاعدة البيانات'!$I$6:$I$305,$Q$31))))</f>
        <v>📞 01202730132</v>
      </c>
      <c r="H89" s="40" t="str">
        <f>IF(OR($Q$31=0,INDEX('قاعدة البيانات'!$I$6:$I$305,$Q$31)=""),"",HYPERLINK("https://wa.me/20"&amp;RIGHT(INDEX('قاعدة البيانات'!$I$6:$I$305,$Q$31),10),"💬 واتساب"))</f>
        <v>💬 واتساب</v>
      </c>
      <c r="J89" s="38" t="str">
        <f>IF($Q$32=0,"","👨 بابا")</f>
        <v>👨 بابا</v>
      </c>
      <c r="K89" s="39" t="str">
        <f>IF($Q$32=0,"",IF(INDEX('قاعدة البيانات'!$I$6:$I$305,$Q$32)="","— مفيش رقم —",HYPERLINK("tel:"&amp;INDEX('قاعدة البيانات'!$I$6:$I$305,$Q$32),"📞 "&amp;INDEX('قاعدة البيانات'!$I$6:$I$305,$Q$32))))</f>
        <v>📞 01286886002</v>
      </c>
      <c r="L89" s="40" t="str">
        <f>IF(OR($Q$32=0,INDEX('قاعدة البيانات'!$I$6:$I$305,$Q$32)=""),"",HYPERLINK("https://wa.me/20"&amp;RIGHT(INDEX('قاعدة البيانات'!$I$6:$I$305,$Q$32),10),"💬 واتساب"))</f>
        <v>💬 واتساب</v>
      </c>
    </row>
    <row r="90" spans="2:12" ht="37.5" customHeight="1">
      <c r="B90" s="124" t="str">
        <f>IF($Q$30=0,"","📍 "&amp;IF(INDEX('قاعدة البيانات'!$J$6:$J$305,$Q$30)="","— مفيش عنوان —",INDEX('قاعدة البيانات'!$J$6:$J$305,$Q$30)))</f>
        <v>📍 30 شارع دياب فهمي، المليحة، حدائق القبة، القاهرة؛ شقة 7، الدور 4</v>
      </c>
      <c r="C90" s="124"/>
      <c r="D90" s="124"/>
      <c r="F90" s="124" t="str">
        <f>IF($Q$31=0,"","📍 "&amp;IF(INDEX('قاعدة البيانات'!$J$6:$J$305,$Q$31)="","— مفيش عنوان —",INDEX('قاعدة البيانات'!$J$6:$J$305,$Q$31)))</f>
        <v>📍 39 شارع الحضانة رقم أول مكرر، عزبة منصور، شبرا الخيمة، القليوبية</v>
      </c>
      <c r="G90" s="124"/>
      <c r="H90" s="124"/>
      <c r="J90" s="124" t="str">
        <f>IF($Q$32=0,"","📍 "&amp;IF(INDEX('قاعدة البيانات'!$J$6:$J$305,$Q$32)="","— مفيش عنوان —",INDEX('قاعدة البيانات'!$J$6:$J$305,$Q$32)))</f>
        <v>📍 863 شارع بورسعيد، المليحة، حدائق القبة، القاهرة؛ الدور الأرضي شمال السلم</v>
      </c>
      <c r="K90" s="124"/>
      <c r="L90" s="124"/>
    </row>
    <row r="91" spans="2:12" ht="21.75" customHeight="1">
      <c r="B91" s="125" t="str">
        <f>IF($Q$30=0,"","📊 إحصائيات الحضور")</f>
        <v>📊 إحصائيات الحضور</v>
      </c>
      <c r="C91" s="125"/>
      <c r="D91" s="125"/>
      <c r="F91" s="125" t="str">
        <f>IF($Q$31=0,"","📊 إحصائيات الحضور")</f>
        <v>📊 إحصائيات الحضور</v>
      </c>
      <c r="G91" s="125"/>
      <c r="H91" s="125"/>
      <c r="J91" s="125" t="str">
        <f>IF($Q$32=0,"","📊 إحصائيات الحضور")</f>
        <v>📊 إحصائيات الحضور</v>
      </c>
      <c r="K91" s="125"/>
      <c r="L91" s="125"/>
    </row>
    <row r="92" spans="2:12" ht="15.75" customHeight="1">
      <c r="B92" s="41" t="str">
        <f>IF($Q$30=0,"","✅ حضور")</f>
        <v>✅ حضور</v>
      </c>
      <c r="C92" s="41" t="str">
        <f>IF($Q$30=0,"","❌ غياب")</f>
        <v>❌ غياب</v>
      </c>
      <c r="D92" s="41" t="str">
        <f>IF($Q$30=0,"","📈 النسبة")</f>
        <v>📈 النسبة</v>
      </c>
      <c r="F92" s="41" t="str">
        <f>IF($Q$31=0,"","✅ حضور")</f>
        <v>✅ حضور</v>
      </c>
      <c r="G92" s="41" t="str">
        <f>IF($Q$31=0,"","❌ غياب")</f>
        <v>❌ غياب</v>
      </c>
      <c r="H92" s="41" t="str">
        <f>IF($Q$31=0,"","📈 النسبة")</f>
        <v>📈 النسبة</v>
      </c>
      <c r="J92" s="41" t="str">
        <f>IF($Q$32=0,"","✅ حضور")</f>
        <v>✅ حضور</v>
      </c>
      <c r="K92" s="41" t="str">
        <f>IF($Q$32=0,"","❌ غياب")</f>
        <v>❌ غياب</v>
      </c>
      <c r="L92" s="41" t="str">
        <f>IF($Q$32=0,"","📈 النسبة")</f>
        <v>📈 النسبة</v>
      </c>
    </row>
    <row r="93" spans="2:12" ht="33.75" customHeight="1">
      <c r="B93" s="42">
        <f>'حضور سوريال'!C28</f>
        <v>0</v>
      </c>
      <c r="C93" s="43">
        <f>'حضور سوريال'!D28</f>
        <v>0</v>
      </c>
      <c r="D93" s="44" t="str">
        <f>'حضور سوريال'!F28</f>
        <v/>
      </c>
      <c r="F93" s="42">
        <f>'حضور سوريال'!C29</f>
        <v>0</v>
      </c>
      <c r="G93" s="43">
        <f>'حضور سوريال'!D29</f>
        <v>0</v>
      </c>
      <c r="H93" s="44" t="str">
        <f>'حضور سوريال'!F29</f>
        <v/>
      </c>
      <c r="J93" s="42">
        <f>'حضور سوريال'!C30</f>
        <v>0</v>
      </c>
      <c r="K93" s="43">
        <f>'حضور سوريال'!D30</f>
        <v>0</v>
      </c>
      <c r="L93" s="44" t="str">
        <f>'حضور سوريال'!F30</f>
        <v/>
      </c>
    </row>
    <row r="94" spans="2:12" ht="24" customHeight="1">
      <c r="B94" s="126" t="str">
        <f>'حضور سوريال'!I28</f>
        <v>⏳ لسه مفيش حضور</v>
      </c>
      <c r="C94" s="126"/>
      <c r="D94" s="126"/>
      <c r="F94" s="126" t="str">
        <f>'حضور سوريال'!I29</f>
        <v>⏳ لسه مفيش حضور</v>
      </c>
      <c r="G94" s="126"/>
      <c r="H94" s="126"/>
      <c r="J94" s="126" t="str">
        <f>'حضور سوريال'!I30</f>
        <v>⏳ لسه مفيش حضور</v>
      </c>
      <c r="K94" s="126"/>
      <c r="L94" s="126"/>
    </row>
    <row r="95" spans="2:12" ht="19.5" customHeight="1">
      <c r="B95" s="127" t="str">
        <f>IF($Q$30=0,"","🗓️ آخر حضور: "&amp;IF(ISNUMBER('حضور سوريال'!H28),DAY('حضور سوريال'!H28)&amp;"/"&amp;MONTH('حضور سوريال'!H28)&amp;"/"&amp;YEAR('حضور سوريال'!H28),"—")&amp;"   •   غياب متتالي: "&amp;'حضور سوريال'!G28)</f>
        <v>🗓️ آخر حضور: —   •   غياب متتالي: 0</v>
      </c>
      <c r="C95" s="127"/>
      <c r="D95" s="127"/>
      <c r="F95" s="127" t="str">
        <f>IF($Q$31=0,"","🗓️ آخر حضور: "&amp;IF(ISNUMBER('حضور سوريال'!H29),DAY('حضور سوريال'!H29)&amp;"/"&amp;MONTH('حضور سوريال'!H29)&amp;"/"&amp;YEAR('حضور سوريال'!H29),"—")&amp;"   •   غياب متتالي: "&amp;'حضور سوريال'!G29)</f>
        <v>🗓️ آخر حضور: —   •   غياب متتالي: 0</v>
      </c>
      <c r="G95" s="127"/>
      <c r="H95" s="127"/>
      <c r="J95" s="127" t="str">
        <f>IF($Q$32=0,"","🗓️ آخر حضور: "&amp;IF(ISNUMBER('حضور سوريال'!H30),DAY('حضور سوريال'!H30)&amp;"/"&amp;MONTH('حضور سوريال'!H30)&amp;"/"&amp;YEAR('حضور سوريال'!H30),"—")&amp;"   •   غياب متتالي: "&amp;'حضور سوريال'!G30)</f>
        <v>🗓️ آخر حضور: —   •   غياب متتالي: 0</v>
      </c>
      <c r="K95" s="127"/>
      <c r="L95" s="127"/>
    </row>
    <row r="96" spans="2:12" ht="13.5" customHeight="1"/>
    <row r="97" spans="2:12" ht="30" customHeight="1">
      <c r="B97" s="122" t="str">
        <f>IF($Q$33=0,"",IF(INDEX('قاعدة البيانات'!$D$6:$D$305,$Q$33)="بنت","👧 ","👦 ")&amp;INDEX('قاعدة البيانات'!$C$6:$C$305,$Q$33))</f>
        <v/>
      </c>
      <c r="C97" s="122"/>
      <c r="D97" s="122"/>
      <c r="F97" s="122" t="str">
        <f>IF($Q$34=0,"",IF(INDEX('قاعدة البيانات'!$D$6:$D$305,$Q$34)="بنت","👧 ","👦 ")&amp;INDEX('قاعدة البيانات'!$C$6:$C$305,$Q$34))</f>
        <v/>
      </c>
      <c r="G97" s="122"/>
      <c r="H97" s="122"/>
      <c r="J97" s="122" t="str">
        <f>IF($Q$35=0,"",IF(INDEX('قاعدة البيانات'!$D$6:$D$305,$Q$35)="بنت","👧 ","👦 ")&amp;INDEX('قاعدة البيانات'!$C$6:$C$305,$Q$35))</f>
        <v/>
      </c>
      <c r="K97" s="122"/>
      <c r="L97" s="122"/>
    </row>
    <row r="98" spans="2:12" ht="108" customHeight="1">
      <c r="B98" s="37" t="str">
        <f>IF($Q$33=0,"",IF(ISBLANK(INDEX('قاعدة البيانات'!$K$6:$K$305,$Q$33)),LEFT(INDEX('قاعدة البيانات'!$C$6:$C$305,$Q$33),1),INDEX('قاعدة البيانات'!$K$6:$K$305,$Q$33)))</f>
        <v/>
      </c>
      <c r="C98" s="123"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23"/>
      <c r="F98" s="37" t="str">
        <f>IF($Q$34=0,"",IF(ISBLANK(INDEX('قاعدة البيانات'!$K$6:$K$305,$Q$34)),LEFT(INDEX('قاعدة البيانات'!$C$6:$C$305,$Q$34),1),INDEX('قاعدة البيانات'!$K$6:$K$305,$Q$34)))</f>
        <v/>
      </c>
      <c r="G98" s="123"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23"/>
      <c r="J98" s="37" t="str">
        <f>IF($Q$35=0,"",IF(ISBLANK(INDEX('قاعدة البيانات'!$K$6:$K$305,$Q$35)),LEFT(INDEX('قاعدة البيانات'!$C$6:$C$305,$Q$35),1),INDEX('قاعدة البيانات'!$K$6:$K$305,$Q$35)))</f>
        <v/>
      </c>
      <c r="K98" s="123"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23"/>
    </row>
    <row r="99" spans="2:12" ht="24" customHeight="1">
      <c r="B99" s="38" t="str">
        <f>IF($Q$33=0,"","👩 ماما")</f>
        <v/>
      </c>
      <c r="C99" s="39" t="str">
        <f>IF($Q$33=0,"",IF(INDEX('قاعدة البيانات'!$H$6:$H$305,$Q$33)="","— مفيش رقم —",HYPERLINK("tel:"&amp;INDEX('قاعدة البيانات'!$H$6:$H$305,$Q$33),"📞 "&amp;INDEX('قاعدة البيانات'!$H$6:$H$305,$Q$33))))</f>
        <v/>
      </c>
      <c r="D99" s="40" t="str">
        <f>IF(OR($Q$33=0,INDEX('قاعدة البيانات'!$H$6:$H$305,$Q$33)=""),"",HYPERLINK("https://wa.me/20"&amp;RIGHT(INDEX('قاعدة البيانات'!$H$6:$H$305,$Q$33),10),"💬 واتساب"))</f>
        <v/>
      </c>
      <c r="F99" s="38" t="str">
        <f>IF($Q$34=0,"","👩 ماما")</f>
        <v/>
      </c>
      <c r="G99" s="39" t="str">
        <f>IF($Q$34=0,"",IF(INDEX('قاعدة البيانات'!$H$6:$H$305,$Q$34)="","— مفيش رقم —",HYPERLINK("tel:"&amp;INDEX('قاعدة البيانات'!$H$6:$H$305,$Q$34),"📞 "&amp;INDEX('قاعدة البيانات'!$H$6:$H$305,$Q$34))))</f>
        <v/>
      </c>
      <c r="H99" s="40" t="str">
        <f>IF(OR($Q$34=0,INDEX('قاعدة البيانات'!$H$6:$H$305,$Q$34)=""),"",HYPERLINK("https://wa.me/20"&amp;RIGHT(INDEX('قاعدة البيانات'!$H$6:$H$305,$Q$34),10),"💬 واتساب"))</f>
        <v/>
      </c>
      <c r="J99" s="38" t="str">
        <f>IF($Q$35=0,"","👩 ماما")</f>
        <v/>
      </c>
      <c r="K99" s="39" t="str">
        <f>IF($Q$35=0,"",IF(INDEX('قاعدة البيانات'!$H$6:$H$305,$Q$35)="","— مفيش رقم —",HYPERLINK("tel:"&amp;INDEX('قاعدة البيانات'!$H$6:$H$305,$Q$35),"📞 "&amp;INDEX('قاعدة البيانات'!$H$6:$H$305,$Q$35))))</f>
        <v/>
      </c>
      <c r="L99" s="40" t="str">
        <f>IF(OR($Q$35=0,INDEX('قاعدة البيانات'!$H$6:$H$305,$Q$35)=""),"",HYPERLINK("https://wa.me/20"&amp;RIGHT(INDEX('قاعدة البيانات'!$H$6:$H$305,$Q$35),10),"💬 واتساب"))</f>
        <v/>
      </c>
    </row>
    <row r="100" spans="2:12" ht="24" customHeight="1">
      <c r="B100" s="38" t="str">
        <f>IF($Q$33=0,"","👨 بابا")</f>
        <v/>
      </c>
      <c r="C100" s="39" t="str">
        <f>IF($Q$33=0,"",IF(INDEX('قاعدة البيانات'!$I$6:$I$305,$Q$33)="","— مفيش رقم —",HYPERLINK("tel:"&amp;INDEX('قاعدة البيانات'!$I$6:$I$305,$Q$33),"📞 "&amp;INDEX('قاعدة البيانات'!$I$6:$I$305,$Q$33))))</f>
        <v/>
      </c>
      <c r="D100" s="40" t="str">
        <f>IF(OR($Q$33=0,INDEX('قاعدة البيانات'!$I$6:$I$305,$Q$33)=""),"",HYPERLINK("https://wa.me/20"&amp;RIGHT(INDEX('قاعدة البيانات'!$I$6:$I$305,$Q$33),10),"💬 واتساب"))</f>
        <v/>
      </c>
      <c r="F100" s="38" t="str">
        <f>IF($Q$34=0,"","👨 بابا")</f>
        <v/>
      </c>
      <c r="G100" s="39" t="str">
        <f>IF($Q$34=0,"",IF(INDEX('قاعدة البيانات'!$I$6:$I$305,$Q$34)="","— مفيش رقم —",HYPERLINK("tel:"&amp;INDEX('قاعدة البيانات'!$I$6:$I$305,$Q$34),"📞 "&amp;INDEX('قاعدة البيانات'!$I$6:$I$305,$Q$34))))</f>
        <v/>
      </c>
      <c r="H100" s="40" t="str">
        <f>IF(OR($Q$34=0,INDEX('قاعدة البيانات'!$I$6:$I$305,$Q$34)=""),"",HYPERLINK("https://wa.me/20"&amp;RIGHT(INDEX('قاعدة البيانات'!$I$6:$I$305,$Q$34),10),"💬 واتساب"))</f>
        <v/>
      </c>
      <c r="J100" s="38" t="str">
        <f>IF($Q$35=0,"","👨 بابا")</f>
        <v/>
      </c>
      <c r="K100" s="39" t="str">
        <f>IF($Q$35=0,"",IF(INDEX('قاعدة البيانات'!$I$6:$I$305,$Q$35)="","— مفيش رقم —",HYPERLINK("tel:"&amp;INDEX('قاعدة البيانات'!$I$6:$I$305,$Q$35),"📞 "&amp;INDEX('قاعدة البيانات'!$I$6:$I$305,$Q$35))))</f>
        <v/>
      </c>
      <c r="L100" s="40" t="str">
        <f>IF(OR($Q$35=0,INDEX('قاعدة البيانات'!$I$6:$I$305,$Q$35)=""),"",HYPERLINK("https://wa.me/20"&amp;RIGHT(INDEX('قاعدة البيانات'!$I$6:$I$305,$Q$35),10),"💬 واتساب"))</f>
        <v/>
      </c>
    </row>
    <row r="101" spans="2:12" ht="37.5" customHeight="1">
      <c r="B101" s="124" t="str">
        <f>IF($Q$33=0,"","📍 "&amp;IF(INDEX('قاعدة البيانات'!$J$6:$J$305,$Q$33)="","— مفيش عنوان —",INDEX('قاعدة البيانات'!$J$6:$J$305,$Q$33)))</f>
        <v/>
      </c>
      <c r="C101" s="124"/>
      <c r="D101" s="124"/>
      <c r="F101" s="124" t="str">
        <f>IF($Q$34=0,"","📍 "&amp;IF(INDEX('قاعدة البيانات'!$J$6:$J$305,$Q$34)="","— مفيش عنوان —",INDEX('قاعدة البيانات'!$J$6:$J$305,$Q$34)))</f>
        <v/>
      </c>
      <c r="G101" s="124"/>
      <c r="H101" s="124"/>
      <c r="J101" s="124" t="str">
        <f>IF($Q$35=0,"","📍 "&amp;IF(INDEX('قاعدة البيانات'!$J$6:$J$305,$Q$35)="","— مفيش عنوان —",INDEX('قاعدة البيانات'!$J$6:$J$305,$Q$35)))</f>
        <v/>
      </c>
      <c r="K101" s="124"/>
      <c r="L101" s="124"/>
    </row>
    <row r="102" spans="2:12" ht="21.75" customHeight="1">
      <c r="B102" s="125" t="str">
        <f>IF($Q$33=0,"","📊 إحصائيات الحضور")</f>
        <v/>
      </c>
      <c r="C102" s="125"/>
      <c r="D102" s="125"/>
      <c r="F102" s="125" t="str">
        <f>IF($Q$34=0,"","📊 إحصائيات الحضور")</f>
        <v/>
      </c>
      <c r="G102" s="125"/>
      <c r="H102" s="125"/>
      <c r="J102" s="125" t="str">
        <f>IF($Q$35=0,"","📊 إحصائيات الحضور")</f>
        <v/>
      </c>
      <c r="K102" s="125"/>
      <c r="L102" s="125"/>
    </row>
    <row r="103" spans="2:12" ht="15.75" customHeight="1">
      <c r="B103" s="41" t="str">
        <f>IF($Q$33=0,"","✅ حضور")</f>
        <v/>
      </c>
      <c r="C103" s="41" t="str">
        <f>IF($Q$33=0,"","❌ غياب")</f>
        <v/>
      </c>
      <c r="D103" s="41" t="str">
        <f>IF($Q$33=0,"","📈 النسبة")</f>
        <v/>
      </c>
      <c r="F103" s="41" t="str">
        <f>IF($Q$34=0,"","✅ حضور")</f>
        <v/>
      </c>
      <c r="G103" s="41" t="str">
        <f>IF($Q$34=0,"","❌ غياب")</f>
        <v/>
      </c>
      <c r="H103" s="41" t="str">
        <f>IF($Q$34=0,"","📈 النسبة")</f>
        <v/>
      </c>
      <c r="J103" s="41" t="str">
        <f>IF($Q$35=0,"","✅ حضور")</f>
        <v/>
      </c>
      <c r="K103" s="41" t="str">
        <f>IF($Q$35=0,"","❌ غياب")</f>
        <v/>
      </c>
      <c r="L103" s="41" t="str">
        <f>IF($Q$35=0,"","📈 النسبة")</f>
        <v/>
      </c>
    </row>
    <row r="104" spans="2:12" ht="33.75" customHeight="1">
      <c r="B104" s="42" t="str">
        <f>'حضور سوريال'!C31</f>
        <v/>
      </c>
      <c r="C104" s="43" t="str">
        <f>'حضور سوريال'!D31</f>
        <v/>
      </c>
      <c r="D104" s="44" t="str">
        <f>'حضور سوريال'!F31</f>
        <v/>
      </c>
      <c r="F104" s="42" t="str">
        <f>'حضور سوريال'!C32</f>
        <v/>
      </c>
      <c r="G104" s="43" t="str">
        <f>'حضور سوريال'!D32</f>
        <v/>
      </c>
      <c r="H104" s="44" t="str">
        <f>'حضور سوريال'!F32</f>
        <v/>
      </c>
      <c r="J104" s="42" t="str">
        <f>'حضور سوريال'!C33</f>
        <v/>
      </c>
      <c r="K104" s="43" t="str">
        <f>'حضور سوريال'!D33</f>
        <v/>
      </c>
      <c r="L104" s="44" t="str">
        <f>'حضور سوريال'!F33</f>
        <v/>
      </c>
    </row>
    <row r="105" spans="2:12" ht="24" customHeight="1">
      <c r="B105" s="126" t="str">
        <f>'حضور سوريال'!I31</f>
        <v/>
      </c>
      <c r="C105" s="126"/>
      <c r="D105" s="126"/>
      <c r="F105" s="126" t="str">
        <f>'حضور سوريال'!I32</f>
        <v/>
      </c>
      <c r="G105" s="126"/>
      <c r="H105" s="126"/>
      <c r="J105" s="126" t="str">
        <f>'حضور سوريال'!I33</f>
        <v/>
      </c>
      <c r="K105" s="126"/>
      <c r="L105" s="126"/>
    </row>
    <row r="106" spans="2:12" ht="19.5" customHeight="1">
      <c r="B106" s="127" t="str">
        <f>IF($Q$33=0,"","🗓️ آخر حضور: "&amp;IF(ISNUMBER('حضور سوريال'!H31),DAY('حضور سوريال'!H31)&amp;"/"&amp;MONTH('حضور سوريال'!H31)&amp;"/"&amp;YEAR('حضور سوريال'!H31),"—")&amp;"   •   غياب متتالي: "&amp;'حضور سوريال'!G31)</f>
        <v/>
      </c>
      <c r="C106" s="127"/>
      <c r="D106" s="127"/>
      <c r="F106" s="127" t="str">
        <f>IF($Q$34=0,"","🗓️ آخر حضور: "&amp;IF(ISNUMBER('حضور سوريال'!H32),DAY('حضور سوريال'!H32)&amp;"/"&amp;MONTH('حضور سوريال'!H32)&amp;"/"&amp;YEAR('حضور سوريال'!H32),"—")&amp;"   •   غياب متتالي: "&amp;'حضور سوريال'!G32)</f>
        <v/>
      </c>
      <c r="G106" s="127"/>
      <c r="H106" s="127"/>
      <c r="J106" s="127" t="str">
        <f>IF($Q$35=0,"","🗓️ آخر حضور: "&amp;IF(ISNUMBER('حضور سوريال'!H33),DAY('حضور سوريال'!H33)&amp;"/"&amp;MONTH('حضور سوريال'!H33)&amp;"/"&amp;YEAR('حضور سوريال'!H33),"—")&amp;"   •   غياب متتالي: "&amp;'حضور سوريال'!G33)</f>
        <v/>
      </c>
      <c r="K106" s="127"/>
      <c r="L106" s="127"/>
    </row>
    <row r="107" spans="2:12" ht="13.5" customHeight="1"/>
    <row r="108" spans="2:12" ht="30" customHeight="1">
      <c r="B108" s="122" t="str">
        <f>IF($Q$36=0,"",IF(INDEX('قاعدة البيانات'!$D$6:$D$305,$Q$36)="بنت","👧 ","👦 ")&amp;INDEX('قاعدة البيانات'!$C$6:$C$305,$Q$36))</f>
        <v/>
      </c>
      <c r="C108" s="122"/>
      <c r="D108" s="122"/>
      <c r="F108" s="122" t="str">
        <f>IF($Q$37=0,"",IF(INDEX('قاعدة البيانات'!$D$6:$D$305,$Q$37)="بنت","👧 ","👦 ")&amp;INDEX('قاعدة البيانات'!$C$6:$C$305,$Q$37))</f>
        <v/>
      </c>
      <c r="G108" s="122"/>
      <c r="H108" s="122"/>
      <c r="J108" s="122" t="str">
        <f>IF($Q$38=0,"",IF(INDEX('قاعدة البيانات'!$D$6:$D$305,$Q$38)="بنت","👧 ","👦 ")&amp;INDEX('قاعدة البيانات'!$C$6:$C$305,$Q$38))</f>
        <v/>
      </c>
      <c r="K108" s="122"/>
      <c r="L108" s="122"/>
    </row>
    <row r="109" spans="2:12" ht="108" customHeight="1">
      <c r="B109" s="37" t="str">
        <f>IF($Q$36=0,"",IF(ISBLANK(INDEX('قاعدة البيانات'!$K$6:$K$305,$Q$36)),LEFT(INDEX('قاعدة البيانات'!$C$6:$C$305,$Q$36),1),INDEX('قاعدة البيانات'!$K$6:$K$305,$Q$36)))</f>
        <v/>
      </c>
      <c r="C109" s="123"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23"/>
      <c r="F109" s="37" t="str">
        <f>IF($Q$37=0,"",IF(ISBLANK(INDEX('قاعدة البيانات'!$K$6:$K$305,$Q$37)),LEFT(INDEX('قاعدة البيانات'!$C$6:$C$305,$Q$37),1),INDEX('قاعدة البيانات'!$K$6:$K$305,$Q$37)))</f>
        <v/>
      </c>
      <c r="G109" s="123"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23"/>
      <c r="J109" s="37" t="str">
        <f>IF($Q$38=0,"",IF(ISBLANK(INDEX('قاعدة البيانات'!$K$6:$K$305,$Q$38)),LEFT(INDEX('قاعدة البيانات'!$C$6:$C$305,$Q$38),1),INDEX('قاعدة البيانات'!$K$6:$K$305,$Q$38)))</f>
        <v/>
      </c>
      <c r="K109" s="123"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23"/>
    </row>
    <row r="110" spans="2:12" ht="24" customHeight="1">
      <c r="B110" s="38" t="str">
        <f>IF($Q$36=0,"","👩 ماما")</f>
        <v/>
      </c>
      <c r="C110" s="39" t="str">
        <f>IF($Q$36=0,"",IF(INDEX('قاعدة البيانات'!$H$6:$H$305,$Q$36)="","— مفيش رقم —",HYPERLINK("tel:"&amp;INDEX('قاعدة البيانات'!$H$6:$H$305,$Q$36),"📞 "&amp;INDEX('قاعدة البيانات'!$H$6:$H$305,$Q$36))))</f>
        <v/>
      </c>
      <c r="D110" s="40" t="str">
        <f>IF(OR($Q$36=0,INDEX('قاعدة البيانات'!$H$6:$H$305,$Q$36)=""),"",HYPERLINK("https://wa.me/20"&amp;RIGHT(INDEX('قاعدة البيانات'!$H$6:$H$305,$Q$36),10),"💬 واتساب"))</f>
        <v/>
      </c>
      <c r="F110" s="38" t="str">
        <f>IF($Q$37=0,"","👩 ماما")</f>
        <v/>
      </c>
      <c r="G110" s="39" t="str">
        <f>IF($Q$37=0,"",IF(INDEX('قاعدة البيانات'!$H$6:$H$305,$Q$37)="","— مفيش رقم —",HYPERLINK("tel:"&amp;INDEX('قاعدة البيانات'!$H$6:$H$305,$Q$37),"📞 "&amp;INDEX('قاعدة البيانات'!$H$6:$H$305,$Q$37))))</f>
        <v/>
      </c>
      <c r="H110" s="40" t="str">
        <f>IF(OR($Q$37=0,INDEX('قاعدة البيانات'!$H$6:$H$305,$Q$37)=""),"",HYPERLINK("https://wa.me/20"&amp;RIGHT(INDEX('قاعدة البيانات'!$H$6:$H$305,$Q$37),10),"💬 واتساب"))</f>
        <v/>
      </c>
      <c r="J110" s="38" t="str">
        <f>IF($Q$38=0,"","👩 ماما")</f>
        <v/>
      </c>
      <c r="K110" s="39" t="str">
        <f>IF($Q$38=0,"",IF(INDEX('قاعدة البيانات'!$H$6:$H$305,$Q$38)="","— مفيش رقم —",HYPERLINK("tel:"&amp;INDEX('قاعدة البيانات'!$H$6:$H$305,$Q$38),"📞 "&amp;INDEX('قاعدة البيانات'!$H$6:$H$305,$Q$38))))</f>
        <v/>
      </c>
      <c r="L110" s="40" t="str">
        <f>IF(OR($Q$38=0,INDEX('قاعدة البيانات'!$H$6:$H$305,$Q$38)=""),"",HYPERLINK("https://wa.me/20"&amp;RIGHT(INDEX('قاعدة البيانات'!$H$6:$H$305,$Q$38),10),"💬 واتساب"))</f>
        <v/>
      </c>
    </row>
    <row r="111" spans="2:12" ht="24" customHeight="1">
      <c r="B111" s="38" t="str">
        <f>IF($Q$36=0,"","👨 بابا")</f>
        <v/>
      </c>
      <c r="C111" s="39" t="str">
        <f>IF($Q$36=0,"",IF(INDEX('قاعدة البيانات'!$I$6:$I$305,$Q$36)="","— مفيش رقم —",HYPERLINK("tel:"&amp;INDEX('قاعدة البيانات'!$I$6:$I$305,$Q$36),"📞 "&amp;INDEX('قاعدة البيانات'!$I$6:$I$305,$Q$36))))</f>
        <v/>
      </c>
      <c r="D111" s="40" t="str">
        <f>IF(OR($Q$36=0,INDEX('قاعدة البيانات'!$I$6:$I$305,$Q$36)=""),"",HYPERLINK("https://wa.me/20"&amp;RIGHT(INDEX('قاعدة البيانات'!$I$6:$I$305,$Q$36),10),"💬 واتساب"))</f>
        <v/>
      </c>
      <c r="F111" s="38" t="str">
        <f>IF($Q$37=0,"","👨 بابا")</f>
        <v/>
      </c>
      <c r="G111" s="39" t="str">
        <f>IF($Q$37=0,"",IF(INDEX('قاعدة البيانات'!$I$6:$I$305,$Q$37)="","— مفيش رقم —",HYPERLINK("tel:"&amp;INDEX('قاعدة البيانات'!$I$6:$I$305,$Q$37),"📞 "&amp;INDEX('قاعدة البيانات'!$I$6:$I$305,$Q$37))))</f>
        <v/>
      </c>
      <c r="H111" s="40" t="str">
        <f>IF(OR($Q$37=0,INDEX('قاعدة البيانات'!$I$6:$I$305,$Q$37)=""),"",HYPERLINK("https://wa.me/20"&amp;RIGHT(INDEX('قاعدة البيانات'!$I$6:$I$305,$Q$37),10),"💬 واتساب"))</f>
        <v/>
      </c>
      <c r="J111" s="38" t="str">
        <f>IF($Q$38=0,"","👨 بابا")</f>
        <v/>
      </c>
      <c r="K111" s="39" t="str">
        <f>IF($Q$38=0,"",IF(INDEX('قاعدة البيانات'!$I$6:$I$305,$Q$38)="","— مفيش رقم —",HYPERLINK("tel:"&amp;INDEX('قاعدة البيانات'!$I$6:$I$305,$Q$38),"📞 "&amp;INDEX('قاعدة البيانات'!$I$6:$I$305,$Q$38))))</f>
        <v/>
      </c>
      <c r="L111" s="40" t="str">
        <f>IF(OR($Q$38=0,INDEX('قاعدة البيانات'!$I$6:$I$305,$Q$38)=""),"",HYPERLINK("https://wa.me/20"&amp;RIGHT(INDEX('قاعدة البيانات'!$I$6:$I$305,$Q$38),10),"💬 واتساب"))</f>
        <v/>
      </c>
    </row>
    <row r="112" spans="2:12" ht="37.5" customHeight="1">
      <c r="B112" s="124" t="str">
        <f>IF($Q$36=0,"","📍 "&amp;IF(INDEX('قاعدة البيانات'!$J$6:$J$305,$Q$36)="","— مفيش عنوان —",INDEX('قاعدة البيانات'!$J$6:$J$305,$Q$36)))</f>
        <v/>
      </c>
      <c r="C112" s="124"/>
      <c r="D112" s="124"/>
      <c r="F112" s="124" t="str">
        <f>IF($Q$37=0,"","📍 "&amp;IF(INDEX('قاعدة البيانات'!$J$6:$J$305,$Q$37)="","— مفيش عنوان —",INDEX('قاعدة البيانات'!$J$6:$J$305,$Q$37)))</f>
        <v/>
      </c>
      <c r="G112" s="124"/>
      <c r="H112" s="124"/>
      <c r="J112" s="124" t="str">
        <f>IF($Q$38=0,"","📍 "&amp;IF(INDEX('قاعدة البيانات'!$J$6:$J$305,$Q$38)="","— مفيش عنوان —",INDEX('قاعدة البيانات'!$J$6:$J$305,$Q$38)))</f>
        <v/>
      </c>
      <c r="K112" s="124"/>
      <c r="L112" s="124"/>
    </row>
    <row r="113" spans="2:12" ht="21.75" customHeight="1">
      <c r="B113" s="125" t="str">
        <f>IF($Q$36=0,"","📊 إحصائيات الحضور")</f>
        <v/>
      </c>
      <c r="C113" s="125"/>
      <c r="D113" s="125"/>
      <c r="F113" s="125" t="str">
        <f>IF($Q$37=0,"","📊 إحصائيات الحضور")</f>
        <v/>
      </c>
      <c r="G113" s="125"/>
      <c r="H113" s="125"/>
      <c r="J113" s="125" t="str">
        <f>IF($Q$38=0,"","📊 إحصائيات الحضور")</f>
        <v/>
      </c>
      <c r="K113" s="125"/>
      <c r="L113" s="125"/>
    </row>
    <row r="114" spans="2:12" ht="15.75" customHeight="1">
      <c r="B114" s="41" t="str">
        <f>IF($Q$36=0,"","✅ حضور")</f>
        <v/>
      </c>
      <c r="C114" s="41" t="str">
        <f>IF($Q$36=0,"","❌ غياب")</f>
        <v/>
      </c>
      <c r="D114" s="41" t="str">
        <f>IF($Q$36=0,"","📈 النسبة")</f>
        <v/>
      </c>
      <c r="F114" s="41" t="str">
        <f>IF($Q$37=0,"","✅ حضور")</f>
        <v/>
      </c>
      <c r="G114" s="41" t="str">
        <f>IF($Q$37=0,"","❌ غياب")</f>
        <v/>
      </c>
      <c r="H114" s="41" t="str">
        <f>IF($Q$37=0,"","📈 النسبة")</f>
        <v/>
      </c>
      <c r="J114" s="41" t="str">
        <f>IF($Q$38=0,"","✅ حضور")</f>
        <v/>
      </c>
      <c r="K114" s="41" t="str">
        <f>IF($Q$38=0,"","❌ غياب")</f>
        <v/>
      </c>
      <c r="L114" s="41" t="str">
        <f>IF($Q$38=0,"","📈 النسبة")</f>
        <v/>
      </c>
    </row>
    <row r="115" spans="2:12" ht="33.75" customHeight="1">
      <c r="B115" s="42" t="str">
        <f>'حضور سوريال'!C34</f>
        <v/>
      </c>
      <c r="C115" s="43" t="str">
        <f>'حضور سوريال'!D34</f>
        <v/>
      </c>
      <c r="D115" s="44" t="str">
        <f>'حضور سوريال'!F34</f>
        <v/>
      </c>
      <c r="F115" s="42" t="str">
        <f>'حضور سوريال'!C35</f>
        <v/>
      </c>
      <c r="G115" s="43" t="str">
        <f>'حضور سوريال'!D35</f>
        <v/>
      </c>
      <c r="H115" s="44" t="str">
        <f>'حضور سوريال'!F35</f>
        <v/>
      </c>
      <c r="J115" s="42" t="str">
        <f>'حضور سوريال'!C36</f>
        <v/>
      </c>
      <c r="K115" s="43" t="str">
        <f>'حضور سوريال'!D36</f>
        <v/>
      </c>
      <c r="L115" s="44" t="str">
        <f>'حضور سوريال'!F36</f>
        <v/>
      </c>
    </row>
    <row r="116" spans="2:12" ht="24" customHeight="1">
      <c r="B116" s="126" t="str">
        <f>'حضور سوريال'!I34</f>
        <v/>
      </c>
      <c r="C116" s="126"/>
      <c r="D116" s="126"/>
      <c r="F116" s="126" t="str">
        <f>'حضور سوريال'!I35</f>
        <v/>
      </c>
      <c r="G116" s="126"/>
      <c r="H116" s="126"/>
      <c r="J116" s="126" t="str">
        <f>'حضور سوريال'!I36</f>
        <v/>
      </c>
      <c r="K116" s="126"/>
      <c r="L116" s="126"/>
    </row>
    <row r="117" spans="2:12" ht="19.5" customHeight="1">
      <c r="B117" s="127" t="str">
        <f>IF($Q$36=0,"","🗓️ آخر حضور: "&amp;IF(ISNUMBER('حضور سوريال'!H34),DAY('حضور سوريال'!H34)&amp;"/"&amp;MONTH('حضور سوريال'!H34)&amp;"/"&amp;YEAR('حضور سوريال'!H34),"—")&amp;"   •   غياب متتالي: "&amp;'حضور سوريال'!G34)</f>
        <v/>
      </c>
      <c r="C117" s="127"/>
      <c r="D117" s="127"/>
      <c r="F117" s="127" t="str">
        <f>IF($Q$37=0,"","🗓️ آخر حضور: "&amp;IF(ISNUMBER('حضور سوريال'!H35),DAY('حضور سوريال'!H35)&amp;"/"&amp;MONTH('حضور سوريال'!H35)&amp;"/"&amp;YEAR('حضور سوريال'!H35),"—")&amp;"   •   غياب متتالي: "&amp;'حضور سوريال'!G35)</f>
        <v/>
      </c>
      <c r="G117" s="127"/>
      <c r="H117" s="127"/>
      <c r="J117" s="127" t="str">
        <f>IF($Q$38=0,"","🗓️ آخر حضور: "&amp;IF(ISNUMBER('حضور سوريال'!H36),DAY('حضور سوريال'!H36)&amp;"/"&amp;MONTH('حضور سوريال'!H36)&amp;"/"&amp;YEAR('حضور سوريال'!H36),"—")&amp;"   •   غياب متتالي: "&amp;'حضور سوريال'!G36)</f>
        <v/>
      </c>
      <c r="K117" s="127"/>
      <c r="L117" s="127"/>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138" priority="4">
      <formula>INDEX($R$9:$R$38,(INT((ROW()-9)/11)*3+INT((COLUMN()-2)/4)+1))="ولد"</formula>
    </cfRule>
    <cfRule type="expression" dxfId="137"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136"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135" priority="2">
      <formula>INDEX($S$9:$S$38,(INT((ROW()-9)/11)*3+INT((COLUMN()-2)/4)+1))=5</formula>
    </cfRule>
    <cfRule type="expression" dxfId="134"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133"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132"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131"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130" priority="17">
      <formula>INDEX($S$9:$S$38,(INT((ROW()-9)/11)*3+INT((COLUMN()-2)/4)+1))=1</formula>
    </cfRule>
    <cfRule type="expression" dxfId="129" priority="18">
      <formula>INDEX($S$9:$S$38,(INT((ROW()-9)/11)*3+INT((COLUMN()-2)/4)+1))=2</formula>
    </cfRule>
    <cfRule type="expression" dxfId="128" priority="19">
      <formula>INDEX($S$9:$S$38,(INT((ROW()-9)/11)*3+INT((COLUMN()-2)/4)+1))=3</formula>
    </cfRule>
    <cfRule type="expression" dxfId="127" priority="20">
      <formula>INDEX($S$9:$S$38,(INT((ROW()-9)/11)*3+INT((COLUMN()-2)/4)+1))=4</formula>
    </cfRule>
    <cfRule type="expression" dxfId="126"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125"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124" priority="6">
      <formula>INDEX($Q$9:$Q$38,(INT((ROW()-9)/11)*3+INT((COLUMN()-2)/4)+1))&gt;0</formula>
    </cfRule>
  </conditionalFormatting>
  <conditionalFormatting sqref="D16 H16 L16 D27 H27 L27 D38 H38 L38 D49 H49 L49 D60 H60 L60 D71 H71 L71 D82 H82 L82 D93 H93 L93 D104 H104 L104 D115 H115 L115">
    <cfRule type="expression" dxfId="123" priority="13">
      <formula>INDEX($S$9:$S$38,(INT((ROW()-9)/11)*3+INT((COLUMN()-2)/4)+1))=1</formula>
    </cfRule>
    <cfRule type="expression" dxfId="122" priority="14">
      <formula>INDEX($S$9:$S$38,(INT((ROW()-9)/11)*3+INT((COLUMN()-2)/4)+1))=2</formula>
    </cfRule>
    <cfRule type="expression" dxfId="121" priority="15">
      <formula>OR(INDEX($S$9:$S$38,(INT((ROW()-9)/11)*3+INT((COLUMN()-2)/4)+1))=3,INDEX($S$9:$S$38,(INT((ROW()-9)/11)*3+INT((COLUMN()-2)/4)+1))=4)</formula>
    </cfRule>
    <cfRule type="expression" dxfId="120"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pageSetUpPr fitToPage="1"/>
  </sheetPr>
  <dimension ref="B1:S118"/>
  <sheetViews>
    <sheetView showGridLines="0" rightToLeft="1" zoomScale="130" zoomScaleNormal="130" workbookViewId="0">
      <pane ySplit="2" topLeftCell="A50" activePane="bottomLeft" state="frozen"/>
      <selection pane="bottomLeft" activeCell="L2" sqref="L2"/>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28" t="str">
        <f>"🪪 كروت أطفال ملاك "&amp;الإعدادات!$B$5</f>
        <v>🪪 كروت أطفال ملاك غبريال</v>
      </c>
      <c r="C1" s="128"/>
      <c r="D1" s="128"/>
      <c r="E1" s="128"/>
      <c r="F1" s="128"/>
      <c r="G1" s="128"/>
      <c r="H1" s="128"/>
      <c r="I1" s="128"/>
      <c r="J1" s="128"/>
      <c r="K1" s="128"/>
      <c r="L1" s="128"/>
    </row>
    <row r="2" spans="2:19" ht="30" customHeight="1">
      <c r="B2" s="111" t="str">
        <f>HYPERLINK("#'الرئيسية'!A1","🏠 الرئيسية")</f>
        <v>🏠 الرئيسية</v>
      </c>
      <c r="C2" s="111"/>
      <c r="D2" s="115" t="str">
        <f>HYPERLINK("#'قاعدة البيانات'!C"&amp;MIN(305,6+COUNTA('قاعدة البيانات'!$C$6:$C$305)),"➕ إضافة طفل جديد")</f>
        <v>➕ إضافة طفل جديد</v>
      </c>
      <c r="E2" s="115"/>
      <c r="F2" s="115"/>
      <c r="G2" s="129" t="str">
        <f>HYPERLINK("#'حضور غبريال'!A1","📅 حضور الفصل")</f>
        <v>📅 حضور الفصل</v>
      </c>
      <c r="H2" s="129"/>
      <c r="J2" s="111" t="str">
        <f>HYPERLINK("#'الافتقاد'!A1","📞 الافتقاد")</f>
        <v>📞 الافتقاد</v>
      </c>
      <c r="K2" s="111"/>
      <c r="L2" s="18" t="str">
        <f>HYPERLINK("#'قاعدة البيانات'!A1","📋 القاعدة")</f>
        <v>📋 القاعدة</v>
      </c>
    </row>
    <row r="3" spans="2:19" ht="7.5" customHeight="1"/>
    <row r="4" spans="2:19" ht="19.5" customHeight="1">
      <c r="B4" s="130" t="s">
        <v>52</v>
      </c>
      <c r="C4" s="130"/>
      <c r="D4" s="130"/>
      <c r="F4" s="130" t="s">
        <v>53</v>
      </c>
      <c r="G4" s="130"/>
      <c r="H4" s="130"/>
      <c r="J4" s="130" t="s">
        <v>54</v>
      </c>
      <c r="K4" s="130"/>
      <c r="L4" s="130"/>
    </row>
    <row r="5" spans="2:19" ht="37.5" customHeight="1">
      <c r="B5" s="131">
        <f>COUNTIFS('قاعدة البيانات'!$F$6:$F$305,الإعدادات!$B$5,'قاعدة البيانات'!$C$6:$C$305,"&lt;&gt;",'قاعدة البيانات'!$M$6:$M$305,"&lt;&gt;غير نشط")</f>
        <v>24</v>
      </c>
      <c r="C5" s="131"/>
      <c r="D5" s="131"/>
      <c r="F5" s="132" t="str">
        <f>"👦 "&amp;COUNTIFS('قاعدة البيانات'!$F$6:$F$305,الإعدادات!$B$5,'قاعدة البيانات'!$D$6:$D$305,"ولد",'قاعدة البيانات'!$C$6:$C$305,"&lt;&gt;",'قاعدة البيانات'!$M$6:$M$305,"&lt;&gt;غير نشط")&amp;"    👧 "&amp;COUNTIFS('قاعدة البيانات'!$F$6:$F$305,الإعدادات!$B$5,'قاعدة البيانات'!$D$6:$D$305,"بنت",'قاعدة البيانات'!$C$6:$C$305,"&lt;&gt;",'قاعدة البيانات'!$M$6:$M$305,"&lt;&gt;غير نشط")</f>
        <v>👦 10    👧 14</v>
      </c>
      <c r="G5" s="132"/>
      <c r="H5" s="132"/>
      <c r="J5" s="133" t="str">
        <f>IFERROR(SUM('حضور غبريال'!C7:C36)/(SUM('حضور غبريال'!C7:C36)+SUM('حضور غبريال'!D7:D36)),"—")</f>
        <v>—</v>
      </c>
      <c r="K5" s="133"/>
      <c r="L5" s="133"/>
    </row>
    <row r="6" spans="2:19" ht="21.75" customHeight="1">
      <c r="B6" s="121" t="str">
        <f>"📅 جمع مسجلة: "&amp;COUNT('حضور غبريال'!J4:BJ4)&amp;"        ⚠️ محتاجين افتقاد: "&amp;(COUNTIFS('قاعدة البيانات'!$F$6:$F$305,الإعدادات!$B$5,'قاعدة البيانات'!$V$6:$V$305,3)+COUNTIFS('قاعدة البيانات'!$F$6:$F$305,الإعدادات!$B$5,'قاعدة البيانات'!$V$6:$V$305,4))&amp;"        🆓 أماكن فاضية: "&amp;(30-COUNTIFS('قاعدة البيانات'!$F$6:$F$305,الإعدادات!$B$5,'قاعدة البيانات'!$C$6:$C$305,"&lt;&gt;"))</f>
        <v>📅 جمع مسجلة: 0        ⚠️ محتاجين افتقاد: 0        🆓 أماكن فاضية: 6</v>
      </c>
      <c r="C6" s="121"/>
      <c r="D6" s="121"/>
      <c r="E6" s="121"/>
      <c r="F6" s="121"/>
      <c r="G6" s="121"/>
      <c r="H6" s="121"/>
      <c r="I6" s="121"/>
      <c r="J6" s="121"/>
      <c r="K6" s="121"/>
      <c r="L6" s="121"/>
    </row>
    <row r="7" spans="2:19" ht="7.5" customHeight="1"/>
    <row r="8" spans="2:19" ht="6" customHeight="1"/>
    <row r="9" spans="2:19" ht="30" customHeight="1">
      <c r="B9" s="122" t="str">
        <f>IF($Q$9=0,"",IF(INDEX('قاعدة البيانات'!$D$6:$D$305,$Q$9)="بنت","👧 ","👦 ")&amp;INDEX('قاعدة البيانات'!$C$6:$C$305,$Q$9))</f>
        <v>👦 توماس صابر صبحى</v>
      </c>
      <c r="C9" s="122"/>
      <c r="D9" s="122"/>
      <c r="F9" s="122" t="str">
        <f>IF($Q$10=0,"",IF(INDEX('قاعدة البيانات'!$D$6:$D$305,$Q$10)="بنت","👧 ","👦 ")&amp;INDEX('قاعدة البيانات'!$C$6:$C$305,$Q$10))</f>
        <v>👧 سيلينا رامي رومانى</v>
      </c>
      <c r="G9" s="122"/>
      <c r="H9" s="122"/>
      <c r="J9" s="122" t="str">
        <f>IF($Q$11=0,"",IF(INDEX('قاعدة البيانات'!$D$6:$D$305,$Q$11)="بنت","👧 ","👦 ")&amp;INDEX('قاعدة البيانات'!$C$6:$C$305,$Q$11))</f>
        <v>👦 روبن عبد المسيح رافت</v>
      </c>
      <c r="K9" s="122"/>
      <c r="L9" s="122"/>
      <c r="P9">
        <v>1</v>
      </c>
      <c r="Q9">
        <f>'حضور غبريال'!BL7</f>
        <v>1</v>
      </c>
      <c r="R9" t="str">
        <f>IF(Q9=0,"",INDEX('قاعدة البيانات'!$D$6:$D$305,Q9))</f>
        <v>ولد</v>
      </c>
      <c r="S9">
        <f>'حضور غبريال'!BM7</f>
        <v>0</v>
      </c>
    </row>
    <row r="10" spans="2:19" ht="108" customHeight="1">
      <c r="B10" s="37" t="e" vm="41">
        <f>IF($Q$9=0,"",IF(ISBLANK(INDEX('قاعدة البيانات'!$K$6:$K$305,$Q$9)),LEFT(INDEX('قاعدة البيانات'!$C$6:$C$305,$Q$9),1),INDEX('قاعدة البيانات'!$K$6:$K$305,$Q$9)))</f>
        <v>#VALUE!</v>
      </c>
      <c r="C10" s="123"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B-001
🎓 سنة تانية
🚶 يروح لوحده: —
📝 مفيش ملاحظات</v>
      </c>
      <c r="D10" s="123"/>
      <c r="F10" s="37" t="e" vm="42">
        <f>IF($Q$10=0,"",IF(ISBLANK(INDEX('قاعدة البيانات'!$K$6:$K$305,$Q$10)),LEFT(INDEX('قاعدة البيانات'!$C$6:$C$305,$Q$10),1),INDEX('قاعدة البيانات'!$K$6:$K$305,$Q$10)))</f>
        <v>#VALUE!</v>
      </c>
      <c r="G10" s="123"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B-002
🎓 سنة تانية
🚶 يروح لوحده: —
📝 مفيش ملاحظات</v>
      </c>
      <c r="H10" s="123"/>
      <c r="J10" s="37" t="e" vm="43">
        <f>IF($Q$11=0,"",IF(ISBLANK(INDEX('قاعدة البيانات'!$K$6:$K$305,$Q$11)),LEFT(INDEX('قاعدة البيانات'!$C$6:$C$305,$Q$11),1),INDEX('قاعدة البيانات'!$K$6:$K$305,$Q$11)))</f>
        <v>#VALUE!</v>
      </c>
      <c r="K10" s="123"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B-003
🎓 سنة تانية
🚶 يروح لوحده: —
📝 مفيش ملاحظات</v>
      </c>
      <c r="L10" s="123"/>
      <c r="P10">
        <v>2</v>
      </c>
      <c r="Q10">
        <f>'حضور غبريال'!BL8</f>
        <v>2</v>
      </c>
      <c r="R10" t="str">
        <f>IF(Q10=0,"",INDEX('قاعدة البيانات'!$D$6:$D$305,Q10))</f>
        <v>بنت</v>
      </c>
      <c r="S10">
        <f>'حضور غبريال'!BM8</f>
        <v>0</v>
      </c>
    </row>
    <row r="11" spans="2:19" ht="24" customHeight="1">
      <c r="B11" s="38" t="str">
        <f>IF($Q$9=0,"","👩 ماما")</f>
        <v>👩 ماما</v>
      </c>
      <c r="C11" s="39" t="str">
        <f>IF($Q$9=0,"",IF(INDEX('قاعدة البيانات'!$H$6:$H$305,$Q$9)="","— مفيش رقم —",HYPERLINK("tel:"&amp;INDEX('قاعدة البيانات'!$H$6:$H$305,$Q$9),"📞 "&amp;INDEX('قاعدة البيانات'!$H$6:$H$305,$Q$9))))</f>
        <v>📞 01271325124</v>
      </c>
      <c r="D11" s="40" t="str">
        <f>IF(OR($Q$9=0,INDEX('قاعدة البيانات'!$H$6:$H$305,$Q$9)=""),"",HYPERLINK("https://wa.me/20"&amp;RIGHT(INDEX('قاعدة البيانات'!$H$6:$H$305,$Q$9),10),"💬 واتساب"))</f>
        <v>💬 واتساب</v>
      </c>
      <c r="F11" s="38" t="str">
        <f>IF($Q$10=0,"","👩 ماما")</f>
        <v>👩 ماما</v>
      </c>
      <c r="G11" s="39" t="str">
        <f>IF($Q$10=0,"",IF(INDEX('قاعدة البيانات'!$H$6:$H$305,$Q$10)="","— مفيش رقم —",HYPERLINK("tel:"&amp;INDEX('قاعدة البيانات'!$H$6:$H$305,$Q$10),"📞 "&amp;INDEX('قاعدة البيانات'!$H$6:$H$305,$Q$10))))</f>
        <v>📞 01286806532</v>
      </c>
      <c r="H11" s="40" t="str">
        <f>IF(OR($Q$10=0,INDEX('قاعدة البيانات'!$H$6:$H$305,$Q$10)=""),"",HYPERLINK("https://wa.me/20"&amp;RIGHT(INDEX('قاعدة البيانات'!$H$6:$H$305,$Q$10),10),"💬 واتساب"))</f>
        <v>💬 واتساب</v>
      </c>
      <c r="J11" s="38" t="str">
        <f>IF($Q$11=0,"","👩 ماما")</f>
        <v>👩 ماما</v>
      </c>
      <c r="K11" s="39" t="str">
        <f>IF($Q$11=0,"",IF(INDEX('قاعدة البيانات'!$H$6:$H$305,$Q$11)="","— مفيش رقم —",HYPERLINK("tel:"&amp;INDEX('قاعدة البيانات'!$H$6:$H$305,$Q$11),"📞 "&amp;INDEX('قاعدة البيانات'!$H$6:$H$305,$Q$11))))</f>
        <v>📞 01227832577</v>
      </c>
      <c r="L11" s="40" t="str">
        <f>IF(OR($Q$11=0,INDEX('قاعدة البيانات'!$H$6:$H$305,$Q$11)=""),"",HYPERLINK("https://wa.me/20"&amp;RIGHT(INDEX('قاعدة البيانات'!$H$6:$H$305,$Q$11),10),"💬 واتساب"))</f>
        <v>💬 واتساب</v>
      </c>
      <c r="P11">
        <v>3</v>
      </c>
      <c r="Q11">
        <f>'حضور غبريال'!BL9</f>
        <v>3</v>
      </c>
      <c r="R11" t="str">
        <f>IF(Q11=0,"",INDEX('قاعدة البيانات'!$D$6:$D$305,Q11))</f>
        <v>ولد</v>
      </c>
      <c r="S11">
        <f>'حضور غبريال'!BM9</f>
        <v>0</v>
      </c>
    </row>
    <row r="12" spans="2:19" ht="24" customHeight="1">
      <c r="B12" s="38" t="str">
        <f>IF($Q$9=0,"","👨 بابا")</f>
        <v>👨 بابا</v>
      </c>
      <c r="C12" s="39" t="str">
        <f>IF($Q$9=0,"",IF(INDEX('قاعدة البيانات'!$I$6:$I$305,$Q$9)="","— مفيش رقم —",HYPERLINK("tel:"&amp;INDEX('قاعدة البيانات'!$I$6:$I$305,$Q$9),"📞 "&amp;INDEX('قاعدة البيانات'!$I$6:$I$305,$Q$9))))</f>
        <v>— مفيش رقم —</v>
      </c>
      <c r="D12" s="40" t="str">
        <f>IF(OR($Q$9=0,INDEX('قاعدة البيانات'!$I$6:$I$305,$Q$9)=""),"",HYPERLINK("https://wa.me/20"&amp;RIGHT(INDEX('قاعدة البيانات'!$I$6:$I$305,$Q$9),10),"💬 واتساب"))</f>
        <v/>
      </c>
      <c r="F12" s="38" t="str">
        <f>IF($Q$10=0,"","👨 بابا")</f>
        <v>👨 بابا</v>
      </c>
      <c r="G12" s="39" t="str">
        <f>IF($Q$10=0,"",IF(INDEX('قاعدة البيانات'!$I$6:$I$305,$Q$10)="","— مفيش رقم —",HYPERLINK("tel:"&amp;INDEX('قاعدة البيانات'!$I$6:$I$305,$Q$10),"📞 "&amp;INDEX('قاعدة البيانات'!$I$6:$I$305,$Q$10))))</f>
        <v>— مفيش رقم —</v>
      </c>
      <c r="H12" s="40" t="str">
        <f>IF(OR($Q$10=0,INDEX('قاعدة البيانات'!$I$6:$I$305,$Q$10)=""),"",HYPERLINK("https://wa.me/20"&amp;RIGHT(INDEX('قاعدة البيانات'!$I$6:$I$305,$Q$10),10),"💬 واتساب"))</f>
        <v/>
      </c>
      <c r="J12" s="38" t="str">
        <f>IF($Q$11=0,"","👨 بابا")</f>
        <v>👨 بابا</v>
      </c>
      <c r="K12" s="39" t="str">
        <f>IF($Q$11=0,"",IF(INDEX('قاعدة البيانات'!$I$6:$I$305,$Q$11)="","— مفيش رقم —",HYPERLINK("tel:"&amp;INDEX('قاعدة البيانات'!$I$6:$I$305,$Q$11),"📞 "&amp;INDEX('قاعدة البيانات'!$I$6:$I$305,$Q$11))))</f>
        <v>📞 01221561038</v>
      </c>
      <c r="L12" s="40" t="str">
        <f>IF(OR($Q$11=0,INDEX('قاعدة البيانات'!$I$6:$I$305,$Q$11)=""),"",HYPERLINK("https://wa.me/20"&amp;RIGHT(INDEX('قاعدة البيانات'!$I$6:$I$305,$Q$11),10),"💬 واتساب"))</f>
        <v>💬 واتساب</v>
      </c>
      <c r="P12">
        <v>4</v>
      </c>
      <c r="Q12">
        <f>'حضور غبريال'!BL10</f>
        <v>4</v>
      </c>
      <c r="R12" t="str">
        <f>IF(Q12=0,"",INDEX('قاعدة البيانات'!$D$6:$D$305,Q12))</f>
        <v>بنت</v>
      </c>
      <c r="S12">
        <f>'حضور غبريال'!BM10</f>
        <v>0</v>
      </c>
    </row>
    <row r="13" spans="2:19" ht="37.5" customHeight="1">
      <c r="B13" s="124" t="str">
        <f>IF($Q$9=0,"","📍 "&amp;IF(INDEX('قاعدة البيانات'!$J$6:$J$305,$Q$9)="","— مفيش عنوان —",INDEX('قاعدة البيانات'!$J$6:$J$305,$Q$9)))</f>
        <v>📍 58 شارع ترعة حمزة - شقة 6 الدور 3 - يمين السلم</v>
      </c>
      <c r="C13" s="124"/>
      <c r="D13" s="124"/>
      <c r="F13" s="124" t="str">
        <f>IF($Q$10=0,"","📍 "&amp;IF(INDEX('قاعدة البيانات'!$J$6:$J$305,$Q$10)="","— مفيش عنوان —",INDEX('قاعدة البيانات'!$J$6:$J$305,$Q$10)))</f>
        <v>📍 115 أ ابراج الاصاله امام الصحة - الدور ال 12 الشقة اللي علي اليمين - براج الاصاله امام الصحة الدور ال 12 الشقه على اليمين 
اول عمارة على الشمال</v>
      </c>
      <c r="G13" s="124"/>
      <c r="H13" s="124"/>
      <c r="J13" s="124" t="str">
        <f>IF($Q$11=0,"","📍 "&amp;IF(INDEX('قاعدة البيانات'!$J$6:$J$305,$Q$11)="","— مفيش عنوان —",INDEX('قاعدة البيانات'!$J$6:$J$305,$Q$11)))</f>
        <v>📍 8 شارع محمد مغاورى - شقة 5 الدور 5 - من شارع البشري / الشارع اللى قدام محل بيبو</v>
      </c>
      <c r="K13" s="124"/>
      <c r="L13" s="124"/>
      <c r="P13">
        <v>5</v>
      </c>
      <c r="Q13">
        <f>'حضور غبريال'!BL11</f>
        <v>5</v>
      </c>
      <c r="R13" t="str">
        <f>IF(Q13=0,"",INDEX('قاعدة البيانات'!$D$6:$D$305,Q13))</f>
        <v>بنت</v>
      </c>
      <c r="S13">
        <f>'حضور غبريال'!BM11</f>
        <v>0</v>
      </c>
    </row>
    <row r="14" spans="2:19" ht="21.75" customHeight="1">
      <c r="B14" s="125" t="str">
        <f>IF($Q$9=0,"","📊 إحصائيات الحضور")</f>
        <v>📊 إحصائيات الحضور</v>
      </c>
      <c r="C14" s="125"/>
      <c r="D14" s="125"/>
      <c r="F14" s="125" t="str">
        <f>IF($Q$10=0,"","📊 إحصائيات الحضور")</f>
        <v>📊 إحصائيات الحضور</v>
      </c>
      <c r="G14" s="125"/>
      <c r="H14" s="125"/>
      <c r="J14" s="125" t="str">
        <f>IF($Q$11=0,"","📊 إحصائيات الحضور")</f>
        <v>📊 إحصائيات الحضور</v>
      </c>
      <c r="K14" s="125"/>
      <c r="L14" s="125"/>
      <c r="P14">
        <v>6</v>
      </c>
      <c r="Q14">
        <f>'حضور غبريال'!BL12</f>
        <v>6</v>
      </c>
      <c r="R14" t="str">
        <f>IF(Q14=0,"",INDEX('قاعدة البيانات'!$D$6:$D$305,Q14))</f>
        <v>ولد</v>
      </c>
      <c r="S14">
        <f>'حضور غبريال'!BM12</f>
        <v>0</v>
      </c>
    </row>
    <row r="15" spans="2:19" ht="15.75" customHeight="1">
      <c r="B15" s="41" t="str">
        <f>IF($Q$9=0,"","✅ حضور")</f>
        <v>✅ حضور</v>
      </c>
      <c r="C15" s="41" t="str">
        <f>IF($Q$9=0,"","❌ غياب")</f>
        <v>❌ غياب</v>
      </c>
      <c r="D15" s="41" t="str">
        <f>IF($Q$9=0,"","📈 النسبة")</f>
        <v>📈 النسبة</v>
      </c>
      <c r="F15" s="41" t="str">
        <f>IF($Q$10=0,"","✅ حضور")</f>
        <v>✅ حضور</v>
      </c>
      <c r="G15" s="41" t="str">
        <f>IF($Q$10=0,"","❌ غياب")</f>
        <v>❌ غياب</v>
      </c>
      <c r="H15" s="41" t="str">
        <f>IF($Q$10=0,"","📈 النسبة")</f>
        <v>📈 النسبة</v>
      </c>
      <c r="J15" s="41" t="str">
        <f>IF($Q$11=0,"","✅ حضور")</f>
        <v>✅ حضور</v>
      </c>
      <c r="K15" s="41" t="str">
        <f>IF($Q$11=0,"","❌ غياب")</f>
        <v>❌ غياب</v>
      </c>
      <c r="L15" s="41" t="str">
        <f>IF($Q$11=0,"","📈 النسبة")</f>
        <v>📈 النسبة</v>
      </c>
      <c r="P15">
        <v>7</v>
      </c>
      <c r="Q15">
        <f>'حضور غبريال'!BL13</f>
        <v>7</v>
      </c>
      <c r="R15" t="str">
        <f>IF(Q15=0,"",INDEX('قاعدة البيانات'!$D$6:$D$305,Q15))</f>
        <v>ولد</v>
      </c>
      <c r="S15">
        <f>'حضور غبريال'!BM13</f>
        <v>0</v>
      </c>
    </row>
    <row r="16" spans="2:19" ht="33.75" customHeight="1">
      <c r="B16" s="42">
        <f>'حضور غبريال'!C7</f>
        <v>0</v>
      </c>
      <c r="C16" s="43">
        <f>'حضور غبريال'!D7</f>
        <v>0</v>
      </c>
      <c r="D16" s="44" t="str">
        <f>'حضور غبريال'!F7</f>
        <v/>
      </c>
      <c r="F16" s="42">
        <f>'حضور غبريال'!C8</f>
        <v>0</v>
      </c>
      <c r="G16" s="43">
        <f>'حضور غبريال'!D8</f>
        <v>0</v>
      </c>
      <c r="H16" s="44" t="str">
        <f>'حضور غبريال'!F8</f>
        <v/>
      </c>
      <c r="J16" s="42">
        <f>'حضور غبريال'!C9</f>
        <v>0</v>
      </c>
      <c r="K16" s="43">
        <f>'حضور غبريال'!D9</f>
        <v>0</v>
      </c>
      <c r="L16" s="44" t="str">
        <f>'حضور غبريال'!F9</f>
        <v/>
      </c>
      <c r="P16">
        <v>8</v>
      </c>
      <c r="Q16">
        <f>'حضور غبريال'!BL14</f>
        <v>8</v>
      </c>
      <c r="R16" t="str">
        <f>IF(Q16=0,"",INDEX('قاعدة البيانات'!$D$6:$D$305,Q16))</f>
        <v>بنت</v>
      </c>
      <c r="S16">
        <f>'حضور غبريال'!BM14</f>
        <v>0</v>
      </c>
    </row>
    <row r="17" spans="2:19" ht="24" customHeight="1">
      <c r="B17" s="126" t="str">
        <f>'حضور غبريال'!I7</f>
        <v>⏳ لسه مفيش حضور</v>
      </c>
      <c r="C17" s="126"/>
      <c r="D17" s="126"/>
      <c r="F17" s="126" t="str">
        <f>'حضور غبريال'!I8</f>
        <v>⏳ لسه مفيش حضور</v>
      </c>
      <c r="G17" s="126"/>
      <c r="H17" s="126"/>
      <c r="J17" s="126" t="str">
        <f>'حضور غبريال'!I9</f>
        <v>⏳ لسه مفيش حضور</v>
      </c>
      <c r="K17" s="126"/>
      <c r="L17" s="126"/>
      <c r="P17">
        <v>9</v>
      </c>
      <c r="Q17">
        <f>'حضور غبريال'!BL15</f>
        <v>9</v>
      </c>
      <c r="R17" t="str">
        <f>IF(Q17=0,"",INDEX('قاعدة البيانات'!$D$6:$D$305,Q17))</f>
        <v>ولد</v>
      </c>
      <c r="S17">
        <f>'حضور غبريال'!BM15</f>
        <v>0</v>
      </c>
    </row>
    <row r="18" spans="2:19" ht="19.5" customHeight="1">
      <c r="B18" s="127" t="str">
        <f>IF($Q$9=0,"","🗓️ آخر حضور: "&amp;IF(ISNUMBER('حضور غبريال'!H7),DAY('حضور غبريال'!H7)&amp;"/"&amp;MONTH('حضور غبريال'!H7)&amp;"/"&amp;YEAR('حضور غبريال'!H7),"—")&amp;"   •   غياب متتالي: "&amp;'حضور غبريال'!G7)</f>
        <v>🗓️ آخر حضور: —   •   غياب متتالي: 0</v>
      </c>
      <c r="C18" s="127"/>
      <c r="D18" s="127"/>
      <c r="F18" s="127" t="str">
        <f>IF($Q$10=0,"","🗓️ آخر حضور: "&amp;IF(ISNUMBER('حضور غبريال'!H8),DAY('حضور غبريال'!H8)&amp;"/"&amp;MONTH('حضور غبريال'!H8)&amp;"/"&amp;YEAR('حضور غبريال'!H8),"—")&amp;"   •   غياب متتالي: "&amp;'حضور غبريال'!G8)</f>
        <v>🗓️ آخر حضور: —   •   غياب متتالي: 0</v>
      </c>
      <c r="G18" s="127"/>
      <c r="H18" s="127"/>
      <c r="J18" s="127" t="str">
        <f>IF($Q$11=0,"","🗓️ آخر حضور: "&amp;IF(ISNUMBER('حضور غبريال'!H9),DAY('حضور غبريال'!H9)&amp;"/"&amp;MONTH('حضور غبريال'!H9)&amp;"/"&amp;YEAR('حضور غبريال'!H9),"—")&amp;"   •   غياب متتالي: "&amp;'حضور غبريال'!G9)</f>
        <v>🗓️ آخر حضور: —   •   غياب متتالي: 0</v>
      </c>
      <c r="K18" s="127"/>
      <c r="L18" s="127"/>
      <c r="P18">
        <v>10</v>
      </c>
      <c r="Q18">
        <f>'حضور غبريال'!BL16</f>
        <v>10</v>
      </c>
      <c r="R18" t="str">
        <f>IF(Q18=0,"",INDEX('قاعدة البيانات'!$D$6:$D$305,Q18))</f>
        <v>ولد</v>
      </c>
      <c r="S18">
        <f>'حضور غبريال'!BM16</f>
        <v>0</v>
      </c>
    </row>
    <row r="19" spans="2:19" ht="13.5" customHeight="1">
      <c r="P19">
        <v>11</v>
      </c>
      <c r="Q19">
        <f>'حضور غبريال'!BL17</f>
        <v>11</v>
      </c>
      <c r="R19" t="str">
        <f>IF(Q19=0,"",INDEX('قاعدة البيانات'!$D$6:$D$305,Q19))</f>
        <v>ولد</v>
      </c>
      <c r="S19">
        <f>'حضور غبريال'!BM17</f>
        <v>0</v>
      </c>
    </row>
    <row r="20" spans="2:19" ht="30" customHeight="1">
      <c r="B20" s="122" t="str">
        <f>IF($Q$12=0,"",IF(INDEX('قاعدة البيانات'!$D$6:$D$305,$Q$12)="بنت","👧 ","👦 ")&amp;INDEX('قاعدة البيانات'!$C$6:$C$305,$Q$12))</f>
        <v>👧 جوى جورج ثابت</v>
      </c>
      <c r="C20" s="122"/>
      <c r="D20" s="122"/>
      <c r="F20" s="122" t="str">
        <f>IF($Q$13=0,"",IF(INDEX('قاعدة البيانات'!$D$6:$D$305,$Q$13)="بنت","👧 ","👦 ")&amp;INDEX('قاعدة البيانات'!$C$6:$C$305,$Q$13))</f>
        <v>👧 بارثينيا رامز منير شفيق</v>
      </c>
      <c r="G20" s="122"/>
      <c r="H20" s="122"/>
      <c r="J20" s="122" t="str">
        <f>IF($Q$14=0,"",IF(INDEX('قاعدة البيانات'!$D$6:$D$305,$Q$14)="بنت","👧 ","👦 ")&amp;INDEX('قاعدة البيانات'!$C$6:$C$305,$Q$14))</f>
        <v>👦 مينا رفيق زكريا عبد الشهيد</v>
      </c>
      <c r="K20" s="122"/>
      <c r="L20" s="122"/>
      <c r="P20">
        <v>12</v>
      </c>
      <c r="Q20">
        <f>'حضور غبريال'!BL18</f>
        <v>12</v>
      </c>
      <c r="R20" t="str">
        <f>IF(Q20=0,"",INDEX('قاعدة البيانات'!$D$6:$D$305,Q20))</f>
        <v>بنت</v>
      </c>
      <c r="S20">
        <f>'حضور غبريال'!BM18</f>
        <v>0</v>
      </c>
    </row>
    <row r="21" spans="2:19" ht="108" customHeight="1">
      <c r="B21" s="37" t="str">
        <f>IF($Q$12=0,"",IF(ISBLANK(INDEX('قاعدة البيانات'!$K$6:$K$305,$Q$12)),LEFT(INDEX('قاعدة البيانات'!$C$6:$C$305,$Q$12),1),INDEX('قاعدة البيانات'!$K$6:$K$305,$Q$12)))</f>
        <v>ج</v>
      </c>
      <c r="C21" s="123"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B-004
🎓 سنة تانية
🚶 يروح لوحده: —
📝 مفيش ملاحظات</v>
      </c>
      <c r="D21" s="123"/>
      <c r="F21" s="37" t="e" vm="44">
        <f>IF($Q$13=0,"",IF(ISBLANK(INDEX('قاعدة البيانات'!$K$6:$K$305,$Q$13)),LEFT(INDEX('قاعدة البيانات'!$C$6:$C$305,$Q$13),1),INDEX('قاعدة البيانات'!$K$6:$K$305,$Q$13)))</f>
        <v>#VALUE!</v>
      </c>
      <c r="G21" s="123"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B-005
🎓 سنة تانية
🚶 يروح لوحده: —
📝 مفيش ملاحظات</v>
      </c>
      <c r="H21" s="123"/>
      <c r="J21" s="37" t="str">
        <f>IF($Q$14=0,"",IF(ISBLANK(INDEX('قاعدة البيانات'!$K$6:$K$305,$Q$14)),LEFT(INDEX('قاعدة البيانات'!$C$6:$C$305,$Q$14),1),INDEX('قاعدة البيانات'!$K$6:$K$305,$Q$14)))</f>
        <v>م</v>
      </c>
      <c r="K21" s="123"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B-006
🎓 سنة تانية
🚶 يروح لوحده: —
📝 مفيش ملاحظات</v>
      </c>
      <c r="L21" s="123"/>
      <c r="P21">
        <v>13</v>
      </c>
      <c r="Q21">
        <f>'حضور غبريال'!BL19</f>
        <v>13</v>
      </c>
      <c r="R21" t="str">
        <f>IF(Q21=0,"",INDEX('قاعدة البيانات'!$D$6:$D$305,Q21))</f>
        <v>ولد</v>
      </c>
      <c r="S21">
        <f>'حضور غبريال'!BM19</f>
        <v>0</v>
      </c>
    </row>
    <row r="22" spans="2:19" ht="24" customHeight="1">
      <c r="B22" s="38" t="str">
        <f>IF($Q$12=0,"","👩 ماما")</f>
        <v>👩 ماما</v>
      </c>
      <c r="C22" s="39" t="str">
        <f>IF($Q$12=0,"",IF(INDEX('قاعدة البيانات'!$H$6:$H$305,$Q$12)="","— مفيش رقم —",HYPERLINK("tel:"&amp;INDEX('قاعدة البيانات'!$H$6:$H$305,$Q$12),"📞 "&amp;INDEX('قاعدة البيانات'!$H$6:$H$305,$Q$12))))</f>
        <v>📞 01228872241</v>
      </c>
      <c r="D22" s="40" t="str">
        <f>IF(OR($Q$12=0,INDEX('قاعدة البيانات'!$H$6:$H$305,$Q$12)=""),"",HYPERLINK("https://wa.me/20"&amp;RIGHT(INDEX('قاعدة البيانات'!$H$6:$H$305,$Q$12),10),"💬 واتساب"))</f>
        <v>💬 واتساب</v>
      </c>
      <c r="F22" s="38" t="str">
        <f>IF($Q$13=0,"","👩 ماما")</f>
        <v>👩 ماما</v>
      </c>
      <c r="G22" s="39" t="str">
        <f>IF($Q$13=0,"",IF(INDEX('قاعدة البيانات'!$H$6:$H$305,$Q$13)="","— مفيش رقم —",HYPERLINK("tel:"&amp;INDEX('قاعدة البيانات'!$H$6:$H$305,$Q$13),"📞 "&amp;INDEX('قاعدة البيانات'!$H$6:$H$305,$Q$13))))</f>
        <v>📞 01270484412</v>
      </c>
      <c r="H22" s="40" t="str">
        <f>IF(OR($Q$13=0,INDEX('قاعدة البيانات'!$H$6:$H$305,$Q$13)=""),"",HYPERLINK("https://wa.me/20"&amp;RIGHT(INDEX('قاعدة البيانات'!$H$6:$H$305,$Q$13),10),"💬 واتساب"))</f>
        <v>💬 واتساب</v>
      </c>
      <c r="J22" s="38" t="str">
        <f>IF($Q$14=0,"","👩 ماما")</f>
        <v>👩 ماما</v>
      </c>
      <c r="K22" s="39" t="str">
        <f>IF($Q$14=0,"",IF(INDEX('قاعدة البيانات'!$H$6:$H$305,$Q$14)="","— مفيش رقم —",HYPERLINK("tel:"&amp;INDEX('قاعدة البيانات'!$H$6:$H$305,$Q$14),"📞 "&amp;INDEX('قاعدة البيانات'!$H$6:$H$305,$Q$14))))</f>
        <v>📞 01287449133</v>
      </c>
      <c r="L22" s="40" t="str">
        <f>IF(OR($Q$14=0,INDEX('قاعدة البيانات'!$H$6:$H$305,$Q$14)=""),"",HYPERLINK("https://wa.me/20"&amp;RIGHT(INDEX('قاعدة البيانات'!$H$6:$H$305,$Q$14),10),"💬 واتساب"))</f>
        <v>💬 واتساب</v>
      </c>
      <c r="P22">
        <v>14</v>
      </c>
      <c r="Q22">
        <f>'حضور غبريال'!BL20</f>
        <v>14</v>
      </c>
      <c r="R22" t="str">
        <f>IF(Q22=0,"",INDEX('قاعدة البيانات'!$D$6:$D$305,Q22))</f>
        <v>بنت</v>
      </c>
      <c r="S22">
        <f>'حضور غبريال'!BM20</f>
        <v>0</v>
      </c>
    </row>
    <row r="23" spans="2:19" ht="24" customHeight="1">
      <c r="B23" s="38" t="str">
        <f>IF($Q$12=0,"","👨 بابا")</f>
        <v>👨 بابا</v>
      </c>
      <c r="C23" s="39" t="str">
        <f>IF($Q$12=0,"",IF(INDEX('قاعدة البيانات'!$I$6:$I$305,$Q$12)="","— مفيش رقم —",HYPERLINK("tel:"&amp;INDEX('قاعدة البيانات'!$I$6:$I$305,$Q$12),"📞 "&amp;INDEX('قاعدة البيانات'!$I$6:$I$305,$Q$12))))</f>
        <v>— مفيش رقم —</v>
      </c>
      <c r="D23" s="40" t="str">
        <f>IF(OR($Q$12=0,INDEX('قاعدة البيانات'!$I$6:$I$305,$Q$12)=""),"",HYPERLINK("https://wa.me/20"&amp;RIGHT(INDEX('قاعدة البيانات'!$I$6:$I$305,$Q$12),10),"💬 واتساب"))</f>
        <v/>
      </c>
      <c r="F23" s="38" t="str">
        <f>IF($Q$13=0,"","👨 بابا")</f>
        <v>👨 بابا</v>
      </c>
      <c r="G23" s="39" t="str">
        <f>IF($Q$13=0,"",IF(INDEX('قاعدة البيانات'!$I$6:$I$305,$Q$13)="","— مفيش رقم —",HYPERLINK("tel:"&amp;INDEX('قاعدة البيانات'!$I$6:$I$305,$Q$13),"📞 "&amp;INDEX('قاعدة البيانات'!$I$6:$I$305,$Q$13))))</f>
        <v>— مفيش رقم —</v>
      </c>
      <c r="H23" s="40" t="str">
        <f>IF(OR($Q$13=0,INDEX('قاعدة البيانات'!$I$6:$I$305,$Q$13)=""),"",HYPERLINK("https://wa.me/20"&amp;RIGHT(INDEX('قاعدة البيانات'!$I$6:$I$305,$Q$13),10),"💬 واتساب"))</f>
        <v/>
      </c>
      <c r="J23" s="38" t="str">
        <f>IF($Q$14=0,"","👨 بابا")</f>
        <v>👨 بابا</v>
      </c>
      <c r="K23" s="39" t="str">
        <f>IF($Q$14=0,"",IF(INDEX('قاعدة البيانات'!$I$6:$I$305,$Q$14)="","— مفيش رقم —",HYPERLINK("tel:"&amp;INDEX('قاعدة البيانات'!$I$6:$I$305,$Q$14),"📞 "&amp;INDEX('قاعدة البيانات'!$I$6:$I$305,$Q$14))))</f>
        <v>— مفيش رقم —</v>
      </c>
      <c r="L23" s="40" t="str">
        <f>IF(OR($Q$14=0,INDEX('قاعدة البيانات'!$I$6:$I$305,$Q$14)=""),"",HYPERLINK("https://wa.me/20"&amp;RIGHT(INDEX('قاعدة البيانات'!$I$6:$I$305,$Q$14),10),"💬 واتساب"))</f>
        <v/>
      </c>
      <c r="P23">
        <v>15</v>
      </c>
      <c r="Q23">
        <f>'حضور غبريال'!BL21</f>
        <v>15</v>
      </c>
      <c r="R23" t="str">
        <f>IF(Q23=0,"",INDEX('قاعدة البيانات'!$D$6:$D$305,Q23))</f>
        <v>ولد</v>
      </c>
      <c r="S23">
        <f>'حضور غبريال'!BM21</f>
        <v>0</v>
      </c>
    </row>
    <row r="24" spans="2:19" ht="37.5" customHeight="1">
      <c r="B24" s="124" t="str">
        <f>IF($Q$12=0,"","📍 "&amp;IF(INDEX('قاعدة البيانات'!$J$6:$J$305,$Q$12)="","— مفيش عنوان —",INDEX('قاعدة البيانات'!$J$6:$J$305,$Q$12)))</f>
        <v>📍 5 شارع البشرى المليحة - صيدلية ميشيل</v>
      </c>
      <c r="C24" s="124"/>
      <c r="D24" s="124"/>
      <c r="F24" s="124" t="str">
        <f>IF($Q$13=0,"","📍 "&amp;IF(INDEX('قاعدة البيانات'!$J$6:$J$305,$Q$13)="","— مفيش عنوان —",INDEX('قاعدة البيانات'!$J$6:$J$305,$Q$13)))</f>
        <v>📍 19 شارع عزبة الرشيدى - الدور 7 - عزبه النخل / 19 رشدى نساك</v>
      </c>
      <c r="G24" s="124"/>
      <c r="H24" s="124"/>
      <c r="J24" s="124" t="str">
        <f>IF($Q$14=0,"","📍 "&amp;IF(INDEX('قاعدة البيانات'!$J$6:$J$305,$Q$14)="","— مفيش عنوان —",INDEX('قاعدة البيانات'!$J$6:$J$305,$Q$14)))</f>
        <v>📍 2 شارع فايز مترى -  شقة 1 - الأرضي / مجدى البقال</v>
      </c>
      <c r="K24" s="124"/>
      <c r="L24" s="124"/>
      <c r="P24">
        <v>16</v>
      </c>
      <c r="Q24">
        <f>'حضور غبريال'!BL22</f>
        <v>16</v>
      </c>
      <c r="R24" t="str">
        <f>IF(Q24=0,"",INDEX('قاعدة البيانات'!$D$6:$D$305,Q24))</f>
        <v>بنت</v>
      </c>
      <c r="S24">
        <f>'حضور غبريال'!BM22</f>
        <v>0</v>
      </c>
    </row>
    <row r="25" spans="2:19" ht="21.75" customHeight="1">
      <c r="B25" s="125" t="str">
        <f>IF($Q$12=0,"","📊 إحصائيات الحضور")</f>
        <v>📊 إحصائيات الحضور</v>
      </c>
      <c r="C25" s="125"/>
      <c r="D25" s="125"/>
      <c r="F25" s="125" t="str">
        <f>IF($Q$13=0,"","📊 إحصائيات الحضور")</f>
        <v>📊 إحصائيات الحضور</v>
      </c>
      <c r="G25" s="125"/>
      <c r="H25" s="125"/>
      <c r="J25" s="125" t="str">
        <f>IF($Q$14=0,"","📊 إحصائيات الحضور")</f>
        <v>📊 إحصائيات الحضور</v>
      </c>
      <c r="K25" s="125"/>
      <c r="L25" s="125"/>
      <c r="P25">
        <v>17</v>
      </c>
      <c r="Q25">
        <f>'حضور غبريال'!BL23</f>
        <v>17</v>
      </c>
      <c r="R25" t="str">
        <f>IF(Q25=0,"",INDEX('قاعدة البيانات'!$D$6:$D$305,Q25))</f>
        <v>بنت</v>
      </c>
      <c r="S25">
        <f>'حضور غبريال'!BM23</f>
        <v>0</v>
      </c>
    </row>
    <row r="26" spans="2:19" ht="15.75" customHeight="1">
      <c r="B26" s="41" t="str">
        <f>IF($Q$12=0,"","✅ حضور")</f>
        <v>✅ حضور</v>
      </c>
      <c r="C26" s="41" t="str">
        <f>IF($Q$12=0,"","❌ غياب")</f>
        <v>❌ غياب</v>
      </c>
      <c r="D26" s="41" t="str">
        <f>IF($Q$12=0,"","📈 النسبة")</f>
        <v>📈 النسبة</v>
      </c>
      <c r="F26" s="41" t="str">
        <f>IF($Q$13=0,"","✅ حضور")</f>
        <v>✅ حضور</v>
      </c>
      <c r="G26" s="41" t="str">
        <f>IF($Q$13=0,"","❌ غياب")</f>
        <v>❌ غياب</v>
      </c>
      <c r="H26" s="41" t="str">
        <f>IF($Q$13=0,"","📈 النسبة")</f>
        <v>📈 النسبة</v>
      </c>
      <c r="J26" s="41" t="str">
        <f>IF($Q$14=0,"","✅ حضور")</f>
        <v>✅ حضور</v>
      </c>
      <c r="K26" s="41" t="str">
        <f>IF($Q$14=0,"","❌ غياب")</f>
        <v>❌ غياب</v>
      </c>
      <c r="L26" s="41" t="str">
        <f>IF($Q$14=0,"","📈 النسبة")</f>
        <v>📈 النسبة</v>
      </c>
      <c r="P26">
        <v>18</v>
      </c>
      <c r="Q26">
        <f>'حضور غبريال'!BL24</f>
        <v>18</v>
      </c>
      <c r="R26" t="str">
        <f>IF(Q26=0,"",INDEX('قاعدة البيانات'!$D$6:$D$305,Q26))</f>
        <v>ولد</v>
      </c>
      <c r="S26">
        <f>'حضور غبريال'!BM24</f>
        <v>0</v>
      </c>
    </row>
    <row r="27" spans="2:19" ht="33.75" customHeight="1">
      <c r="B27" s="42">
        <f>'حضور غبريال'!C10</f>
        <v>0</v>
      </c>
      <c r="C27" s="43">
        <f>'حضور غبريال'!D10</f>
        <v>0</v>
      </c>
      <c r="D27" s="44" t="str">
        <f>'حضور غبريال'!F10</f>
        <v/>
      </c>
      <c r="F27" s="42">
        <f>'حضور غبريال'!C11</f>
        <v>0</v>
      </c>
      <c r="G27" s="43">
        <f>'حضور غبريال'!D11</f>
        <v>0</v>
      </c>
      <c r="H27" s="44" t="str">
        <f>'حضور غبريال'!F11</f>
        <v/>
      </c>
      <c r="J27" s="42">
        <f>'حضور غبريال'!C12</f>
        <v>0</v>
      </c>
      <c r="K27" s="43">
        <f>'حضور غبريال'!D12</f>
        <v>0</v>
      </c>
      <c r="L27" s="44" t="str">
        <f>'حضور غبريال'!F12</f>
        <v/>
      </c>
      <c r="P27">
        <v>19</v>
      </c>
      <c r="Q27">
        <f>'حضور غبريال'!BL25</f>
        <v>19</v>
      </c>
      <c r="R27" t="str">
        <f>IF(Q27=0,"",INDEX('قاعدة البيانات'!$D$6:$D$305,Q27))</f>
        <v>بنت</v>
      </c>
      <c r="S27">
        <f>'حضور غبريال'!BM25</f>
        <v>0</v>
      </c>
    </row>
    <row r="28" spans="2:19" ht="24" customHeight="1">
      <c r="B28" s="126" t="str">
        <f>'حضور غبريال'!I10</f>
        <v>⏳ لسه مفيش حضور</v>
      </c>
      <c r="C28" s="126"/>
      <c r="D28" s="126"/>
      <c r="F28" s="126" t="str">
        <f>'حضور غبريال'!I11</f>
        <v>⏳ لسه مفيش حضور</v>
      </c>
      <c r="G28" s="126"/>
      <c r="H28" s="126"/>
      <c r="J28" s="126" t="str">
        <f>'حضور غبريال'!I12</f>
        <v>⏳ لسه مفيش حضور</v>
      </c>
      <c r="K28" s="126"/>
      <c r="L28" s="126"/>
      <c r="P28">
        <v>20</v>
      </c>
      <c r="Q28">
        <f>'حضور غبريال'!BL26</f>
        <v>20</v>
      </c>
      <c r="R28" t="str">
        <f>IF(Q28=0,"",INDEX('قاعدة البيانات'!$D$6:$D$305,Q28))</f>
        <v>بنت</v>
      </c>
      <c r="S28">
        <f>'حضور غبريال'!BM26</f>
        <v>0</v>
      </c>
    </row>
    <row r="29" spans="2:19" ht="19.5" customHeight="1">
      <c r="B29" s="127" t="str">
        <f>IF($Q$12=0,"","🗓️ آخر حضور: "&amp;IF(ISNUMBER('حضور غبريال'!H10),DAY('حضور غبريال'!H10)&amp;"/"&amp;MONTH('حضور غبريال'!H10)&amp;"/"&amp;YEAR('حضور غبريال'!H10),"—")&amp;"   •   غياب متتالي: "&amp;'حضور غبريال'!G10)</f>
        <v>🗓️ آخر حضور: —   •   غياب متتالي: 0</v>
      </c>
      <c r="C29" s="127"/>
      <c r="D29" s="127"/>
      <c r="F29" s="127" t="str">
        <f>IF($Q$13=0,"","🗓️ آخر حضور: "&amp;IF(ISNUMBER('حضور غبريال'!H11),DAY('حضور غبريال'!H11)&amp;"/"&amp;MONTH('حضور غبريال'!H11)&amp;"/"&amp;YEAR('حضور غبريال'!H11),"—")&amp;"   •   غياب متتالي: "&amp;'حضور غبريال'!G11)</f>
        <v>🗓️ آخر حضور: —   •   غياب متتالي: 0</v>
      </c>
      <c r="G29" s="127"/>
      <c r="H29" s="127"/>
      <c r="J29" s="127" t="str">
        <f>IF($Q$14=0,"","🗓️ آخر حضور: "&amp;IF(ISNUMBER('حضور غبريال'!H12),DAY('حضور غبريال'!H12)&amp;"/"&amp;MONTH('حضور غبريال'!H12)&amp;"/"&amp;YEAR('حضور غبريال'!H12),"—")&amp;"   •   غياب متتالي: "&amp;'حضور غبريال'!G12)</f>
        <v>🗓️ آخر حضور: —   •   غياب متتالي: 0</v>
      </c>
      <c r="K29" s="127"/>
      <c r="L29" s="127"/>
      <c r="P29">
        <v>21</v>
      </c>
      <c r="Q29">
        <f>'حضور غبريال'!BL27</f>
        <v>21</v>
      </c>
      <c r="R29" t="str">
        <f>IF(Q29=0,"",INDEX('قاعدة البيانات'!$D$6:$D$305,Q29))</f>
        <v>بنت</v>
      </c>
      <c r="S29">
        <f>'حضور غبريال'!BM27</f>
        <v>0</v>
      </c>
    </row>
    <row r="30" spans="2:19" ht="13.5" customHeight="1">
      <c r="P30">
        <v>22</v>
      </c>
      <c r="Q30">
        <f>'حضور غبريال'!BL28</f>
        <v>22</v>
      </c>
      <c r="R30" t="str">
        <f>IF(Q30=0,"",INDEX('قاعدة البيانات'!$D$6:$D$305,Q30))</f>
        <v>بنت</v>
      </c>
      <c r="S30">
        <f>'حضور غبريال'!BM28</f>
        <v>0</v>
      </c>
    </row>
    <row r="31" spans="2:19" ht="30" customHeight="1">
      <c r="B31" s="122" t="str">
        <f>IF($Q$15=0,"",IF(INDEX('قاعدة البيانات'!$D$6:$D$305,$Q$15)="بنت","👧 ","👦 ")&amp;INDEX('قاعدة البيانات'!$C$6:$C$305,$Q$15))</f>
        <v>👦 بولا غالى توفيق</v>
      </c>
      <c r="C31" s="122"/>
      <c r="D31" s="122"/>
      <c r="F31" s="122" t="str">
        <f>IF($Q$16=0,"",IF(INDEX('قاعدة البيانات'!$D$6:$D$305,$Q$16)="بنت","👧 ","👦 ")&amp;INDEX('قاعدة البيانات'!$C$6:$C$305,$Q$16))</f>
        <v>👧 ماري جرجس اسحق عطا الله</v>
      </c>
      <c r="G31" s="122"/>
      <c r="H31" s="122"/>
      <c r="J31" s="122" t="str">
        <f>IF($Q$17=0,"",IF(INDEX('قاعدة البيانات'!$D$6:$D$305,$Q$17)="بنت","👧 ","👦 ")&amp;INDEX('قاعدة البيانات'!$C$6:$C$305,$Q$17))</f>
        <v>👦 بيشوى سمير ميخائيل فيلته</v>
      </c>
      <c r="K31" s="122"/>
      <c r="L31" s="122"/>
      <c r="P31">
        <v>23</v>
      </c>
      <c r="Q31">
        <f>'حضور غبريال'!BL29</f>
        <v>23</v>
      </c>
      <c r="R31" t="str">
        <f>IF(Q31=0,"",INDEX('قاعدة البيانات'!$D$6:$D$305,Q31))</f>
        <v>بنت</v>
      </c>
      <c r="S31">
        <f>'حضور غبريال'!BM29</f>
        <v>0</v>
      </c>
    </row>
    <row r="32" spans="2:19" ht="108" customHeight="1">
      <c r="B32" s="37" t="str">
        <f>IF($Q$15=0,"",IF(ISBLANK(INDEX('قاعدة البيانات'!$K$6:$K$305,$Q$15)),LEFT(INDEX('قاعدة البيانات'!$C$6:$C$305,$Q$15),1),INDEX('قاعدة البيانات'!$K$6:$K$305,$Q$15)))</f>
        <v>ب</v>
      </c>
      <c r="C32" s="123"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B-007
🎓 سنة تانية
🚶 يروح لوحده: —
📝 مفيش ملاحظات</v>
      </c>
      <c r="D32" s="123"/>
      <c r="F32" s="37" t="e" vm="45">
        <f>IF($Q$16=0,"",IF(ISBLANK(INDEX('قاعدة البيانات'!$K$6:$K$305,$Q$16)),LEFT(INDEX('قاعدة البيانات'!$C$6:$C$305,$Q$16),1),INDEX('قاعدة البيانات'!$K$6:$K$305,$Q$16)))</f>
        <v>#VALUE!</v>
      </c>
      <c r="G32" s="123"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B-008
🎓 سنة تانية
🚶 يروح لوحده: —
📝 مفيش ملاحظات</v>
      </c>
      <c r="H32" s="123"/>
      <c r="J32" s="37" t="e" vm="46">
        <f>IF($Q$17=0,"",IF(ISBLANK(INDEX('قاعدة البيانات'!$K$6:$K$305,$Q$17)),LEFT(INDEX('قاعدة البيانات'!$C$6:$C$305,$Q$17),1),INDEX('قاعدة البيانات'!$K$6:$K$305,$Q$17)))</f>
        <v>#VALUE!</v>
      </c>
      <c r="K32" s="123"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B-009
🎓 سنة تانية
🚶 يروح لوحده: —
📝 مفيش ملاحظات</v>
      </c>
      <c r="L32" s="123"/>
      <c r="P32">
        <v>24</v>
      </c>
      <c r="Q32">
        <f>'حضور غبريال'!BL30</f>
        <v>24</v>
      </c>
      <c r="R32" t="str">
        <f>IF(Q32=0,"",INDEX('قاعدة البيانات'!$D$6:$D$305,Q32))</f>
        <v>بنت</v>
      </c>
      <c r="S32">
        <f>'حضور غبريال'!BM30</f>
        <v>0</v>
      </c>
    </row>
    <row r="33" spans="2:19" ht="24" customHeight="1">
      <c r="B33" s="38" t="str">
        <f>IF($Q$15=0,"","👩 ماما")</f>
        <v>👩 ماما</v>
      </c>
      <c r="C33" s="39" t="str">
        <f>IF($Q$15=0,"",IF(INDEX('قاعدة البيانات'!$H$6:$H$305,$Q$15)="","— مفيش رقم —",HYPERLINK("tel:"&amp;INDEX('قاعدة البيانات'!$H$6:$H$305,$Q$15),"📞 "&amp;INDEX('قاعدة البيانات'!$H$6:$H$305,$Q$15))))</f>
        <v>📞 01201247688</v>
      </c>
      <c r="D33" s="40" t="str">
        <f>IF(OR($Q$15=0,INDEX('قاعدة البيانات'!$H$6:$H$305,$Q$15)=""),"",HYPERLINK("https://wa.me/20"&amp;RIGHT(INDEX('قاعدة البيانات'!$H$6:$H$305,$Q$15),10),"💬 واتساب"))</f>
        <v>💬 واتساب</v>
      </c>
      <c r="F33" s="38" t="str">
        <f>IF($Q$16=0,"","👩 ماما")</f>
        <v>👩 ماما</v>
      </c>
      <c r="G33" s="39" t="str">
        <f>IF($Q$16=0,"",IF(INDEX('قاعدة البيانات'!$H$6:$H$305,$Q$16)="","— مفيش رقم —",HYPERLINK("tel:"&amp;INDEX('قاعدة البيانات'!$H$6:$H$305,$Q$16),"📞 "&amp;INDEX('قاعدة البيانات'!$H$6:$H$305,$Q$16))))</f>
        <v>📞 01201652497</v>
      </c>
      <c r="H33" s="40" t="str">
        <f>IF(OR($Q$16=0,INDEX('قاعدة البيانات'!$H$6:$H$305,$Q$16)=""),"",HYPERLINK("https://wa.me/20"&amp;RIGHT(INDEX('قاعدة البيانات'!$H$6:$H$305,$Q$16),10),"💬 واتساب"))</f>
        <v>💬 واتساب</v>
      </c>
      <c r="J33" s="38" t="str">
        <f>IF($Q$17=0,"","👩 ماما")</f>
        <v>👩 ماما</v>
      </c>
      <c r="K33" s="39" t="str">
        <f>IF($Q$17=0,"",IF(INDEX('قاعدة البيانات'!$H$6:$H$305,$Q$17)="","— مفيش رقم —",HYPERLINK("tel:"&amp;INDEX('قاعدة البيانات'!$H$6:$H$305,$Q$17),"📞 "&amp;INDEX('قاعدة البيانات'!$H$6:$H$305,$Q$17))))</f>
        <v>📞 01208183104</v>
      </c>
      <c r="L33" s="40" t="str">
        <f>IF(OR($Q$17=0,INDEX('قاعدة البيانات'!$H$6:$H$305,$Q$17)=""),"",HYPERLINK("https://wa.me/20"&amp;RIGHT(INDEX('قاعدة البيانات'!$H$6:$H$305,$Q$17),10),"💬 واتساب"))</f>
        <v>💬 واتساب</v>
      </c>
      <c r="P33">
        <v>25</v>
      </c>
      <c r="Q33">
        <f>'حضور غبريال'!BL31</f>
        <v>0</v>
      </c>
      <c r="R33" t="str">
        <f>IF(Q33=0,"",INDEX('قاعدة البيانات'!$D$6:$D$305,Q33))</f>
        <v/>
      </c>
      <c r="S33">
        <f>'حضور غبريال'!BM31</f>
        <v>0</v>
      </c>
    </row>
    <row r="34" spans="2:19" ht="24" customHeight="1">
      <c r="B34" s="38" t="str">
        <f>IF($Q$15=0,"","👨 بابا")</f>
        <v>👨 بابا</v>
      </c>
      <c r="C34" s="39" t="str">
        <f>IF($Q$15=0,"",IF(INDEX('قاعدة البيانات'!$I$6:$I$305,$Q$15)="","— مفيش رقم —",HYPERLINK("tel:"&amp;INDEX('قاعدة البيانات'!$I$6:$I$305,$Q$15),"📞 "&amp;INDEX('قاعدة البيانات'!$I$6:$I$305,$Q$15))))</f>
        <v>📞 01206588362</v>
      </c>
      <c r="D34" s="40" t="str">
        <f>IF(OR($Q$15=0,INDEX('قاعدة البيانات'!$I$6:$I$305,$Q$15)=""),"",HYPERLINK("https://wa.me/20"&amp;RIGHT(INDEX('قاعدة البيانات'!$I$6:$I$305,$Q$15),10),"💬 واتساب"))</f>
        <v>💬 واتساب</v>
      </c>
      <c r="F34" s="38" t="str">
        <f>IF($Q$16=0,"","👨 بابا")</f>
        <v>👨 بابا</v>
      </c>
      <c r="G34" s="39" t="str">
        <f>IF($Q$16=0,"",IF(INDEX('قاعدة البيانات'!$I$6:$I$305,$Q$16)="","— مفيش رقم —",HYPERLINK("tel:"&amp;INDEX('قاعدة البيانات'!$I$6:$I$305,$Q$16),"📞 "&amp;INDEX('قاعدة البيانات'!$I$6:$I$305,$Q$16))))</f>
        <v>— مفيش رقم —</v>
      </c>
      <c r="H34" s="40" t="str">
        <f>IF(OR($Q$16=0,INDEX('قاعدة البيانات'!$I$6:$I$305,$Q$16)=""),"",HYPERLINK("https://wa.me/20"&amp;RIGHT(INDEX('قاعدة البيانات'!$I$6:$I$305,$Q$16),10),"💬 واتساب"))</f>
        <v/>
      </c>
      <c r="J34" s="38" t="str">
        <f>IF($Q$17=0,"","👨 بابا")</f>
        <v>👨 بابا</v>
      </c>
      <c r="K34" s="39" t="str">
        <f>IF($Q$17=0,"",IF(INDEX('قاعدة البيانات'!$I$6:$I$305,$Q$17)="","— مفيش رقم —",HYPERLINK("tel:"&amp;INDEX('قاعدة البيانات'!$I$6:$I$305,$Q$17),"📞 "&amp;INDEX('قاعدة البيانات'!$I$6:$I$305,$Q$17))))</f>
        <v>— مفيش رقم —</v>
      </c>
      <c r="L34" s="40" t="str">
        <f>IF(OR($Q$17=0,INDEX('قاعدة البيانات'!$I$6:$I$305,$Q$17)=""),"",HYPERLINK("https://wa.me/20"&amp;RIGHT(INDEX('قاعدة البيانات'!$I$6:$I$305,$Q$17),10),"💬 واتساب"))</f>
        <v/>
      </c>
      <c r="P34">
        <v>26</v>
      </c>
      <c r="Q34">
        <f>'حضور غبريال'!BL32</f>
        <v>0</v>
      </c>
      <c r="R34" t="str">
        <f>IF(Q34=0,"",INDEX('قاعدة البيانات'!$D$6:$D$305,Q34))</f>
        <v/>
      </c>
      <c r="S34">
        <f>'حضور غبريال'!BM32</f>
        <v>0</v>
      </c>
    </row>
    <row r="35" spans="2:19" ht="37.5" customHeight="1">
      <c r="B35" s="124" t="str">
        <f>IF($Q$15=0,"","📍 "&amp;IF(INDEX('قاعدة البيانات'!$J$6:$J$305,$Q$15)="","— مفيش عنوان —",INDEX('قاعدة البيانات'!$J$6:$J$305,$Q$15)))</f>
        <v>📍 25 شارع عبد الشافى حسن</v>
      </c>
      <c r="C35" s="124"/>
      <c r="D35" s="124"/>
      <c r="F35" s="124" t="str">
        <f>IF($Q$16=0,"","📍 "&amp;IF(INDEX('قاعدة البيانات'!$J$6:$J$305,$Q$16)="","— مفيش عنوان —",INDEX('قاعدة البيانات'!$J$6:$J$305,$Q$16)))</f>
        <v>📍 4 شارع روفائيل سليمان -  شقة 85 الدور 11 - امام الاسانسير</v>
      </c>
      <c r="G35" s="124"/>
      <c r="H35" s="124"/>
      <c r="J35" s="124" t="str">
        <f>IF($Q$17=0,"","📍 "&amp;IF(INDEX('قاعدة البيانات'!$J$6:$J$305,$Q$17)="","— مفيش عنوان —",INDEX('قاعدة البيانات'!$J$6:$J$305,$Q$17)))</f>
        <v>📍 10 شارع عطوه حسن - شقة 4 الدور 4</v>
      </c>
      <c r="K35" s="124"/>
      <c r="L35" s="124"/>
      <c r="P35">
        <v>27</v>
      </c>
      <c r="Q35">
        <f>'حضور غبريال'!BL33</f>
        <v>0</v>
      </c>
      <c r="R35" t="str">
        <f>IF(Q35=0,"",INDEX('قاعدة البيانات'!$D$6:$D$305,Q35))</f>
        <v/>
      </c>
      <c r="S35">
        <f>'حضور غبريال'!BM33</f>
        <v>0</v>
      </c>
    </row>
    <row r="36" spans="2:19" ht="21.75" customHeight="1">
      <c r="B36" s="125" t="str">
        <f>IF($Q$15=0,"","📊 إحصائيات الحضور")</f>
        <v>📊 إحصائيات الحضور</v>
      </c>
      <c r="C36" s="125"/>
      <c r="D36" s="125"/>
      <c r="F36" s="125" t="str">
        <f>IF($Q$16=0,"","📊 إحصائيات الحضور")</f>
        <v>📊 إحصائيات الحضور</v>
      </c>
      <c r="G36" s="125"/>
      <c r="H36" s="125"/>
      <c r="J36" s="125" t="str">
        <f>IF($Q$17=0,"","📊 إحصائيات الحضور")</f>
        <v>📊 إحصائيات الحضور</v>
      </c>
      <c r="K36" s="125"/>
      <c r="L36" s="125"/>
      <c r="P36">
        <v>28</v>
      </c>
      <c r="Q36">
        <f>'حضور غبريال'!BL34</f>
        <v>0</v>
      </c>
      <c r="R36" t="str">
        <f>IF(Q36=0,"",INDEX('قاعدة البيانات'!$D$6:$D$305,Q36))</f>
        <v/>
      </c>
      <c r="S36">
        <f>'حضور غبريال'!BM34</f>
        <v>0</v>
      </c>
    </row>
    <row r="37" spans="2:19" ht="15.75" customHeight="1">
      <c r="B37" s="41" t="str">
        <f>IF($Q$15=0,"","✅ حضور")</f>
        <v>✅ حضور</v>
      </c>
      <c r="C37" s="41" t="str">
        <f>IF($Q$15=0,"","❌ غياب")</f>
        <v>❌ غياب</v>
      </c>
      <c r="D37" s="41" t="str">
        <f>IF($Q$15=0,"","📈 النسبة")</f>
        <v>📈 النسبة</v>
      </c>
      <c r="F37" s="41" t="str">
        <f>IF($Q$16=0,"","✅ حضور")</f>
        <v>✅ حضور</v>
      </c>
      <c r="G37" s="41" t="str">
        <f>IF($Q$16=0,"","❌ غياب")</f>
        <v>❌ غياب</v>
      </c>
      <c r="H37" s="41" t="str">
        <f>IF($Q$16=0,"","📈 النسبة")</f>
        <v>📈 النسبة</v>
      </c>
      <c r="J37" s="41" t="str">
        <f>IF($Q$17=0,"","✅ حضور")</f>
        <v>✅ حضور</v>
      </c>
      <c r="K37" s="41" t="str">
        <f>IF($Q$17=0,"","❌ غياب")</f>
        <v>❌ غياب</v>
      </c>
      <c r="L37" s="41" t="str">
        <f>IF($Q$17=0,"","📈 النسبة")</f>
        <v>📈 النسبة</v>
      </c>
      <c r="P37">
        <v>29</v>
      </c>
      <c r="Q37">
        <f>'حضور غبريال'!BL35</f>
        <v>0</v>
      </c>
      <c r="R37" t="str">
        <f>IF(Q37=0,"",INDEX('قاعدة البيانات'!$D$6:$D$305,Q37))</f>
        <v/>
      </c>
      <c r="S37">
        <f>'حضور غبريال'!BM35</f>
        <v>0</v>
      </c>
    </row>
    <row r="38" spans="2:19" ht="33.75" customHeight="1">
      <c r="B38" s="42">
        <f>'حضور غبريال'!C13</f>
        <v>0</v>
      </c>
      <c r="C38" s="43">
        <f>'حضور غبريال'!D13</f>
        <v>0</v>
      </c>
      <c r="D38" s="44" t="str">
        <f>'حضور غبريال'!F13</f>
        <v/>
      </c>
      <c r="F38" s="42">
        <f>'حضور غبريال'!C14</f>
        <v>0</v>
      </c>
      <c r="G38" s="43">
        <f>'حضور غبريال'!D14</f>
        <v>0</v>
      </c>
      <c r="H38" s="44" t="str">
        <f>'حضور غبريال'!F14</f>
        <v/>
      </c>
      <c r="J38" s="42">
        <f>'حضور غبريال'!C15</f>
        <v>0</v>
      </c>
      <c r="K38" s="43">
        <f>'حضور غبريال'!D15</f>
        <v>0</v>
      </c>
      <c r="L38" s="44" t="str">
        <f>'حضور غبريال'!F15</f>
        <v/>
      </c>
      <c r="P38">
        <v>30</v>
      </c>
      <c r="Q38">
        <f>'حضور غبريال'!BL36</f>
        <v>0</v>
      </c>
      <c r="R38" t="str">
        <f>IF(Q38=0,"",INDEX('قاعدة البيانات'!$D$6:$D$305,Q38))</f>
        <v/>
      </c>
      <c r="S38">
        <f>'حضور غبريال'!BM36</f>
        <v>0</v>
      </c>
    </row>
    <row r="39" spans="2:19" ht="24" customHeight="1">
      <c r="B39" s="126" t="str">
        <f>'حضور غبريال'!I13</f>
        <v>⏳ لسه مفيش حضور</v>
      </c>
      <c r="C39" s="126"/>
      <c r="D39" s="126"/>
      <c r="F39" s="126" t="str">
        <f>'حضور غبريال'!I14</f>
        <v>⏳ لسه مفيش حضور</v>
      </c>
      <c r="G39" s="126"/>
      <c r="H39" s="126"/>
      <c r="J39" s="126" t="str">
        <f>'حضور غبريال'!I15</f>
        <v>⏳ لسه مفيش حضور</v>
      </c>
      <c r="K39" s="126"/>
      <c r="L39" s="126"/>
    </row>
    <row r="40" spans="2:19" ht="19.5" customHeight="1">
      <c r="B40" s="127" t="str">
        <f>IF($Q$15=0,"","🗓️ آخر حضور: "&amp;IF(ISNUMBER('حضور غبريال'!H13),DAY('حضور غبريال'!H13)&amp;"/"&amp;MONTH('حضور غبريال'!H13)&amp;"/"&amp;YEAR('حضور غبريال'!H13),"—")&amp;"   •   غياب متتالي: "&amp;'حضور غبريال'!G13)</f>
        <v>🗓️ آخر حضور: —   •   غياب متتالي: 0</v>
      </c>
      <c r="C40" s="127"/>
      <c r="D40" s="127"/>
      <c r="F40" s="127" t="str">
        <f>IF($Q$16=0,"","🗓️ آخر حضور: "&amp;IF(ISNUMBER('حضور غبريال'!H14),DAY('حضور غبريال'!H14)&amp;"/"&amp;MONTH('حضور غبريال'!H14)&amp;"/"&amp;YEAR('حضور غبريال'!H14),"—")&amp;"   •   غياب متتالي: "&amp;'حضور غبريال'!G14)</f>
        <v>🗓️ آخر حضور: —   •   غياب متتالي: 0</v>
      </c>
      <c r="G40" s="127"/>
      <c r="H40" s="127"/>
      <c r="J40" s="127" t="str">
        <f>IF($Q$17=0,"","🗓️ آخر حضور: "&amp;IF(ISNUMBER('حضور غبريال'!H15),DAY('حضور غبريال'!H15)&amp;"/"&amp;MONTH('حضور غبريال'!H15)&amp;"/"&amp;YEAR('حضور غبريال'!H15),"—")&amp;"   •   غياب متتالي: "&amp;'حضور غبريال'!G15)</f>
        <v>🗓️ آخر حضور: —   •   غياب متتالي: 0</v>
      </c>
      <c r="K40" s="127"/>
      <c r="L40" s="127"/>
    </row>
    <row r="41" spans="2:19" ht="13.5" customHeight="1"/>
    <row r="42" spans="2:19" ht="30" customHeight="1">
      <c r="B42" s="122" t="str">
        <f>IF($Q$18=0,"",IF(INDEX('قاعدة البيانات'!$D$6:$D$305,$Q$18)="بنت","👧 ","👦 ")&amp;INDEX('قاعدة البيانات'!$C$6:$C$305,$Q$18))</f>
        <v>👦 دانييلا توفيق شوقي</v>
      </c>
      <c r="C42" s="122"/>
      <c r="D42" s="122"/>
      <c r="F42" s="122" t="str">
        <f>IF($Q$19=0,"",IF(INDEX('قاعدة البيانات'!$D$6:$D$305,$Q$19)="بنت","👧 ","👦 ")&amp;INDEX('قاعدة البيانات'!$C$6:$C$305,$Q$19))</f>
        <v>👦 بولا ابانوب كرم شلبى</v>
      </c>
      <c r="G42" s="122"/>
      <c r="H42" s="122"/>
      <c r="J42" s="122" t="str">
        <f>IF($Q$20=0,"",IF(INDEX('قاعدة البيانات'!$D$6:$D$305,$Q$20)="بنت","👧 ","👦 ")&amp;INDEX('قاعدة البيانات'!$C$6:$C$305,$Q$20))</f>
        <v>👧 دولوريس جوزيف رزق الله</v>
      </c>
      <c r="K42" s="122"/>
      <c r="L42" s="122"/>
    </row>
    <row r="43" spans="2:19" ht="108" customHeight="1">
      <c r="B43" s="37" t="str">
        <f>IF($Q$18=0,"",IF(ISBLANK(INDEX('قاعدة البيانات'!$K$6:$K$305,$Q$18)),LEFT(INDEX('قاعدة البيانات'!$C$6:$C$305,$Q$18),1),INDEX('قاعدة البيانات'!$K$6:$K$305,$Q$18)))</f>
        <v>د</v>
      </c>
      <c r="C43" s="123"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B-010
🎓 سنة تانية
🚶 يروح لوحده: —
📝 مفيش ملاحظات</v>
      </c>
      <c r="D43" s="123"/>
      <c r="F43" s="37" t="e" vm="47">
        <f>IF($Q$19=0,"",IF(ISBLANK(INDEX('قاعدة البيانات'!$K$6:$K$305,$Q$19)),LEFT(INDEX('قاعدة البيانات'!$C$6:$C$305,$Q$19),1),INDEX('قاعدة البيانات'!$K$6:$K$305,$Q$19)))</f>
        <v>#VALUE!</v>
      </c>
      <c r="G43" s="123"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B-011
🎓 سنة تانية
🚶 يروح لوحده: —
📝 مفيش ملاحظات</v>
      </c>
      <c r="H43" s="123"/>
      <c r="J43" s="37" t="e" vm="48">
        <f>IF($Q$20=0,"",IF(ISBLANK(INDEX('قاعدة البيانات'!$K$6:$K$305,$Q$20)),LEFT(INDEX('قاعدة البيانات'!$C$6:$C$305,$Q$20),1),INDEX('قاعدة البيانات'!$K$6:$K$305,$Q$20)))</f>
        <v>#VALUE!</v>
      </c>
      <c r="K43" s="123"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B-012
🎓 سنة تانية
🚶 يروح لوحده: —
📝 مفيش ملاحظات</v>
      </c>
      <c r="L43" s="123"/>
    </row>
    <row r="44" spans="2:19" ht="24" customHeight="1">
      <c r="B44" s="38" t="str">
        <f>IF($Q$18=0,"","👩 ماما")</f>
        <v>👩 ماما</v>
      </c>
      <c r="C44" s="39" t="str">
        <f>IF($Q$18=0,"",IF(INDEX('قاعدة البيانات'!$H$6:$H$305,$Q$18)="","— مفيش رقم —",HYPERLINK("tel:"&amp;INDEX('قاعدة البيانات'!$H$6:$H$305,$Q$18),"📞 "&amp;INDEX('قاعدة البيانات'!$H$6:$H$305,$Q$18))))</f>
        <v>📞 01289871210</v>
      </c>
      <c r="D44" s="40" t="str">
        <f>IF(OR($Q$18=0,INDEX('قاعدة البيانات'!$H$6:$H$305,$Q$18)=""),"",HYPERLINK("https://wa.me/20"&amp;RIGHT(INDEX('قاعدة البيانات'!$H$6:$H$305,$Q$18),10),"💬 واتساب"))</f>
        <v>💬 واتساب</v>
      </c>
      <c r="F44" s="38" t="str">
        <f>IF($Q$19=0,"","👩 ماما")</f>
        <v>👩 ماما</v>
      </c>
      <c r="G44" s="39" t="str">
        <f>IF($Q$19=0,"",IF(INDEX('قاعدة البيانات'!$H$6:$H$305,$Q$19)="","— مفيش رقم —",HYPERLINK("tel:"&amp;INDEX('قاعدة البيانات'!$H$6:$H$305,$Q$19),"📞 "&amp;INDEX('قاعدة البيانات'!$H$6:$H$305,$Q$19))))</f>
        <v>📞 01225620289</v>
      </c>
      <c r="H44" s="40" t="str">
        <f>IF(OR($Q$19=0,INDEX('قاعدة البيانات'!$H$6:$H$305,$Q$19)=""),"",HYPERLINK("https://wa.me/20"&amp;RIGHT(INDEX('قاعدة البيانات'!$H$6:$H$305,$Q$19),10),"💬 واتساب"))</f>
        <v>💬 واتساب</v>
      </c>
      <c r="J44" s="38" t="str">
        <f>IF($Q$20=0,"","👩 ماما")</f>
        <v>👩 ماما</v>
      </c>
      <c r="K44" s="39" t="str">
        <f>IF($Q$20=0,"",IF(INDEX('قاعدة البيانات'!$H$6:$H$305,$Q$20)="","— مفيش رقم —",HYPERLINK("tel:"&amp;INDEX('قاعدة البيانات'!$H$6:$H$305,$Q$20),"📞 "&amp;INDEX('قاعدة البيانات'!$H$6:$H$305,$Q$20))))</f>
        <v>📞 01284105321</v>
      </c>
      <c r="L44" s="40" t="str">
        <f>IF(OR($Q$20=0,INDEX('قاعدة البيانات'!$H$6:$H$305,$Q$20)=""),"",HYPERLINK("https://wa.me/20"&amp;RIGHT(INDEX('قاعدة البيانات'!$H$6:$H$305,$Q$20),10),"💬 واتساب"))</f>
        <v>💬 واتساب</v>
      </c>
    </row>
    <row r="45" spans="2:19" ht="24" customHeight="1">
      <c r="B45" s="38" t="str">
        <f>IF($Q$18=0,"","👨 بابا")</f>
        <v>👨 بابا</v>
      </c>
      <c r="C45" s="39" t="str">
        <f>IF($Q$18=0,"",IF(INDEX('قاعدة البيانات'!$I$6:$I$305,$Q$18)="","— مفيش رقم —",HYPERLINK("tel:"&amp;INDEX('قاعدة البيانات'!$I$6:$I$305,$Q$18),"📞 "&amp;INDEX('قاعدة البيانات'!$I$6:$I$305,$Q$18))))</f>
        <v>— مفيش رقم —</v>
      </c>
      <c r="D45" s="40" t="str">
        <f>IF(OR($Q$18=0,INDEX('قاعدة البيانات'!$I$6:$I$305,$Q$18)=""),"",HYPERLINK("https://wa.me/20"&amp;RIGHT(INDEX('قاعدة البيانات'!$I$6:$I$305,$Q$18),10),"💬 واتساب"))</f>
        <v/>
      </c>
      <c r="F45" s="38" t="str">
        <f>IF($Q$19=0,"","👨 بابا")</f>
        <v>👨 بابا</v>
      </c>
      <c r="G45" s="39" t="str">
        <f>IF($Q$19=0,"",IF(INDEX('قاعدة البيانات'!$I$6:$I$305,$Q$19)="","— مفيش رقم —",HYPERLINK("tel:"&amp;INDEX('قاعدة البيانات'!$I$6:$I$305,$Q$19),"📞 "&amp;INDEX('قاعدة البيانات'!$I$6:$I$305,$Q$19))))</f>
        <v>— مفيش رقم —</v>
      </c>
      <c r="H45" s="40" t="str">
        <f>IF(OR($Q$19=0,INDEX('قاعدة البيانات'!$I$6:$I$305,$Q$19)=""),"",HYPERLINK("https://wa.me/20"&amp;RIGHT(INDEX('قاعدة البيانات'!$I$6:$I$305,$Q$19),10),"💬 واتساب"))</f>
        <v/>
      </c>
      <c r="J45" s="38" t="str">
        <f>IF($Q$20=0,"","👨 بابا")</f>
        <v>👨 بابا</v>
      </c>
      <c r="K45" s="39" t="str">
        <f>IF($Q$20=0,"",IF(INDEX('قاعدة البيانات'!$I$6:$I$305,$Q$20)="","— مفيش رقم —",HYPERLINK("tel:"&amp;INDEX('قاعدة البيانات'!$I$6:$I$305,$Q$20),"📞 "&amp;INDEX('قاعدة البيانات'!$I$6:$I$305,$Q$20))))</f>
        <v>— مفيش رقم —</v>
      </c>
      <c r="L45" s="40" t="str">
        <f>IF(OR($Q$20=0,INDEX('قاعدة البيانات'!$I$6:$I$305,$Q$20)=""),"",HYPERLINK("https://wa.me/20"&amp;RIGHT(INDEX('قاعدة البيانات'!$I$6:$I$305,$Q$20),10),"💬 واتساب"))</f>
        <v/>
      </c>
    </row>
    <row r="46" spans="2:19" ht="37.5" customHeight="1">
      <c r="B46" s="124" t="str">
        <f>IF($Q$18=0,"","📍 "&amp;IF(INDEX('قاعدة البيانات'!$J$6:$J$305,$Q$18)="","— مفيش عنوان —",INDEX('قاعدة البيانات'!$J$6:$J$305,$Q$18)))</f>
        <v>📍 8 شارع عبد العاطى احمد عليوة -  شقة 3 الدور 3 - متفرع من شارع جوجو</v>
      </c>
      <c r="C46" s="124"/>
      <c r="D46" s="124"/>
      <c r="F46" s="124" t="str">
        <f>IF($Q$19=0,"","📍 "&amp;IF(INDEX('قاعدة البيانات'!$J$6:$J$305,$Q$19)="","— مفيش عنوان —",INDEX('قاعدة البيانات'!$J$6:$J$305,$Q$19)))</f>
        <v>📍 2 شارع محمد عبد الله سلام - شقة 6 الدور 2 - منطقة 2</v>
      </c>
      <c r="G46" s="124"/>
      <c r="H46" s="124"/>
      <c r="J46" s="124" t="str">
        <f>IF($Q$20=0,"","📍 "&amp;IF(INDEX('قاعدة البيانات'!$J$6:$J$305,$Q$20)="","— مفيش عنوان —",INDEX('قاعدة البيانات'!$J$6:$J$305,$Q$20)))</f>
        <v>📍 26 شارع أحمد رفاعى -  شقة 6 الدور 6</v>
      </c>
      <c r="K46" s="124"/>
      <c r="L46" s="124"/>
    </row>
    <row r="47" spans="2:19" ht="21.75" customHeight="1">
      <c r="B47" s="125" t="str">
        <f>IF($Q$18=0,"","📊 إحصائيات الحضور")</f>
        <v>📊 إحصائيات الحضور</v>
      </c>
      <c r="C47" s="125"/>
      <c r="D47" s="125"/>
      <c r="F47" s="125" t="str">
        <f>IF($Q$19=0,"","📊 إحصائيات الحضور")</f>
        <v>📊 إحصائيات الحضور</v>
      </c>
      <c r="G47" s="125"/>
      <c r="H47" s="125"/>
      <c r="J47" s="125" t="str">
        <f>IF($Q$20=0,"","📊 إحصائيات الحضور")</f>
        <v>📊 إحصائيات الحضور</v>
      </c>
      <c r="K47" s="125"/>
      <c r="L47" s="125"/>
    </row>
    <row r="48" spans="2:19" ht="15.75" customHeight="1">
      <c r="B48" s="41" t="str">
        <f>IF($Q$18=0,"","✅ حضور")</f>
        <v>✅ حضور</v>
      </c>
      <c r="C48" s="41" t="str">
        <f>IF($Q$18=0,"","❌ غياب")</f>
        <v>❌ غياب</v>
      </c>
      <c r="D48" s="41" t="str">
        <f>IF($Q$18=0,"","📈 النسبة")</f>
        <v>📈 النسبة</v>
      </c>
      <c r="F48" s="41" t="str">
        <f>IF($Q$19=0,"","✅ حضور")</f>
        <v>✅ حضور</v>
      </c>
      <c r="G48" s="41" t="str">
        <f>IF($Q$19=0,"","❌ غياب")</f>
        <v>❌ غياب</v>
      </c>
      <c r="H48" s="41" t="str">
        <f>IF($Q$19=0,"","📈 النسبة")</f>
        <v>📈 النسبة</v>
      </c>
      <c r="J48" s="41" t="str">
        <f>IF($Q$20=0,"","✅ حضور")</f>
        <v>✅ حضور</v>
      </c>
      <c r="K48" s="41" t="str">
        <f>IF($Q$20=0,"","❌ غياب")</f>
        <v>❌ غياب</v>
      </c>
      <c r="L48" s="41" t="str">
        <f>IF($Q$20=0,"","📈 النسبة")</f>
        <v>📈 النسبة</v>
      </c>
    </row>
    <row r="49" spans="2:12" ht="33.75" customHeight="1">
      <c r="B49" s="42">
        <f>'حضور غبريال'!C16</f>
        <v>0</v>
      </c>
      <c r="C49" s="43">
        <f>'حضور غبريال'!D16</f>
        <v>0</v>
      </c>
      <c r="D49" s="44" t="str">
        <f>'حضور غبريال'!F16</f>
        <v/>
      </c>
      <c r="F49" s="42">
        <f>'حضور غبريال'!C17</f>
        <v>0</v>
      </c>
      <c r="G49" s="43">
        <f>'حضور غبريال'!D17</f>
        <v>0</v>
      </c>
      <c r="H49" s="44" t="str">
        <f>'حضور غبريال'!F17</f>
        <v/>
      </c>
      <c r="J49" s="42">
        <f>'حضور غبريال'!C18</f>
        <v>0</v>
      </c>
      <c r="K49" s="43">
        <f>'حضور غبريال'!D18</f>
        <v>0</v>
      </c>
      <c r="L49" s="44" t="str">
        <f>'حضور غبريال'!F18</f>
        <v/>
      </c>
    </row>
    <row r="50" spans="2:12" ht="24" customHeight="1">
      <c r="B50" s="126" t="str">
        <f>'حضور غبريال'!I16</f>
        <v>⏳ لسه مفيش حضور</v>
      </c>
      <c r="C50" s="126"/>
      <c r="D50" s="126"/>
      <c r="F50" s="126" t="str">
        <f>'حضور غبريال'!I17</f>
        <v>⏳ لسه مفيش حضور</v>
      </c>
      <c r="G50" s="126"/>
      <c r="H50" s="126"/>
      <c r="J50" s="126" t="str">
        <f>'حضور غبريال'!I18</f>
        <v>⏳ لسه مفيش حضور</v>
      </c>
      <c r="K50" s="126"/>
      <c r="L50" s="126"/>
    </row>
    <row r="51" spans="2:12" ht="19.5" customHeight="1">
      <c r="B51" s="127" t="str">
        <f>IF($Q$18=0,"","🗓️ آخر حضور: "&amp;IF(ISNUMBER('حضور غبريال'!H16),DAY('حضور غبريال'!H16)&amp;"/"&amp;MONTH('حضور غبريال'!H16)&amp;"/"&amp;YEAR('حضور غبريال'!H16),"—")&amp;"   •   غياب متتالي: "&amp;'حضور غبريال'!G16)</f>
        <v>🗓️ آخر حضور: —   •   غياب متتالي: 0</v>
      </c>
      <c r="C51" s="127"/>
      <c r="D51" s="127"/>
      <c r="F51" s="127" t="str">
        <f>IF($Q$19=0,"","🗓️ آخر حضور: "&amp;IF(ISNUMBER('حضور غبريال'!H17),DAY('حضور غبريال'!H17)&amp;"/"&amp;MONTH('حضور غبريال'!H17)&amp;"/"&amp;YEAR('حضور غبريال'!H17),"—")&amp;"   •   غياب متتالي: "&amp;'حضور غبريال'!G17)</f>
        <v>🗓️ آخر حضور: —   •   غياب متتالي: 0</v>
      </c>
      <c r="G51" s="127"/>
      <c r="H51" s="127"/>
      <c r="J51" s="127" t="str">
        <f>IF($Q$20=0,"","🗓️ آخر حضور: "&amp;IF(ISNUMBER('حضور غبريال'!H18),DAY('حضور غبريال'!H18)&amp;"/"&amp;MONTH('حضور غبريال'!H18)&amp;"/"&amp;YEAR('حضور غبريال'!H18),"—")&amp;"   •   غياب متتالي: "&amp;'حضور غبريال'!G18)</f>
        <v>🗓️ آخر حضور: —   •   غياب متتالي: 0</v>
      </c>
      <c r="K51" s="127"/>
      <c r="L51" s="127"/>
    </row>
    <row r="52" spans="2:12" ht="13.5" customHeight="1"/>
    <row r="53" spans="2:12" ht="30" customHeight="1">
      <c r="B53" s="122" t="str">
        <f>IF($Q$21=0,"",IF(INDEX('قاعدة البيانات'!$D$6:$D$305,$Q$21)="بنت","👧 ","👦 ")&amp;INDEX('قاعدة البيانات'!$C$6:$C$305,$Q$21))</f>
        <v>👦 جاستن مينا عبد السيد عطيه</v>
      </c>
      <c r="C53" s="122"/>
      <c r="D53" s="122"/>
      <c r="F53" s="122" t="str">
        <f>IF($Q$22=0,"",IF(INDEX('قاعدة البيانات'!$D$6:$D$305,$Q$22)="بنت","👧 ","👦 ")&amp;INDEX('قاعدة البيانات'!$C$6:$C$305,$Q$22))</f>
        <v>👧 جانا عبادى يوسف عبادى</v>
      </c>
      <c r="G53" s="122"/>
      <c r="H53" s="122"/>
      <c r="J53" s="122" t="str">
        <f>IF($Q$23=0,"",IF(INDEX('قاعدة البيانات'!$D$6:$D$305,$Q$23)="بنت","👧 ","👦 ")&amp;INDEX('قاعدة البيانات'!$C$6:$C$305,$Q$23))</f>
        <v>👦 يوسف ميلاد رسمى بقطر</v>
      </c>
      <c r="K53" s="122"/>
      <c r="L53" s="122"/>
    </row>
    <row r="54" spans="2:12" ht="108" customHeight="1">
      <c r="B54" s="37" t="e" vm="49">
        <f>IF($Q$21=0,"",IF(ISBLANK(INDEX('قاعدة البيانات'!$K$6:$K$305,$Q$21)),LEFT(INDEX('قاعدة البيانات'!$C$6:$C$305,$Q$21),1),INDEX('قاعدة البيانات'!$K$6:$K$305,$Q$21)))</f>
        <v>#VALUE!</v>
      </c>
      <c r="C54" s="123"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B-013
🎓 سنة تانية
🚶 يروح لوحده: —
📝 مفيش ملاحظات</v>
      </c>
      <c r="D54" s="123"/>
      <c r="F54" s="37" t="e" vm="50">
        <f>IF($Q$22=0,"",IF(ISBLANK(INDEX('قاعدة البيانات'!$K$6:$K$305,$Q$22)),LEFT(INDEX('قاعدة البيانات'!$C$6:$C$305,$Q$22),1),INDEX('قاعدة البيانات'!$K$6:$K$305,$Q$22)))</f>
        <v>#VALUE!</v>
      </c>
      <c r="G54" s="123"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B-014
🎓 سنة تانية
🚶 يروح لوحده: —
📝 مفيش ملاحظات</v>
      </c>
      <c r="H54" s="123"/>
      <c r="J54" s="37" t="str">
        <f>IF($Q$23=0,"",IF(ISBLANK(INDEX('قاعدة البيانات'!$K$6:$K$305,$Q$23)),LEFT(INDEX('قاعدة البيانات'!$C$6:$C$305,$Q$23),1),INDEX('قاعدة البيانات'!$K$6:$K$305,$Q$23)))</f>
        <v>ي</v>
      </c>
      <c r="K54" s="123"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B-015
🎓 سنة تانية
🚶 يروح لوحده: —
📝 مفيش ملاحظات</v>
      </c>
      <c r="L54" s="123"/>
    </row>
    <row r="55" spans="2:12" ht="24" customHeight="1">
      <c r="B55" s="38" t="str">
        <f>IF($Q$21=0,"","👩 ماما")</f>
        <v>👩 ماما</v>
      </c>
      <c r="C55" s="39" t="str">
        <f>IF($Q$21=0,"",IF(INDEX('قاعدة البيانات'!$H$6:$H$305,$Q$21)="","— مفيش رقم —",HYPERLINK("tel:"&amp;INDEX('قاعدة البيانات'!$H$6:$H$305,$Q$21),"📞 "&amp;INDEX('قاعدة البيانات'!$H$6:$H$305,$Q$21))))</f>
        <v>📞 01205976098</v>
      </c>
      <c r="D55" s="40" t="str">
        <f>IF(OR($Q$21=0,INDEX('قاعدة البيانات'!$H$6:$H$305,$Q$21)=""),"",HYPERLINK("https://wa.me/20"&amp;RIGHT(INDEX('قاعدة البيانات'!$H$6:$H$305,$Q$21),10),"💬 واتساب"))</f>
        <v>💬 واتساب</v>
      </c>
      <c r="F55" s="38" t="str">
        <f>IF($Q$22=0,"","👩 ماما")</f>
        <v>👩 ماما</v>
      </c>
      <c r="G55" s="39" t="str">
        <f>IF($Q$22=0,"",IF(INDEX('قاعدة البيانات'!$H$6:$H$305,$Q$22)="","— مفيش رقم —",HYPERLINK("tel:"&amp;INDEX('قاعدة البيانات'!$H$6:$H$305,$Q$22),"📞 "&amp;INDEX('قاعدة البيانات'!$H$6:$H$305,$Q$22))))</f>
        <v>📞 01273654595</v>
      </c>
      <c r="H55" s="40" t="str">
        <f>IF(OR($Q$22=0,INDEX('قاعدة البيانات'!$H$6:$H$305,$Q$22)=""),"",HYPERLINK("https://wa.me/20"&amp;RIGHT(INDEX('قاعدة البيانات'!$H$6:$H$305,$Q$22),10),"💬 واتساب"))</f>
        <v>💬 واتساب</v>
      </c>
      <c r="J55" s="38" t="str">
        <f>IF($Q$23=0,"","👩 ماما")</f>
        <v>👩 ماما</v>
      </c>
      <c r="K55" s="39" t="str">
        <f>IF($Q$23=0,"",IF(INDEX('قاعدة البيانات'!$H$6:$H$305,$Q$23)="","— مفيش رقم —",HYPERLINK("tel:"&amp;INDEX('قاعدة البيانات'!$H$6:$H$305,$Q$23),"📞 "&amp;INDEX('قاعدة البيانات'!$H$6:$H$305,$Q$23))))</f>
        <v>📞 01210019391</v>
      </c>
      <c r="L55" s="40" t="str">
        <f>IF(OR($Q$23=0,INDEX('قاعدة البيانات'!$H$6:$H$305,$Q$23)=""),"",HYPERLINK("https://wa.me/20"&amp;RIGHT(INDEX('قاعدة البيانات'!$H$6:$H$305,$Q$23),10),"💬 واتساب"))</f>
        <v>💬 واتساب</v>
      </c>
    </row>
    <row r="56" spans="2:12" ht="24" customHeight="1">
      <c r="B56" s="38" t="str">
        <f>IF($Q$21=0,"","👨 بابا")</f>
        <v>👨 بابا</v>
      </c>
      <c r="C56" s="39" t="str">
        <f>IF($Q$21=0,"",IF(INDEX('قاعدة البيانات'!$I$6:$I$305,$Q$21)="","— مفيش رقم —",HYPERLINK("tel:"&amp;INDEX('قاعدة البيانات'!$I$6:$I$305,$Q$21),"📞 "&amp;INDEX('قاعدة البيانات'!$I$6:$I$305,$Q$21))))</f>
        <v>📞 01221363758</v>
      </c>
      <c r="D56" s="40" t="str">
        <f>IF(OR($Q$21=0,INDEX('قاعدة البيانات'!$I$6:$I$305,$Q$21)=""),"",HYPERLINK("https://wa.me/20"&amp;RIGHT(INDEX('قاعدة البيانات'!$I$6:$I$305,$Q$21),10),"💬 واتساب"))</f>
        <v>💬 واتساب</v>
      </c>
      <c r="F56" s="38" t="str">
        <f>IF($Q$22=0,"","👨 بابا")</f>
        <v>👨 بابا</v>
      </c>
      <c r="G56" s="39" t="str">
        <f>IF($Q$22=0,"",IF(INDEX('قاعدة البيانات'!$I$6:$I$305,$Q$22)="","— مفيش رقم —",HYPERLINK("tel:"&amp;INDEX('قاعدة البيانات'!$I$6:$I$305,$Q$22),"📞 "&amp;INDEX('قاعدة البيانات'!$I$6:$I$305,$Q$22))))</f>
        <v>— مفيش رقم —</v>
      </c>
      <c r="H56" s="40" t="str">
        <f>IF(OR($Q$22=0,INDEX('قاعدة البيانات'!$I$6:$I$305,$Q$22)=""),"",HYPERLINK("https://wa.me/20"&amp;RIGHT(INDEX('قاعدة البيانات'!$I$6:$I$305,$Q$22),10),"💬 واتساب"))</f>
        <v/>
      </c>
      <c r="J56" s="38" t="str">
        <f>IF($Q$23=0,"","👨 بابا")</f>
        <v>👨 بابا</v>
      </c>
      <c r="K56" s="39" t="str">
        <f>IF($Q$23=0,"",IF(INDEX('قاعدة البيانات'!$I$6:$I$305,$Q$23)="","— مفيش رقم —",HYPERLINK("tel:"&amp;INDEX('قاعدة البيانات'!$I$6:$I$305,$Q$23),"📞 "&amp;INDEX('قاعدة البيانات'!$I$6:$I$305,$Q$23))))</f>
        <v>📞 01277561044</v>
      </c>
      <c r="L56" s="40" t="str">
        <f>IF(OR($Q$23=0,INDEX('قاعدة البيانات'!$I$6:$I$305,$Q$23)=""),"",HYPERLINK("https://wa.me/20"&amp;RIGHT(INDEX('قاعدة البيانات'!$I$6:$I$305,$Q$23),10),"💬 واتساب"))</f>
        <v>💬 واتساب</v>
      </c>
    </row>
    <row r="57" spans="2:12" ht="37.5" customHeight="1">
      <c r="B57" s="124" t="str">
        <f>IF($Q$21=0,"","📍 "&amp;IF(INDEX('قاعدة البيانات'!$J$6:$J$305,$Q$21)="","— مفيش عنوان —",INDEX('قاعدة البيانات'!$J$6:$J$305,$Q$21)))</f>
        <v>📍 1 شارع على ابو عيش - شقة 1 الدور 2 - عماره المقله</v>
      </c>
      <c r="C57" s="124"/>
      <c r="D57" s="124"/>
      <c r="F57" s="124" t="str">
        <f>IF($Q$22=0,"","📍 "&amp;IF(INDEX('قاعدة البيانات'!$J$6:$J$305,$Q$22)="","— مفيش عنوان —",INDEX('قاعدة البيانات'!$J$6:$J$305,$Q$22)))</f>
        <v>📍 5 شارع المدارس - الارضي - الارضى</v>
      </c>
      <c r="G57" s="124"/>
      <c r="H57" s="124"/>
      <c r="J57" s="124" t="str">
        <f>IF($Q$23=0,"","📍 "&amp;IF(INDEX('قاعدة البيانات'!$J$6:$J$305,$Q$23)="","— مفيش عنوان —",INDEX('قاعدة البيانات'!$J$6:$J$305,$Q$23)))</f>
        <v>📍 2 شارع فايز مترى - شقة 5 الدور 3 - يمين / مجدى البقال</v>
      </c>
      <c r="K57" s="124"/>
      <c r="L57" s="124"/>
    </row>
    <row r="58" spans="2:12" ht="21.75" customHeight="1">
      <c r="B58" s="125" t="str">
        <f>IF($Q$21=0,"","📊 إحصائيات الحضور")</f>
        <v>📊 إحصائيات الحضور</v>
      </c>
      <c r="C58" s="125"/>
      <c r="D58" s="125"/>
      <c r="F58" s="125" t="str">
        <f>IF($Q$22=0,"","📊 إحصائيات الحضور")</f>
        <v>📊 إحصائيات الحضور</v>
      </c>
      <c r="G58" s="125"/>
      <c r="H58" s="125"/>
      <c r="J58" s="125" t="str">
        <f>IF($Q$23=0,"","📊 إحصائيات الحضور")</f>
        <v>📊 إحصائيات الحضور</v>
      </c>
      <c r="K58" s="125"/>
      <c r="L58" s="125"/>
    </row>
    <row r="59" spans="2:12" ht="15.75" customHeight="1">
      <c r="B59" s="41" t="str">
        <f>IF($Q$21=0,"","✅ حضور")</f>
        <v>✅ حضور</v>
      </c>
      <c r="C59" s="41" t="str">
        <f>IF($Q$21=0,"","❌ غياب")</f>
        <v>❌ غياب</v>
      </c>
      <c r="D59" s="41" t="str">
        <f>IF($Q$21=0,"","📈 النسبة")</f>
        <v>📈 النسبة</v>
      </c>
      <c r="F59" s="41" t="str">
        <f>IF($Q$22=0,"","✅ حضور")</f>
        <v>✅ حضور</v>
      </c>
      <c r="G59" s="41" t="str">
        <f>IF($Q$22=0,"","❌ غياب")</f>
        <v>❌ غياب</v>
      </c>
      <c r="H59" s="41" t="str">
        <f>IF($Q$22=0,"","📈 النسبة")</f>
        <v>📈 النسبة</v>
      </c>
      <c r="J59" s="41" t="str">
        <f>IF($Q$23=0,"","✅ حضور")</f>
        <v>✅ حضور</v>
      </c>
      <c r="K59" s="41" t="str">
        <f>IF($Q$23=0,"","❌ غياب")</f>
        <v>❌ غياب</v>
      </c>
      <c r="L59" s="41" t="str">
        <f>IF($Q$23=0,"","📈 النسبة")</f>
        <v>📈 النسبة</v>
      </c>
    </row>
    <row r="60" spans="2:12" ht="33.75" customHeight="1">
      <c r="B60" s="42">
        <f>'حضور غبريال'!C19</f>
        <v>0</v>
      </c>
      <c r="C60" s="43">
        <f>'حضور غبريال'!D19</f>
        <v>0</v>
      </c>
      <c r="D60" s="44" t="str">
        <f>'حضور غبريال'!F19</f>
        <v/>
      </c>
      <c r="F60" s="42">
        <f>'حضور غبريال'!C20</f>
        <v>0</v>
      </c>
      <c r="G60" s="43">
        <f>'حضور غبريال'!D20</f>
        <v>0</v>
      </c>
      <c r="H60" s="44" t="str">
        <f>'حضور غبريال'!F20</f>
        <v/>
      </c>
      <c r="J60" s="42">
        <f>'حضور غبريال'!C21</f>
        <v>0</v>
      </c>
      <c r="K60" s="43">
        <f>'حضور غبريال'!D21</f>
        <v>0</v>
      </c>
      <c r="L60" s="44" t="str">
        <f>'حضور غبريال'!F21</f>
        <v/>
      </c>
    </row>
    <row r="61" spans="2:12" ht="24" customHeight="1">
      <c r="B61" s="126" t="str">
        <f>'حضور غبريال'!I19</f>
        <v>⏳ لسه مفيش حضور</v>
      </c>
      <c r="C61" s="126"/>
      <c r="D61" s="126"/>
      <c r="F61" s="126" t="str">
        <f>'حضور غبريال'!I20</f>
        <v>⏳ لسه مفيش حضور</v>
      </c>
      <c r="G61" s="126"/>
      <c r="H61" s="126"/>
      <c r="J61" s="126" t="str">
        <f>'حضور غبريال'!I21</f>
        <v>⏳ لسه مفيش حضور</v>
      </c>
      <c r="K61" s="126"/>
      <c r="L61" s="126"/>
    </row>
    <row r="62" spans="2:12" ht="19.5" customHeight="1">
      <c r="B62" s="127" t="str">
        <f>IF($Q$21=0,"","🗓️ آخر حضور: "&amp;IF(ISNUMBER('حضور غبريال'!H19),DAY('حضور غبريال'!H19)&amp;"/"&amp;MONTH('حضور غبريال'!H19)&amp;"/"&amp;YEAR('حضور غبريال'!H19),"—")&amp;"   •   غياب متتالي: "&amp;'حضور غبريال'!G19)</f>
        <v>🗓️ آخر حضور: —   •   غياب متتالي: 0</v>
      </c>
      <c r="C62" s="127"/>
      <c r="D62" s="127"/>
      <c r="F62" s="127" t="str">
        <f>IF($Q$22=0,"","🗓️ آخر حضور: "&amp;IF(ISNUMBER('حضور غبريال'!H20),DAY('حضور غبريال'!H20)&amp;"/"&amp;MONTH('حضور غبريال'!H20)&amp;"/"&amp;YEAR('حضور غبريال'!H20),"—")&amp;"   •   غياب متتالي: "&amp;'حضور غبريال'!G20)</f>
        <v>🗓️ آخر حضور: —   •   غياب متتالي: 0</v>
      </c>
      <c r="G62" s="127"/>
      <c r="H62" s="127"/>
      <c r="J62" s="127" t="str">
        <f>IF($Q$23=0,"","🗓️ آخر حضور: "&amp;IF(ISNUMBER('حضور غبريال'!H21),DAY('حضور غبريال'!H21)&amp;"/"&amp;MONTH('حضور غبريال'!H21)&amp;"/"&amp;YEAR('حضور غبريال'!H21),"—")&amp;"   •   غياب متتالي: "&amp;'حضور غبريال'!G21)</f>
        <v>🗓️ آخر حضور: —   •   غياب متتالي: 0</v>
      </c>
      <c r="K62" s="127"/>
      <c r="L62" s="127"/>
    </row>
    <row r="63" spans="2:12" ht="13.5" customHeight="1"/>
    <row r="64" spans="2:12" ht="30" customHeight="1">
      <c r="B64" s="122" t="str">
        <f>IF($Q$24=0,"",IF(INDEX('قاعدة البيانات'!$D$6:$D$305,$Q$24)="بنت","👧 ","👦 ")&amp;INDEX('قاعدة البيانات'!$C$6:$C$305,$Q$24))</f>
        <v>👧 ايرينى ريمون حنا</v>
      </c>
      <c r="C64" s="122"/>
      <c r="D64" s="122"/>
      <c r="F64" s="122" t="str">
        <f>IF($Q$25=0,"",IF(INDEX('قاعدة البيانات'!$D$6:$D$305,$Q$25)="بنت","👧 ","👦 ")&amp;INDEX('قاعدة البيانات'!$C$6:$C$305,$Q$25))</f>
        <v>👧 يوستينا سامي عريان سامى فرج</v>
      </c>
      <c r="G64" s="122"/>
      <c r="H64" s="122"/>
      <c r="J64" s="122" t="str">
        <f>IF($Q$26=0,"",IF(INDEX('قاعدة البيانات'!$D$6:$D$305,$Q$26)="بنت","👧 ","👦 ")&amp;INDEX('قاعدة البيانات'!$C$6:$C$305,$Q$26))</f>
        <v>👦 مارتينوس مايكل ميشيل</v>
      </c>
      <c r="K64" s="122"/>
      <c r="L64" s="122"/>
    </row>
    <row r="65" spans="2:12" ht="108" customHeight="1">
      <c r="B65" s="37" t="str">
        <f>IF($Q$24=0,"",IF(ISBLANK(INDEX('قاعدة البيانات'!$K$6:$K$305,$Q$24)),LEFT(INDEX('قاعدة البيانات'!$C$6:$C$305,$Q$24),1),INDEX('قاعدة البيانات'!$K$6:$K$305,$Q$24)))</f>
        <v>ا</v>
      </c>
      <c r="C65" s="123"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B-016
🎓 سنة تانية
🚶 يروح لوحده: —
📝 مفيش ملاحظات</v>
      </c>
      <c r="D65" s="123"/>
      <c r="F65" s="37" t="str">
        <f>IF($Q$25=0,"",IF(ISBLANK(INDEX('قاعدة البيانات'!$K$6:$K$305,$Q$25)),LEFT(INDEX('قاعدة البيانات'!$C$6:$C$305,$Q$25),1),INDEX('قاعدة البيانات'!$K$6:$K$305,$Q$25)))</f>
        <v>ي</v>
      </c>
      <c r="G65" s="123"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B-017
🎓 سنة تانية
🚶 يروح لوحده: —
📝 مفيش ملاحظات</v>
      </c>
      <c r="H65" s="123"/>
      <c r="J65" s="37" t="str">
        <f>IF($Q$26=0,"",IF(ISBLANK(INDEX('قاعدة البيانات'!$K$6:$K$305,$Q$26)),LEFT(INDEX('قاعدة البيانات'!$C$6:$C$305,$Q$26),1),INDEX('قاعدة البيانات'!$K$6:$K$305,$Q$26)))</f>
        <v>م</v>
      </c>
      <c r="K65" s="123"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B-018
🎓 سنة تانية
🚶 يروح لوحده: —
📝 مفيش ملاحظات</v>
      </c>
      <c r="L65" s="123"/>
    </row>
    <row r="66" spans="2:12" ht="24" customHeight="1">
      <c r="B66" s="38" t="str">
        <f>IF($Q$24=0,"","👩 ماما")</f>
        <v>👩 ماما</v>
      </c>
      <c r="C66" s="39" t="str">
        <f>IF($Q$24=0,"",IF(INDEX('قاعدة البيانات'!$H$6:$H$305,$Q$24)="","— مفيش رقم —",HYPERLINK("tel:"&amp;INDEX('قاعدة البيانات'!$H$6:$H$305,$Q$24),"📞 "&amp;INDEX('قاعدة البيانات'!$H$6:$H$305,$Q$24))))</f>
        <v>📞 01221026225</v>
      </c>
      <c r="D66" s="40" t="str">
        <f>IF(OR($Q$24=0,INDEX('قاعدة البيانات'!$H$6:$H$305,$Q$24)=""),"",HYPERLINK("https://wa.me/20"&amp;RIGHT(INDEX('قاعدة البيانات'!$H$6:$H$305,$Q$24),10),"💬 واتساب"))</f>
        <v>💬 واتساب</v>
      </c>
      <c r="F66" s="38" t="str">
        <f>IF($Q$25=0,"","👩 ماما")</f>
        <v>👩 ماما</v>
      </c>
      <c r="G66" s="39" t="str">
        <f>IF($Q$25=0,"",IF(INDEX('قاعدة البيانات'!$H$6:$H$305,$Q$25)="","— مفيش رقم —",HYPERLINK("tel:"&amp;INDEX('قاعدة البيانات'!$H$6:$H$305,$Q$25),"📞 "&amp;INDEX('قاعدة البيانات'!$H$6:$H$305,$Q$25))))</f>
        <v>📞 01270302120</v>
      </c>
      <c r="H66" s="40" t="str">
        <f>IF(OR($Q$25=0,INDEX('قاعدة البيانات'!$H$6:$H$305,$Q$25)=""),"",HYPERLINK("https://wa.me/20"&amp;RIGHT(INDEX('قاعدة البيانات'!$H$6:$H$305,$Q$25),10),"💬 واتساب"))</f>
        <v>💬 واتساب</v>
      </c>
      <c r="J66" s="38" t="str">
        <f>IF($Q$26=0,"","👩 ماما")</f>
        <v>👩 ماما</v>
      </c>
      <c r="K66" s="39" t="str">
        <f>IF($Q$26=0,"",IF(INDEX('قاعدة البيانات'!$H$6:$H$305,$Q$26)="","— مفيش رقم —",HYPERLINK("tel:"&amp;INDEX('قاعدة البيانات'!$H$6:$H$305,$Q$26),"📞 "&amp;INDEX('قاعدة البيانات'!$H$6:$H$305,$Q$26))))</f>
        <v>📞 01224857003</v>
      </c>
      <c r="L66" s="40" t="str">
        <f>IF(OR($Q$26=0,INDEX('قاعدة البيانات'!$H$6:$H$305,$Q$26)=""),"",HYPERLINK("https://wa.me/20"&amp;RIGHT(INDEX('قاعدة البيانات'!$H$6:$H$305,$Q$26),10),"💬 واتساب"))</f>
        <v>💬 واتساب</v>
      </c>
    </row>
    <row r="67" spans="2:12" ht="24" customHeight="1">
      <c r="B67" s="38" t="str">
        <f>IF($Q$24=0,"","👨 بابا")</f>
        <v>👨 بابا</v>
      </c>
      <c r="C67" s="39" t="str">
        <f>IF($Q$24=0,"",IF(INDEX('قاعدة البيانات'!$I$6:$I$305,$Q$24)="","— مفيش رقم —",HYPERLINK("tel:"&amp;INDEX('قاعدة البيانات'!$I$6:$I$305,$Q$24),"📞 "&amp;INDEX('قاعدة البيانات'!$I$6:$I$305,$Q$24))))</f>
        <v>— مفيش رقم —</v>
      </c>
      <c r="D67" s="40" t="str">
        <f>IF(OR($Q$24=0,INDEX('قاعدة البيانات'!$I$6:$I$305,$Q$24)=""),"",HYPERLINK("https://wa.me/20"&amp;RIGHT(INDEX('قاعدة البيانات'!$I$6:$I$305,$Q$24),10),"💬 واتساب"))</f>
        <v/>
      </c>
      <c r="F67" s="38" t="str">
        <f>IF($Q$25=0,"","👨 بابا")</f>
        <v>👨 بابا</v>
      </c>
      <c r="G67" s="39" t="str">
        <f>IF($Q$25=0,"",IF(INDEX('قاعدة البيانات'!$I$6:$I$305,$Q$25)="","— مفيش رقم —",HYPERLINK("tel:"&amp;INDEX('قاعدة البيانات'!$I$6:$I$305,$Q$25),"📞 "&amp;INDEX('قاعدة البيانات'!$I$6:$I$305,$Q$25))))</f>
        <v>— مفيش رقم —</v>
      </c>
      <c r="H67" s="40" t="str">
        <f>IF(OR($Q$25=0,INDEX('قاعدة البيانات'!$I$6:$I$305,$Q$25)=""),"",HYPERLINK("https://wa.me/20"&amp;RIGHT(INDEX('قاعدة البيانات'!$I$6:$I$305,$Q$25),10),"💬 واتساب"))</f>
        <v/>
      </c>
      <c r="J67" s="38" t="str">
        <f>IF($Q$26=0,"","👨 بابا")</f>
        <v>👨 بابا</v>
      </c>
      <c r="K67" s="39" t="str">
        <f>IF($Q$26=0,"",IF(INDEX('قاعدة البيانات'!$I$6:$I$305,$Q$26)="","— مفيش رقم —",HYPERLINK("tel:"&amp;INDEX('قاعدة البيانات'!$I$6:$I$305,$Q$26),"📞 "&amp;INDEX('قاعدة البيانات'!$I$6:$I$305,$Q$26))))</f>
        <v>— مفيش رقم —</v>
      </c>
      <c r="L67" s="40" t="str">
        <f>IF(OR($Q$26=0,INDEX('قاعدة البيانات'!$I$6:$I$305,$Q$26)=""),"",HYPERLINK("https://wa.me/20"&amp;RIGHT(INDEX('قاعدة البيانات'!$I$6:$I$305,$Q$26),10),"💬 واتساب"))</f>
        <v/>
      </c>
    </row>
    <row r="68" spans="2:12" ht="37.5" customHeight="1">
      <c r="B68" s="124" t="str">
        <f>IF($Q$24=0,"","📍 "&amp;IF(INDEX('قاعدة البيانات'!$J$6:$J$305,$Q$24)="","— مفيش عنوان —",INDEX('قاعدة البيانات'!$J$6:$J$305,$Q$24)))</f>
        <v>📍 24 شارع مرزق مرزوق الدور 2</v>
      </c>
      <c r="C68" s="124"/>
      <c r="D68" s="124"/>
      <c r="F68" s="124" t="str">
        <f>IF($Q$25=0,"","📍 "&amp;IF(INDEX('قاعدة البيانات'!$J$6:$J$305,$Q$25)="","— مفيش عنوان —",INDEX('قاعدة البيانات'!$J$6:$J$305,$Q$25)))</f>
        <v>📍 10 شارع عطية عبد اللطيف - شقة 2 الدور 2</v>
      </c>
      <c r="G68" s="124"/>
      <c r="H68" s="124"/>
      <c r="J68" s="124" t="str">
        <f>IF($Q$26=0,"","📍 "&amp;IF(INDEX('قاعدة البيانات'!$J$6:$J$305,$Q$26)="","— مفيش عنوان —",INDEX('قاعدة البيانات'!$J$6:$J$305,$Q$26)))</f>
        <v>📍 13 شارع منطقة أ - شقة 1 الدور 1</v>
      </c>
      <c r="K68" s="124"/>
      <c r="L68" s="124"/>
    </row>
    <row r="69" spans="2:12" ht="21.75" customHeight="1">
      <c r="B69" s="125" t="str">
        <f>IF($Q$24=0,"","📊 إحصائيات الحضور")</f>
        <v>📊 إحصائيات الحضور</v>
      </c>
      <c r="C69" s="125"/>
      <c r="D69" s="125"/>
      <c r="F69" s="125" t="str">
        <f>IF($Q$25=0,"","📊 إحصائيات الحضور")</f>
        <v>📊 إحصائيات الحضور</v>
      </c>
      <c r="G69" s="125"/>
      <c r="H69" s="125"/>
      <c r="J69" s="125" t="str">
        <f>IF($Q$26=0,"","📊 إحصائيات الحضور")</f>
        <v>📊 إحصائيات الحضور</v>
      </c>
      <c r="K69" s="125"/>
      <c r="L69" s="125"/>
    </row>
    <row r="70" spans="2:12" ht="15.75" customHeight="1">
      <c r="B70" s="41" t="str">
        <f>IF($Q$24=0,"","✅ حضور")</f>
        <v>✅ حضور</v>
      </c>
      <c r="C70" s="41" t="str">
        <f>IF($Q$24=0,"","❌ غياب")</f>
        <v>❌ غياب</v>
      </c>
      <c r="D70" s="41" t="str">
        <f>IF($Q$24=0,"","📈 النسبة")</f>
        <v>📈 النسبة</v>
      </c>
      <c r="F70" s="41" t="str">
        <f>IF($Q$25=0,"","✅ حضور")</f>
        <v>✅ حضور</v>
      </c>
      <c r="G70" s="41" t="str">
        <f>IF($Q$25=0,"","❌ غياب")</f>
        <v>❌ غياب</v>
      </c>
      <c r="H70" s="41" t="str">
        <f>IF($Q$25=0,"","📈 النسبة")</f>
        <v>📈 النسبة</v>
      </c>
      <c r="J70" s="41" t="str">
        <f>IF($Q$26=0,"","✅ حضور")</f>
        <v>✅ حضور</v>
      </c>
      <c r="K70" s="41" t="str">
        <f>IF($Q$26=0,"","❌ غياب")</f>
        <v>❌ غياب</v>
      </c>
      <c r="L70" s="41" t="str">
        <f>IF($Q$26=0,"","📈 النسبة")</f>
        <v>📈 النسبة</v>
      </c>
    </row>
    <row r="71" spans="2:12" ht="33.75" customHeight="1">
      <c r="B71" s="42">
        <f>'حضور غبريال'!C22</f>
        <v>0</v>
      </c>
      <c r="C71" s="43">
        <f>'حضور غبريال'!D22</f>
        <v>0</v>
      </c>
      <c r="D71" s="44" t="str">
        <f>'حضور غبريال'!F22</f>
        <v/>
      </c>
      <c r="F71" s="42">
        <f>'حضور غبريال'!C23</f>
        <v>0</v>
      </c>
      <c r="G71" s="43">
        <f>'حضور غبريال'!D23</f>
        <v>0</v>
      </c>
      <c r="H71" s="44" t="str">
        <f>'حضور غبريال'!F23</f>
        <v/>
      </c>
      <c r="J71" s="42">
        <f>'حضور غبريال'!C24</f>
        <v>0</v>
      </c>
      <c r="K71" s="43">
        <f>'حضور غبريال'!D24</f>
        <v>0</v>
      </c>
      <c r="L71" s="44" t="str">
        <f>'حضور غبريال'!F24</f>
        <v/>
      </c>
    </row>
    <row r="72" spans="2:12" ht="24" customHeight="1">
      <c r="B72" s="126" t="str">
        <f>'حضور غبريال'!I22</f>
        <v>⏳ لسه مفيش حضور</v>
      </c>
      <c r="C72" s="126"/>
      <c r="D72" s="126"/>
      <c r="F72" s="126" t="str">
        <f>'حضور غبريال'!I23</f>
        <v>⏳ لسه مفيش حضور</v>
      </c>
      <c r="G72" s="126"/>
      <c r="H72" s="126"/>
      <c r="J72" s="126" t="str">
        <f>'حضور غبريال'!I24</f>
        <v>⏳ لسه مفيش حضور</v>
      </c>
      <c r="K72" s="126"/>
      <c r="L72" s="126"/>
    </row>
    <row r="73" spans="2:12" ht="19.5" customHeight="1">
      <c r="B73" s="127" t="str">
        <f>IF($Q$24=0,"","🗓️ آخر حضور: "&amp;IF(ISNUMBER('حضور غبريال'!H22),DAY('حضور غبريال'!H22)&amp;"/"&amp;MONTH('حضور غبريال'!H22)&amp;"/"&amp;YEAR('حضور غبريال'!H22),"—")&amp;"   •   غياب متتالي: "&amp;'حضور غبريال'!G22)</f>
        <v>🗓️ آخر حضور: —   •   غياب متتالي: 0</v>
      </c>
      <c r="C73" s="127"/>
      <c r="D73" s="127"/>
      <c r="F73" s="127" t="str">
        <f>IF($Q$25=0,"","🗓️ آخر حضور: "&amp;IF(ISNUMBER('حضور غبريال'!H23),DAY('حضور غبريال'!H23)&amp;"/"&amp;MONTH('حضور غبريال'!H23)&amp;"/"&amp;YEAR('حضور غبريال'!H23),"—")&amp;"   •   غياب متتالي: "&amp;'حضور غبريال'!G23)</f>
        <v>🗓️ آخر حضور: —   •   غياب متتالي: 0</v>
      </c>
      <c r="G73" s="127"/>
      <c r="H73" s="127"/>
      <c r="J73" s="127" t="str">
        <f>IF($Q$26=0,"","🗓️ آخر حضور: "&amp;IF(ISNUMBER('حضور غبريال'!H24),DAY('حضور غبريال'!H24)&amp;"/"&amp;MONTH('حضور غبريال'!H24)&amp;"/"&amp;YEAR('حضور غبريال'!H24),"—")&amp;"   •   غياب متتالي: "&amp;'حضور غبريال'!G24)</f>
        <v>🗓️ آخر حضور: —   •   غياب متتالي: 0</v>
      </c>
      <c r="K73" s="127"/>
      <c r="L73" s="127"/>
    </row>
    <row r="74" spans="2:12" ht="13.5" customHeight="1"/>
    <row r="75" spans="2:12" ht="30" customHeight="1">
      <c r="B75" s="122" t="str">
        <f>IF($Q$27=0,"",IF(INDEX('قاعدة البيانات'!$D$6:$D$305,$Q$27)="بنت","👧 ","👦 ")&amp;INDEX('قاعدة البيانات'!$C$6:$C$305,$Q$27))</f>
        <v>👧 جونير بسام نصرى مكرم</v>
      </c>
      <c r="C75" s="122"/>
      <c r="D75" s="122"/>
      <c r="F75" s="122" t="str">
        <f>IF($Q$28=0,"",IF(INDEX('قاعدة البيانات'!$D$6:$D$305,$Q$28)="بنت","👧 ","👦 ")&amp;INDEX('قاعدة البيانات'!$C$6:$C$305,$Q$28))</f>
        <v>👧 مريم عماد زارع</v>
      </c>
      <c r="G75" s="122"/>
      <c r="H75" s="122"/>
      <c r="J75" s="122" t="str">
        <f>IF($Q$29=0,"",IF(INDEX('قاعدة البيانات'!$D$6:$D$305,$Q$29)="بنت","👧 ","👦 ")&amp;INDEX('قاعدة البيانات'!$C$6:$C$305,$Q$29))</f>
        <v>👧 ماروسكا ميشيل ثروت</v>
      </c>
      <c r="K75" s="122"/>
      <c r="L75" s="122"/>
    </row>
    <row r="76" spans="2:12" ht="108" customHeight="1">
      <c r="B76" s="37" t="e" vm="51">
        <f>IF($Q$27=0,"",IF(ISBLANK(INDEX('قاعدة البيانات'!$K$6:$K$305,$Q$27)),LEFT(INDEX('قاعدة البيانات'!$C$6:$C$305,$Q$27),1),INDEX('قاعدة البيانات'!$K$6:$K$305,$Q$27)))</f>
        <v>#VALUE!</v>
      </c>
      <c r="C76" s="123"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B-019
🎓 سنة تانية
🚶 يروح لوحده: —
📝 مفيش ملاحظات</v>
      </c>
      <c r="D76" s="123"/>
      <c r="F76" s="37" t="e" vm="52">
        <f>IF($Q$28=0,"",IF(ISBLANK(INDEX('قاعدة البيانات'!$K$6:$K$305,$Q$28)),LEFT(INDEX('قاعدة البيانات'!$C$6:$C$305,$Q$28),1),INDEX('قاعدة البيانات'!$K$6:$K$305,$Q$28)))</f>
        <v>#VALUE!</v>
      </c>
      <c r="G76" s="123"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كود: B-020
🎓 سنة تانية
🚶 يروح لوحده: —
📝 مفيش ملاحظات</v>
      </c>
      <c r="H76" s="123"/>
      <c r="J76" s="37" t="e" vm="53">
        <f>IF($Q$29=0,"",IF(ISBLANK(INDEX('قاعدة البيانات'!$K$6:$K$305,$Q$29)),LEFT(INDEX('قاعدة البيانات'!$C$6:$C$305,$Q$29),1),INDEX('قاعدة البيانات'!$K$6:$K$305,$Q$29)))</f>
        <v>#VALUE!</v>
      </c>
      <c r="K76" s="123"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كود: B-021
🎓 سنة تانية
🚶 يروح لوحده: —
📝 مفيش ملاحظات</v>
      </c>
      <c r="L76" s="123"/>
    </row>
    <row r="77" spans="2:12" ht="24" customHeight="1">
      <c r="B77" s="38" t="str">
        <f>IF($Q$27=0,"","👩 ماما")</f>
        <v>👩 ماما</v>
      </c>
      <c r="C77" s="39" t="str">
        <f>IF($Q$27=0,"",IF(INDEX('قاعدة البيانات'!$H$6:$H$305,$Q$27)="","— مفيش رقم —",HYPERLINK("tel:"&amp;INDEX('قاعدة البيانات'!$H$6:$H$305,$Q$27),"📞 "&amp;INDEX('قاعدة البيانات'!$H$6:$H$305,$Q$27))))</f>
        <v>📞 01273998657</v>
      </c>
      <c r="D77" s="40" t="str">
        <f>IF(OR($Q$27=0,INDEX('قاعدة البيانات'!$H$6:$H$305,$Q$27)=""),"",HYPERLINK("https://wa.me/20"&amp;RIGHT(INDEX('قاعدة البيانات'!$H$6:$H$305,$Q$27),10),"💬 واتساب"))</f>
        <v>💬 واتساب</v>
      </c>
      <c r="F77" s="38" t="str">
        <f>IF($Q$28=0,"","👩 ماما")</f>
        <v>👩 ماما</v>
      </c>
      <c r="G77" s="39" t="str">
        <f>IF($Q$28=0,"",IF(INDEX('قاعدة البيانات'!$H$6:$H$305,$Q$28)="","— مفيش رقم —",HYPERLINK("tel:"&amp;INDEX('قاعدة البيانات'!$H$6:$H$305,$Q$28),"📞 "&amp;INDEX('قاعدة البيانات'!$H$6:$H$305,$Q$28))))</f>
        <v>📞 01206191722</v>
      </c>
      <c r="H77" s="40" t="str">
        <f>IF(OR($Q$28=0,INDEX('قاعدة البيانات'!$H$6:$H$305,$Q$28)=""),"",HYPERLINK("https://wa.me/20"&amp;RIGHT(INDEX('قاعدة البيانات'!$H$6:$H$305,$Q$28),10),"💬 واتساب"))</f>
        <v>💬 واتساب</v>
      </c>
      <c r="J77" s="38" t="str">
        <f>IF($Q$29=0,"","👩 ماما")</f>
        <v>👩 ماما</v>
      </c>
      <c r="K77" s="39" t="str">
        <f>IF($Q$29=0,"",IF(INDEX('قاعدة البيانات'!$H$6:$H$305,$Q$29)="","— مفيش رقم —",HYPERLINK("tel:"&amp;INDEX('قاعدة البيانات'!$H$6:$H$305,$Q$29),"📞 "&amp;INDEX('قاعدة البيانات'!$H$6:$H$305,$Q$29))))</f>
        <v>📞 01206111792</v>
      </c>
      <c r="L77" s="40" t="str">
        <f>IF(OR($Q$29=0,INDEX('قاعدة البيانات'!$H$6:$H$305,$Q$29)=""),"",HYPERLINK("https://wa.me/20"&amp;RIGHT(INDEX('قاعدة البيانات'!$H$6:$H$305,$Q$29),10),"💬 واتساب"))</f>
        <v>💬 واتساب</v>
      </c>
    </row>
    <row r="78" spans="2:12" ht="24" customHeight="1">
      <c r="B78" s="38" t="str">
        <f>IF($Q$27=0,"","👨 بابا")</f>
        <v>👨 بابا</v>
      </c>
      <c r="C78" s="39" t="str">
        <f>IF($Q$27=0,"",IF(INDEX('قاعدة البيانات'!$I$6:$I$305,$Q$27)="","— مفيش رقم —",HYPERLINK("tel:"&amp;INDEX('قاعدة البيانات'!$I$6:$I$305,$Q$27),"📞 "&amp;INDEX('قاعدة البيانات'!$I$6:$I$305,$Q$27))))</f>
        <v>— مفيش رقم —</v>
      </c>
      <c r="D78" s="40" t="str">
        <f>IF(OR($Q$27=0,INDEX('قاعدة البيانات'!$I$6:$I$305,$Q$27)=""),"",HYPERLINK("https://wa.me/20"&amp;RIGHT(INDEX('قاعدة البيانات'!$I$6:$I$305,$Q$27),10),"💬 واتساب"))</f>
        <v/>
      </c>
      <c r="F78" s="38" t="str">
        <f>IF($Q$28=0,"","👨 بابا")</f>
        <v>👨 بابا</v>
      </c>
      <c r="G78" s="39" t="str">
        <f>IF($Q$28=0,"",IF(INDEX('قاعدة البيانات'!$I$6:$I$305,$Q$28)="","— مفيش رقم —",HYPERLINK("tel:"&amp;INDEX('قاعدة البيانات'!$I$6:$I$305,$Q$28),"📞 "&amp;INDEX('قاعدة البيانات'!$I$6:$I$305,$Q$28))))</f>
        <v>— مفيش رقم —</v>
      </c>
      <c r="H78" s="40" t="str">
        <f>IF(OR($Q$28=0,INDEX('قاعدة البيانات'!$I$6:$I$305,$Q$28)=""),"",HYPERLINK("https://wa.me/20"&amp;RIGHT(INDEX('قاعدة البيانات'!$I$6:$I$305,$Q$28),10),"💬 واتساب"))</f>
        <v/>
      </c>
      <c r="J78" s="38" t="str">
        <f>IF($Q$29=0,"","👨 بابا")</f>
        <v>👨 بابا</v>
      </c>
      <c r="K78" s="39" t="str">
        <f>IF($Q$29=0,"",IF(INDEX('قاعدة البيانات'!$I$6:$I$305,$Q$29)="","— مفيش رقم —",HYPERLINK("tel:"&amp;INDEX('قاعدة البيانات'!$I$6:$I$305,$Q$29),"📞 "&amp;INDEX('قاعدة البيانات'!$I$6:$I$305,$Q$29))))</f>
        <v>— مفيش رقم —</v>
      </c>
      <c r="L78" s="40" t="str">
        <f>IF(OR($Q$29=0,INDEX('قاعدة البيانات'!$I$6:$I$305,$Q$29)=""),"",HYPERLINK("https://wa.me/20"&amp;RIGHT(INDEX('قاعدة البيانات'!$I$6:$I$305,$Q$29),10),"💬 واتساب"))</f>
        <v/>
      </c>
    </row>
    <row r="79" spans="2:12" ht="37.5" customHeight="1">
      <c r="B79" s="124" t="str">
        <f>IF($Q$27=0,"","📍 "&amp;IF(INDEX('قاعدة البيانات'!$J$6:$J$305,$Q$27)="","— مفيش عنوان —",INDEX('قاعدة البيانات'!$J$6:$J$305,$Q$27)))</f>
        <v>📍 843 شارع بورسعيد - شقة 4 الدور 2 - مدخل الشونة</v>
      </c>
      <c r="C79" s="124"/>
      <c r="D79" s="124"/>
      <c r="F79" s="124" t="str">
        <f>IF($Q$28=0,"","📍 "&amp;IF(INDEX('قاعدة البيانات'!$J$6:$J$305,$Q$28)="","— مفيش عنوان —",INDEX('قاعدة البيانات'!$J$6:$J$305,$Q$28)))</f>
        <v>📍 44 شارع ترعة حمزة - شقة 1 الدور 3 - فوق صيدليه عماد بعد الارضى الشقة شمال السلم</v>
      </c>
      <c r="G79" s="124"/>
      <c r="H79" s="124"/>
      <c r="J79" s="124" t="str">
        <f>IF($Q$29=0,"","📍 "&amp;IF(INDEX('قاعدة البيانات'!$J$6:$J$305,$Q$29)="","— مفيش عنوان —",INDEX('قاعدة البيانات'!$J$6:$J$305,$Q$29)))</f>
        <v>📍 4 شارع خاتم المرسلين - الدور 5</v>
      </c>
      <c r="K79" s="124"/>
      <c r="L79" s="124"/>
    </row>
    <row r="80" spans="2:12" ht="21.75" customHeight="1">
      <c r="B80" s="125" t="str">
        <f>IF($Q$27=0,"","📊 إحصائيات الحضور")</f>
        <v>📊 إحصائيات الحضور</v>
      </c>
      <c r="C80" s="125"/>
      <c r="D80" s="125"/>
      <c r="F80" s="125" t="str">
        <f>IF($Q$28=0,"","📊 إحصائيات الحضور")</f>
        <v>📊 إحصائيات الحضور</v>
      </c>
      <c r="G80" s="125"/>
      <c r="H80" s="125"/>
      <c r="J80" s="125" t="str">
        <f>IF($Q$29=0,"","📊 إحصائيات الحضور")</f>
        <v>📊 إحصائيات الحضور</v>
      </c>
      <c r="K80" s="125"/>
      <c r="L80" s="125"/>
    </row>
    <row r="81" spans="2:12" ht="15.75" customHeight="1">
      <c r="B81" s="41" t="str">
        <f>IF($Q$27=0,"","✅ حضور")</f>
        <v>✅ حضور</v>
      </c>
      <c r="C81" s="41" t="str">
        <f>IF($Q$27=0,"","❌ غياب")</f>
        <v>❌ غياب</v>
      </c>
      <c r="D81" s="41" t="str">
        <f>IF($Q$27=0,"","📈 النسبة")</f>
        <v>📈 النسبة</v>
      </c>
      <c r="F81" s="41" t="str">
        <f>IF($Q$28=0,"","✅ حضور")</f>
        <v>✅ حضور</v>
      </c>
      <c r="G81" s="41" t="str">
        <f>IF($Q$28=0,"","❌ غياب")</f>
        <v>❌ غياب</v>
      </c>
      <c r="H81" s="41" t="str">
        <f>IF($Q$28=0,"","📈 النسبة")</f>
        <v>📈 النسبة</v>
      </c>
      <c r="J81" s="41" t="str">
        <f>IF($Q$29=0,"","✅ حضور")</f>
        <v>✅ حضور</v>
      </c>
      <c r="K81" s="41" t="str">
        <f>IF($Q$29=0,"","❌ غياب")</f>
        <v>❌ غياب</v>
      </c>
      <c r="L81" s="41" t="str">
        <f>IF($Q$29=0,"","📈 النسبة")</f>
        <v>📈 النسبة</v>
      </c>
    </row>
    <row r="82" spans="2:12" ht="33.75" customHeight="1">
      <c r="B82" s="42">
        <f>'حضور غبريال'!C25</f>
        <v>0</v>
      </c>
      <c r="C82" s="43">
        <f>'حضور غبريال'!D25</f>
        <v>0</v>
      </c>
      <c r="D82" s="44" t="str">
        <f>'حضور غبريال'!F25</f>
        <v/>
      </c>
      <c r="F82" s="42">
        <f>'حضور غبريال'!C26</f>
        <v>0</v>
      </c>
      <c r="G82" s="43">
        <f>'حضور غبريال'!D26</f>
        <v>0</v>
      </c>
      <c r="H82" s="44" t="str">
        <f>'حضور غبريال'!F26</f>
        <v/>
      </c>
      <c r="J82" s="42">
        <f>'حضور غبريال'!C27</f>
        <v>0</v>
      </c>
      <c r="K82" s="43">
        <f>'حضور غبريال'!D27</f>
        <v>0</v>
      </c>
      <c r="L82" s="44" t="str">
        <f>'حضور غبريال'!F27</f>
        <v/>
      </c>
    </row>
    <row r="83" spans="2:12" ht="24" customHeight="1">
      <c r="B83" s="126" t="str">
        <f>'حضور غبريال'!I25</f>
        <v>⏳ لسه مفيش حضور</v>
      </c>
      <c r="C83" s="126"/>
      <c r="D83" s="126"/>
      <c r="F83" s="126" t="str">
        <f>'حضور غبريال'!I26</f>
        <v>⏳ لسه مفيش حضور</v>
      </c>
      <c r="G83" s="126"/>
      <c r="H83" s="126"/>
      <c r="J83" s="126" t="str">
        <f>'حضور غبريال'!I27</f>
        <v>⏳ لسه مفيش حضور</v>
      </c>
      <c r="K83" s="126"/>
      <c r="L83" s="126"/>
    </row>
    <row r="84" spans="2:12" ht="19.5" customHeight="1">
      <c r="B84" s="127" t="str">
        <f>IF($Q$27=0,"","🗓️ آخر حضور: "&amp;IF(ISNUMBER('حضور غبريال'!H25),DAY('حضور غبريال'!H25)&amp;"/"&amp;MONTH('حضور غبريال'!H25)&amp;"/"&amp;YEAR('حضور غبريال'!H25),"—")&amp;"   •   غياب متتالي: "&amp;'حضور غبريال'!G25)</f>
        <v>🗓️ آخر حضور: —   •   غياب متتالي: 0</v>
      </c>
      <c r="C84" s="127"/>
      <c r="D84" s="127"/>
      <c r="F84" s="127" t="str">
        <f>IF($Q$28=0,"","🗓️ آخر حضور: "&amp;IF(ISNUMBER('حضور غبريال'!H26),DAY('حضور غبريال'!H26)&amp;"/"&amp;MONTH('حضور غبريال'!H26)&amp;"/"&amp;YEAR('حضور غبريال'!H26),"—")&amp;"   •   غياب متتالي: "&amp;'حضور غبريال'!G26)</f>
        <v>🗓️ آخر حضور: —   •   غياب متتالي: 0</v>
      </c>
      <c r="G84" s="127"/>
      <c r="H84" s="127"/>
      <c r="J84" s="127" t="str">
        <f>IF($Q$29=0,"","🗓️ آخر حضور: "&amp;IF(ISNUMBER('حضور غبريال'!H27),DAY('حضور غبريال'!H27)&amp;"/"&amp;MONTH('حضور غبريال'!H27)&amp;"/"&amp;YEAR('حضور غبريال'!H27),"—")&amp;"   •   غياب متتالي: "&amp;'حضور غبريال'!G27)</f>
        <v>🗓️ آخر حضور: —   •   غياب متتالي: 0</v>
      </c>
      <c r="K84" s="127"/>
      <c r="L84" s="127"/>
    </row>
    <row r="85" spans="2:12" ht="13.5" customHeight="1"/>
    <row r="86" spans="2:12" ht="30" customHeight="1">
      <c r="B86" s="122" t="str">
        <f>IF($Q$30=0,"",IF(INDEX('قاعدة البيانات'!$D$6:$D$305,$Q$30)="بنت","👧 ","👦 ")&amp;INDEX('قاعدة البيانات'!$C$6:$C$305,$Q$30))</f>
        <v>👧 بيرلا مايكل خليل</v>
      </c>
      <c r="C86" s="122"/>
      <c r="D86" s="122"/>
      <c r="F86" s="122" t="str">
        <f>IF($Q$31=0,"",IF(INDEX('قاعدة البيانات'!$D$6:$D$305,$Q$31)="بنت","👧 ","👦 ")&amp;INDEX('قاعدة البيانات'!$C$6:$C$305,$Q$31))</f>
        <v>👧 مورين مينا عوض</v>
      </c>
      <c r="G86" s="122"/>
      <c r="H86" s="122"/>
      <c r="J86" s="122" t="str">
        <f>IF($Q$32=0,"",IF(INDEX('قاعدة البيانات'!$D$6:$D$305,$Q$32)="بنت","👧 ","👦 ")&amp;INDEX('قاعدة البيانات'!$C$6:$C$305,$Q$32))</f>
        <v>👧 كارين وليم منير</v>
      </c>
      <c r="K86" s="122"/>
      <c r="L86" s="122"/>
    </row>
    <row r="87" spans="2:12" ht="108" customHeight="1">
      <c r="B87" s="37" t="e" vm="54">
        <f>IF($Q$30=0,"",IF(ISBLANK(INDEX('قاعدة البيانات'!$K$6:$K$305,$Q$30)),LEFT(INDEX('قاعدة البيانات'!$C$6:$C$305,$Q$30),1),INDEX('قاعدة البيانات'!$K$6:$K$305,$Q$30)))</f>
        <v>#VALUE!</v>
      </c>
      <c r="C87" s="123"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كود: B-022
🎓 سنة تانية
🚶 يروح لوحده: —
📝 مفيش ملاحظات</v>
      </c>
      <c r="D87" s="123"/>
      <c r="F87" s="37" t="str">
        <f>IF($Q$31=0,"",IF(ISBLANK(INDEX('قاعدة البيانات'!$K$6:$K$305,$Q$31)),LEFT(INDEX('قاعدة البيانات'!$C$6:$C$305,$Q$31),1),INDEX('قاعدة البيانات'!$K$6:$K$305,$Q$31)))</f>
        <v>م</v>
      </c>
      <c r="G87" s="123"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كود: B-023
🎓 سنة تانية
🚶 يروح لوحده: —
📝 مفيش ملاحظات</v>
      </c>
      <c r="H87" s="123"/>
      <c r="J87" s="37" t="str">
        <f>IF($Q$32=0,"",IF(ISBLANK(INDEX('قاعدة البيانات'!$K$6:$K$305,$Q$32)),LEFT(INDEX('قاعدة البيانات'!$C$6:$C$305,$Q$32),1),INDEX('قاعدة البيانات'!$K$6:$K$305,$Q$32)))</f>
        <v>ك</v>
      </c>
      <c r="K87" s="123"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كود: B-024
🎓 سنة تانية
🚶 يروح لوحده: —
📝 مفيش ملاحظات</v>
      </c>
      <c r="L87" s="123"/>
    </row>
    <row r="88" spans="2:12" ht="24" customHeight="1">
      <c r="B88" s="38" t="str">
        <f>IF($Q$30=0,"","👩 ماما")</f>
        <v>👩 ماما</v>
      </c>
      <c r="C88" s="39" t="str">
        <f>IF($Q$30=0,"",IF(INDEX('قاعدة البيانات'!$H$6:$H$305,$Q$30)="","— مفيش رقم —",HYPERLINK("tel:"&amp;INDEX('قاعدة البيانات'!$H$6:$H$305,$Q$30),"📞 "&amp;INDEX('قاعدة البيانات'!$H$6:$H$305,$Q$30))))</f>
        <v>📞 01210949273</v>
      </c>
      <c r="D88" s="40" t="str">
        <f>IF(OR($Q$30=0,INDEX('قاعدة البيانات'!$H$6:$H$305,$Q$30)=""),"",HYPERLINK("https://wa.me/20"&amp;RIGHT(INDEX('قاعدة البيانات'!$H$6:$H$305,$Q$30),10),"💬 واتساب"))</f>
        <v>💬 واتساب</v>
      </c>
      <c r="F88" s="38" t="str">
        <f>IF($Q$31=0,"","👩 ماما")</f>
        <v>👩 ماما</v>
      </c>
      <c r="G88" s="39" t="str">
        <f>IF($Q$31=0,"",IF(INDEX('قاعدة البيانات'!$H$6:$H$305,$Q$31)="","— مفيش رقم —",HYPERLINK("tel:"&amp;INDEX('قاعدة البيانات'!$H$6:$H$305,$Q$31),"📞 "&amp;INDEX('قاعدة البيانات'!$H$6:$H$305,$Q$31))))</f>
        <v>📞 01227989278</v>
      </c>
      <c r="H88" s="40" t="str">
        <f>IF(OR($Q$31=0,INDEX('قاعدة البيانات'!$H$6:$H$305,$Q$31)=""),"",HYPERLINK("https://wa.me/20"&amp;RIGHT(INDEX('قاعدة البيانات'!$H$6:$H$305,$Q$31),10),"💬 واتساب"))</f>
        <v>💬 واتساب</v>
      </c>
      <c r="J88" s="38" t="str">
        <f>IF($Q$32=0,"","👩 ماما")</f>
        <v>👩 ماما</v>
      </c>
      <c r="K88" s="39" t="str">
        <f>IF($Q$32=0,"",IF(INDEX('قاعدة البيانات'!$H$6:$H$305,$Q$32)="","— مفيش رقم —",HYPERLINK("tel:"&amp;INDEX('قاعدة البيانات'!$H$6:$H$305,$Q$32),"📞 "&amp;INDEX('قاعدة البيانات'!$H$6:$H$305,$Q$32))))</f>
        <v>📞 01227429046</v>
      </c>
      <c r="L88" s="40" t="str">
        <f>IF(OR($Q$32=0,INDEX('قاعدة البيانات'!$H$6:$H$305,$Q$32)=""),"",HYPERLINK("https://wa.me/20"&amp;RIGHT(INDEX('قاعدة البيانات'!$H$6:$H$305,$Q$32),10),"💬 واتساب"))</f>
        <v>💬 واتساب</v>
      </c>
    </row>
    <row r="89" spans="2:12" ht="24" customHeight="1">
      <c r="B89" s="38" t="str">
        <f>IF($Q$30=0,"","👨 بابا")</f>
        <v>👨 بابا</v>
      </c>
      <c r="C89" s="39" t="str">
        <f>IF($Q$30=0,"",IF(INDEX('قاعدة البيانات'!$I$6:$I$305,$Q$30)="","— مفيش رقم —",HYPERLINK("tel:"&amp;INDEX('قاعدة البيانات'!$I$6:$I$305,$Q$30),"📞 "&amp;INDEX('قاعدة البيانات'!$I$6:$I$305,$Q$30))))</f>
        <v>— مفيش رقم —</v>
      </c>
      <c r="D89" s="40" t="str">
        <f>IF(OR($Q$30=0,INDEX('قاعدة البيانات'!$I$6:$I$305,$Q$30)=""),"",HYPERLINK("https://wa.me/20"&amp;RIGHT(INDEX('قاعدة البيانات'!$I$6:$I$305,$Q$30),10),"💬 واتساب"))</f>
        <v/>
      </c>
      <c r="F89" s="38" t="str">
        <f>IF($Q$31=0,"","👨 بابا")</f>
        <v>👨 بابا</v>
      </c>
      <c r="G89" s="39" t="str">
        <f>IF($Q$31=0,"",IF(INDEX('قاعدة البيانات'!$I$6:$I$305,$Q$31)="","— مفيش رقم —",HYPERLINK("tel:"&amp;INDEX('قاعدة البيانات'!$I$6:$I$305,$Q$31),"📞 "&amp;INDEX('قاعدة البيانات'!$I$6:$I$305,$Q$31))))</f>
        <v>— مفيش رقم —</v>
      </c>
      <c r="H89" s="40" t="str">
        <f>IF(OR($Q$31=0,INDEX('قاعدة البيانات'!$I$6:$I$305,$Q$31)=""),"",HYPERLINK("https://wa.me/20"&amp;RIGHT(INDEX('قاعدة البيانات'!$I$6:$I$305,$Q$31),10),"💬 واتساب"))</f>
        <v/>
      </c>
      <c r="J89" s="38" t="str">
        <f>IF($Q$32=0,"","👨 بابا")</f>
        <v>👨 بابا</v>
      </c>
      <c r="K89" s="39" t="str">
        <f>IF($Q$32=0,"",IF(INDEX('قاعدة البيانات'!$I$6:$I$305,$Q$32)="","— مفيش رقم —",HYPERLINK("tel:"&amp;INDEX('قاعدة البيانات'!$I$6:$I$305,$Q$32),"📞 "&amp;INDEX('قاعدة البيانات'!$I$6:$I$305,$Q$32))))</f>
        <v>— مفيش رقم —</v>
      </c>
      <c r="L89" s="40" t="str">
        <f>IF(OR($Q$32=0,INDEX('قاعدة البيانات'!$I$6:$I$305,$Q$32)=""),"",HYPERLINK("https://wa.me/20"&amp;RIGHT(INDEX('قاعدة البيانات'!$I$6:$I$305,$Q$32),10),"💬 واتساب"))</f>
        <v/>
      </c>
    </row>
    <row r="90" spans="2:12" ht="37.5" customHeight="1">
      <c r="B90" s="124" t="str">
        <f>IF($Q$30=0,"","📍 "&amp;IF(INDEX('قاعدة البيانات'!$J$6:$J$305,$Q$30)="","— مفيش عنوان —",INDEX('قاعدة البيانات'!$J$6:$J$305,$Q$30)))</f>
        <v>📍 3 شارع عمرو عبد العزيز - شقة 1 الدور 1</v>
      </c>
      <c r="C90" s="124"/>
      <c r="D90" s="124"/>
      <c r="F90" s="124" t="str">
        <f>IF($Q$31=0,"","📍 "&amp;IF(INDEX('قاعدة البيانات'!$J$6:$J$305,$Q$31)="","— مفيش عنوان —",INDEX('قاعدة البيانات'!$J$6:$J$305,$Q$31)))</f>
        <v>📍 23 شارع أحمد رفاعى -  شقة 1 - الارضى - مورين و انجى مع عائلة الجد مكرم حبيب بقطر فى نفس الشقة</v>
      </c>
      <c r="G90" s="124"/>
      <c r="H90" s="124"/>
      <c r="J90" s="124" t="str">
        <f>IF($Q$32=0,"","📍 "&amp;IF(INDEX('قاعدة البيانات'!$J$6:$J$305,$Q$32)="","— مفيش عنوان —",INDEX('قاعدة البيانات'!$J$6:$J$305,$Q$32)))</f>
        <v>📍 3 شارع قباء -  شقة 3 الدور 3 - اخر مختار اباظة - قباء</v>
      </c>
      <c r="K90" s="124"/>
      <c r="L90" s="124"/>
    </row>
    <row r="91" spans="2:12" ht="21.75" customHeight="1">
      <c r="B91" s="125" t="str">
        <f>IF($Q$30=0,"","📊 إحصائيات الحضور")</f>
        <v>📊 إحصائيات الحضور</v>
      </c>
      <c r="C91" s="125"/>
      <c r="D91" s="125"/>
      <c r="F91" s="125" t="str">
        <f>IF($Q$31=0,"","📊 إحصائيات الحضور")</f>
        <v>📊 إحصائيات الحضور</v>
      </c>
      <c r="G91" s="125"/>
      <c r="H91" s="125"/>
      <c r="J91" s="125" t="str">
        <f>IF($Q$32=0,"","📊 إحصائيات الحضور")</f>
        <v>📊 إحصائيات الحضور</v>
      </c>
      <c r="K91" s="125"/>
      <c r="L91" s="125"/>
    </row>
    <row r="92" spans="2:12" ht="15.75" customHeight="1">
      <c r="B92" s="41" t="str">
        <f>IF($Q$30=0,"","✅ حضور")</f>
        <v>✅ حضور</v>
      </c>
      <c r="C92" s="41" t="str">
        <f>IF($Q$30=0,"","❌ غياب")</f>
        <v>❌ غياب</v>
      </c>
      <c r="D92" s="41" t="str">
        <f>IF($Q$30=0,"","📈 النسبة")</f>
        <v>📈 النسبة</v>
      </c>
      <c r="F92" s="41" t="str">
        <f>IF($Q$31=0,"","✅ حضور")</f>
        <v>✅ حضور</v>
      </c>
      <c r="G92" s="41" t="str">
        <f>IF($Q$31=0,"","❌ غياب")</f>
        <v>❌ غياب</v>
      </c>
      <c r="H92" s="41" t="str">
        <f>IF($Q$31=0,"","📈 النسبة")</f>
        <v>📈 النسبة</v>
      </c>
      <c r="J92" s="41" t="str">
        <f>IF($Q$32=0,"","✅ حضور")</f>
        <v>✅ حضور</v>
      </c>
      <c r="K92" s="41" t="str">
        <f>IF($Q$32=0,"","❌ غياب")</f>
        <v>❌ غياب</v>
      </c>
      <c r="L92" s="41" t="str">
        <f>IF($Q$32=0,"","📈 النسبة")</f>
        <v>📈 النسبة</v>
      </c>
    </row>
    <row r="93" spans="2:12" ht="33.75" customHeight="1">
      <c r="B93" s="42">
        <f>'حضور غبريال'!C28</f>
        <v>0</v>
      </c>
      <c r="C93" s="43">
        <f>'حضور غبريال'!D28</f>
        <v>0</v>
      </c>
      <c r="D93" s="44" t="str">
        <f>'حضور غبريال'!F28</f>
        <v/>
      </c>
      <c r="F93" s="42">
        <f>'حضور غبريال'!C29</f>
        <v>0</v>
      </c>
      <c r="G93" s="43">
        <f>'حضور غبريال'!D29</f>
        <v>0</v>
      </c>
      <c r="H93" s="44" t="str">
        <f>'حضور غبريال'!F29</f>
        <v/>
      </c>
      <c r="J93" s="42">
        <f>'حضور غبريال'!C30</f>
        <v>0</v>
      </c>
      <c r="K93" s="43">
        <f>'حضور غبريال'!D30</f>
        <v>0</v>
      </c>
      <c r="L93" s="44" t="str">
        <f>'حضور غبريال'!F30</f>
        <v/>
      </c>
    </row>
    <row r="94" spans="2:12" ht="24" customHeight="1">
      <c r="B94" s="126" t="str">
        <f>'حضور غبريال'!I28</f>
        <v>⏳ لسه مفيش حضور</v>
      </c>
      <c r="C94" s="126"/>
      <c r="D94" s="126"/>
      <c r="F94" s="126" t="str">
        <f>'حضور غبريال'!I29</f>
        <v>⏳ لسه مفيش حضور</v>
      </c>
      <c r="G94" s="126"/>
      <c r="H94" s="126"/>
      <c r="J94" s="126" t="str">
        <f>'حضور غبريال'!I30</f>
        <v>⏳ لسه مفيش حضور</v>
      </c>
      <c r="K94" s="126"/>
      <c r="L94" s="126"/>
    </row>
    <row r="95" spans="2:12" ht="19.5" customHeight="1">
      <c r="B95" s="127" t="str">
        <f>IF($Q$30=0,"","🗓️ آخر حضور: "&amp;IF(ISNUMBER('حضور غبريال'!H28),DAY('حضور غبريال'!H28)&amp;"/"&amp;MONTH('حضور غبريال'!H28)&amp;"/"&amp;YEAR('حضور غبريال'!H28),"—")&amp;"   •   غياب متتالي: "&amp;'حضور غبريال'!G28)</f>
        <v>🗓️ آخر حضور: —   •   غياب متتالي: 0</v>
      </c>
      <c r="C95" s="127"/>
      <c r="D95" s="127"/>
      <c r="F95" s="127" t="str">
        <f>IF($Q$31=0,"","🗓️ آخر حضور: "&amp;IF(ISNUMBER('حضور غبريال'!H29),DAY('حضور غبريال'!H29)&amp;"/"&amp;MONTH('حضور غبريال'!H29)&amp;"/"&amp;YEAR('حضور غبريال'!H29),"—")&amp;"   •   غياب متتالي: "&amp;'حضور غبريال'!G29)</f>
        <v>🗓️ آخر حضور: —   •   غياب متتالي: 0</v>
      </c>
      <c r="G95" s="127"/>
      <c r="H95" s="127"/>
      <c r="J95" s="127" t="str">
        <f>IF($Q$32=0,"","🗓️ آخر حضور: "&amp;IF(ISNUMBER('حضور غبريال'!H30),DAY('حضور غبريال'!H30)&amp;"/"&amp;MONTH('حضور غبريال'!H30)&amp;"/"&amp;YEAR('حضور غبريال'!H30),"—")&amp;"   •   غياب متتالي: "&amp;'حضور غبريال'!G30)</f>
        <v>🗓️ آخر حضور: —   •   غياب متتالي: 0</v>
      </c>
      <c r="K95" s="127"/>
      <c r="L95" s="127"/>
    </row>
    <row r="96" spans="2:12" ht="13.5" customHeight="1"/>
    <row r="97" spans="2:12" ht="30" customHeight="1">
      <c r="B97" s="122" t="str">
        <f>IF($Q$33=0,"",IF(INDEX('قاعدة البيانات'!$D$6:$D$305,$Q$33)="بنت","👧 ","👦 ")&amp;INDEX('قاعدة البيانات'!$C$6:$C$305,$Q$33))</f>
        <v/>
      </c>
      <c r="C97" s="122"/>
      <c r="D97" s="122"/>
      <c r="F97" s="122" t="str">
        <f>IF($Q$34=0,"",IF(INDEX('قاعدة البيانات'!$D$6:$D$305,$Q$34)="بنت","👧 ","👦 ")&amp;INDEX('قاعدة البيانات'!$C$6:$C$305,$Q$34))</f>
        <v/>
      </c>
      <c r="G97" s="122"/>
      <c r="H97" s="122"/>
      <c r="J97" s="122" t="str">
        <f>IF($Q$35=0,"",IF(INDEX('قاعدة البيانات'!$D$6:$D$305,$Q$35)="بنت","👧 ","👦 ")&amp;INDEX('قاعدة البيانات'!$C$6:$C$305,$Q$35))</f>
        <v/>
      </c>
      <c r="K97" s="122"/>
      <c r="L97" s="122"/>
    </row>
    <row r="98" spans="2:12" ht="108" customHeight="1">
      <c r="B98" s="37" t="str">
        <f>IF($Q$33=0,"",IF(ISBLANK(INDEX('قاعدة البيانات'!$K$6:$K$305,$Q$33)),LEFT(INDEX('قاعدة البيانات'!$C$6:$C$305,$Q$33),1),INDEX('قاعدة البيانات'!$K$6:$K$305,$Q$33)))</f>
        <v/>
      </c>
      <c r="C98" s="123"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23"/>
      <c r="F98" s="37" t="str">
        <f>IF($Q$34=0,"",IF(ISBLANK(INDEX('قاعدة البيانات'!$K$6:$K$305,$Q$34)),LEFT(INDEX('قاعدة البيانات'!$C$6:$C$305,$Q$34),1),INDEX('قاعدة البيانات'!$K$6:$K$305,$Q$34)))</f>
        <v/>
      </c>
      <c r="G98" s="123"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23"/>
      <c r="J98" s="37" t="str">
        <f>IF($Q$35=0,"",IF(ISBLANK(INDEX('قاعدة البيانات'!$K$6:$K$305,$Q$35)),LEFT(INDEX('قاعدة البيانات'!$C$6:$C$305,$Q$35),1),INDEX('قاعدة البيانات'!$K$6:$K$305,$Q$35)))</f>
        <v/>
      </c>
      <c r="K98" s="123"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23"/>
    </row>
    <row r="99" spans="2:12" ht="24" customHeight="1">
      <c r="B99" s="38" t="str">
        <f>IF($Q$33=0,"","👩 ماما")</f>
        <v/>
      </c>
      <c r="C99" s="39" t="str">
        <f>IF($Q$33=0,"",IF(INDEX('قاعدة البيانات'!$H$6:$H$305,$Q$33)="","— مفيش رقم —",HYPERLINK("tel:"&amp;INDEX('قاعدة البيانات'!$H$6:$H$305,$Q$33),"📞 "&amp;INDEX('قاعدة البيانات'!$H$6:$H$305,$Q$33))))</f>
        <v/>
      </c>
      <c r="D99" s="40" t="str">
        <f>IF(OR($Q$33=0,INDEX('قاعدة البيانات'!$H$6:$H$305,$Q$33)=""),"",HYPERLINK("https://wa.me/20"&amp;RIGHT(INDEX('قاعدة البيانات'!$H$6:$H$305,$Q$33),10),"💬 واتساب"))</f>
        <v/>
      </c>
      <c r="F99" s="38" t="str">
        <f>IF($Q$34=0,"","👩 ماما")</f>
        <v/>
      </c>
      <c r="G99" s="39" t="str">
        <f>IF($Q$34=0,"",IF(INDEX('قاعدة البيانات'!$H$6:$H$305,$Q$34)="","— مفيش رقم —",HYPERLINK("tel:"&amp;INDEX('قاعدة البيانات'!$H$6:$H$305,$Q$34),"📞 "&amp;INDEX('قاعدة البيانات'!$H$6:$H$305,$Q$34))))</f>
        <v/>
      </c>
      <c r="H99" s="40" t="str">
        <f>IF(OR($Q$34=0,INDEX('قاعدة البيانات'!$H$6:$H$305,$Q$34)=""),"",HYPERLINK("https://wa.me/20"&amp;RIGHT(INDEX('قاعدة البيانات'!$H$6:$H$305,$Q$34),10),"💬 واتساب"))</f>
        <v/>
      </c>
      <c r="J99" s="38" t="str">
        <f>IF($Q$35=0,"","👩 ماما")</f>
        <v/>
      </c>
      <c r="K99" s="39" t="str">
        <f>IF($Q$35=0,"",IF(INDEX('قاعدة البيانات'!$H$6:$H$305,$Q$35)="","— مفيش رقم —",HYPERLINK("tel:"&amp;INDEX('قاعدة البيانات'!$H$6:$H$305,$Q$35),"📞 "&amp;INDEX('قاعدة البيانات'!$H$6:$H$305,$Q$35))))</f>
        <v/>
      </c>
      <c r="L99" s="40" t="str">
        <f>IF(OR($Q$35=0,INDEX('قاعدة البيانات'!$H$6:$H$305,$Q$35)=""),"",HYPERLINK("https://wa.me/20"&amp;RIGHT(INDEX('قاعدة البيانات'!$H$6:$H$305,$Q$35),10),"💬 واتساب"))</f>
        <v/>
      </c>
    </row>
    <row r="100" spans="2:12" ht="24" customHeight="1">
      <c r="B100" s="38" t="str">
        <f>IF($Q$33=0,"","👨 بابا")</f>
        <v/>
      </c>
      <c r="C100" s="39" t="str">
        <f>IF($Q$33=0,"",IF(INDEX('قاعدة البيانات'!$I$6:$I$305,$Q$33)="","— مفيش رقم —",HYPERLINK("tel:"&amp;INDEX('قاعدة البيانات'!$I$6:$I$305,$Q$33),"📞 "&amp;INDEX('قاعدة البيانات'!$I$6:$I$305,$Q$33))))</f>
        <v/>
      </c>
      <c r="D100" s="40" t="str">
        <f>IF(OR($Q$33=0,INDEX('قاعدة البيانات'!$I$6:$I$305,$Q$33)=""),"",HYPERLINK("https://wa.me/20"&amp;RIGHT(INDEX('قاعدة البيانات'!$I$6:$I$305,$Q$33),10),"💬 واتساب"))</f>
        <v/>
      </c>
      <c r="F100" s="38" t="str">
        <f>IF($Q$34=0,"","👨 بابا")</f>
        <v/>
      </c>
      <c r="G100" s="39" t="str">
        <f>IF($Q$34=0,"",IF(INDEX('قاعدة البيانات'!$I$6:$I$305,$Q$34)="","— مفيش رقم —",HYPERLINK("tel:"&amp;INDEX('قاعدة البيانات'!$I$6:$I$305,$Q$34),"📞 "&amp;INDEX('قاعدة البيانات'!$I$6:$I$305,$Q$34))))</f>
        <v/>
      </c>
      <c r="H100" s="40" t="str">
        <f>IF(OR($Q$34=0,INDEX('قاعدة البيانات'!$I$6:$I$305,$Q$34)=""),"",HYPERLINK("https://wa.me/20"&amp;RIGHT(INDEX('قاعدة البيانات'!$I$6:$I$305,$Q$34),10),"💬 واتساب"))</f>
        <v/>
      </c>
      <c r="J100" s="38" t="str">
        <f>IF($Q$35=0,"","👨 بابا")</f>
        <v/>
      </c>
      <c r="K100" s="39" t="str">
        <f>IF($Q$35=0,"",IF(INDEX('قاعدة البيانات'!$I$6:$I$305,$Q$35)="","— مفيش رقم —",HYPERLINK("tel:"&amp;INDEX('قاعدة البيانات'!$I$6:$I$305,$Q$35),"📞 "&amp;INDEX('قاعدة البيانات'!$I$6:$I$305,$Q$35))))</f>
        <v/>
      </c>
      <c r="L100" s="40" t="str">
        <f>IF(OR($Q$35=0,INDEX('قاعدة البيانات'!$I$6:$I$305,$Q$35)=""),"",HYPERLINK("https://wa.me/20"&amp;RIGHT(INDEX('قاعدة البيانات'!$I$6:$I$305,$Q$35),10),"💬 واتساب"))</f>
        <v/>
      </c>
    </row>
    <row r="101" spans="2:12" ht="37.5" customHeight="1">
      <c r="B101" s="124" t="str">
        <f>IF($Q$33=0,"","📍 "&amp;IF(INDEX('قاعدة البيانات'!$J$6:$J$305,$Q$33)="","— مفيش عنوان —",INDEX('قاعدة البيانات'!$J$6:$J$305,$Q$33)))</f>
        <v/>
      </c>
      <c r="C101" s="124"/>
      <c r="D101" s="124"/>
      <c r="F101" s="124" t="str">
        <f>IF($Q$34=0,"","📍 "&amp;IF(INDEX('قاعدة البيانات'!$J$6:$J$305,$Q$34)="","— مفيش عنوان —",INDEX('قاعدة البيانات'!$J$6:$J$305,$Q$34)))</f>
        <v/>
      </c>
      <c r="G101" s="124"/>
      <c r="H101" s="124"/>
      <c r="J101" s="124" t="str">
        <f>IF($Q$35=0,"","📍 "&amp;IF(INDEX('قاعدة البيانات'!$J$6:$J$305,$Q$35)="","— مفيش عنوان —",INDEX('قاعدة البيانات'!$J$6:$J$305,$Q$35)))</f>
        <v/>
      </c>
      <c r="K101" s="124"/>
      <c r="L101" s="124"/>
    </row>
    <row r="102" spans="2:12" ht="21.75" customHeight="1">
      <c r="B102" s="125" t="str">
        <f>IF($Q$33=0,"","📊 إحصائيات الحضور")</f>
        <v/>
      </c>
      <c r="C102" s="125"/>
      <c r="D102" s="125"/>
      <c r="F102" s="125" t="str">
        <f>IF($Q$34=0,"","📊 إحصائيات الحضور")</f>
        <v/>
      </c>
      <c r="G102" s="125"/>
      <c r="H102" s="125"/>
      <c r="J102" s="125" t="str">
        <f>IF($Q$35=0,"","📊 إحصائيات الحضور")</f>
        <v/>
      </c>
      <c r="K102" s="125"/>
      <c r="L102" s="125"/>
    </row>
    <row r="103" spans="2:12" ht="15.75" customHeight="1">
      <c r="B103" s="41" t="str">
        <f>IF($Q$33=0,"","✅ حضور")</f>
        <v/>
      </c>
      <c r="C103" s="41" t="str">
        <f>IF($Q$33=0,"","❌ غياب")</f>
        <v/>
      </c>
      <c r="D103" s="41" t="str">
        <f>IF($Q$33=0,"","📈 النسبة")</f>
        <v/>
      </c>
      <c r="F103" s="41" t="str">
        <f>IF($Q$34=0,"","✅ حضور")</f>
        <v/>
      </c>
      <c r="G103" s="41" t="str">
        <f>IF($Q$34=0,"","❌ غياب")</f>
        <v/>
      </c>
      <c r="H103" s="41" t="str">
        <f>IF($Q$34=0,"","📈 النسبة")</f>
        <v/>
      </c>
      <c r="J103" s="41" t="str">
        <f>IF($Q$35=0,"","✅ حضور")</f>
        <v/>
      </c>
      <c r="K103" s="41" t="str">
        <f>IF($Q$35=0,"","❌ غياب")</f>
        <v/>
      </c>
      <c r="L103" s="41" t="str">
        <f>IF($Q$35=0,"","📈 النسبة")</f>
        <v/>
      </c>
    </row>
    <row r="104" spans="2:12" ht="33.75" customHeight="1">
      <c r="B104" s="42" t="str">
        <f>'حضور غبريال'!C31</f>
        <v/>
      </c>
      <c r="C104" s="43" t="str">
        <f>'حضور غبريال'!D31</f>
        <v/>
      </c>
      <c r="D104" s="44" t="str">
        <f>'حضور غبريال'!F31</f>
        <v/>
      </c>
      <c r="F104" s="42" t="str">
        <f>'حضور غبريال'!C32</f>
        <v/>
      </c>
      <c r="G104" s="43" t="str">
        <f>'حضور غبريال'!D32</f>
        <v/>
      </c>
      <c r="H104" s="44" t="str">
        <f>'حضور غبريال'!F32</f>
        <v/>
      </c>
      <c r="J104" s="42" t="str">
        <f>'حضور غبريال'!C33</f>
        <v/>
      </c>
      <c r="K104" s="43" t="str">
        <f>'حضور غبريال'!D33</f>
        <v/>
      </c>
      <c r="L104" s="44" t="str">
        <f>'حضور غبريال'!F33</f>
        <v/>
      </c>
    </row>
    <row r="105" spans="2:12" ht="24" customHeight="1">
      <c r="B105" s="126" t="str">
        <f>'حضور غبريال'!I31</f>
        <v/>
      </c>
      <c r="C105" s="126"/>
      <c r="D105" s="126"/>
      <c r="F105" s="126" t="str">
        <f>'حضور غبريال'!I32</f>
        <v/>
      </c>
      <c r="G105" s="126"/>
      <c r="H105" s="126"/>
      <c r="J105" s="126" t="str">
        <f>'حضور غبريال'!I33</f>
        <v/>
      </c>
      <c r="K105" s="126"/>
      <c r="L105" s="126"/>
    </row>
    <row r="106" spans="2:12" ht="19.5" customHeight="1">
      <c r="B106" s="127" t="str">
        <f>IF($Q$33=0,"","🗓️ آخر حضور: "&amp;IF(ISNUMBER('حضور غبريال'!H31),DAY('حضور غبريال'!H31)&amp;"/"&amp;MONTH('حضور غبريال'!H31)&amp;"/"&amp;YEAR('حضور غبريال'!H31),"—")&amp;"   •   غياب متتالي: "&amp;'حضور غبريال'!G31)</f>
        <v/>
      </c>
      <c r="C106" s="127"/>
      <c r="D106" s="127"/>
      <c r="F106" s="127" t="str">
        <f>IF($Q$34=0,"","🗓️ آخر حضور: "&amp;IF(ISNUMBER('حضور غبريال'!H32),DAY('حضور غبريال'!H32)&amp;"/"&amp;MONTH('حضور غبريال'!H32)&amp;"/"&amp;YEAR('حضور غبريال'!H32),"—")&amp;"   •   غياب متتالي: "&amp;'حضور غبريال'!G32)</f>
        <v/>
      </c>
      <c r="G106" s="127"/>
      <c r="H106" s="127"/>
      <c r="J106" s="127" t="str">
        <f>IF($Q$35=0,"","🗓️ آخر حضور: "&amp;IF(ISNUMBER('حضور غبريال'!H33),DAY('حضور غبريال'!H33)&amp;"/"&amp;MONTH('حضور غبريال'!H33)&amp;"/"&amp;YEAR('حضور غبريال'!H33),"—")&amp;"   •   غياب متتالي: "&amp;'حضور غبريال'!G33)</f>
        <v/>
      </c>
      <c r="K106" s="127"/>
      <c r="L106" s="127"/>
    </row>
    <row r="107" spans="2:12" ht="13.5" customHeight="1"/>
    <row r="108" spans="2:12" ht="30" customHeight="1">
      <c r="B108" s="122" t="str">
        <f>IF($Q$36=0,"",IF(INDEX('قاعدة البيانات'!$D$6:$D$305,$Q$36)="بنت","👧 ","👦 ")&amp;INDEX('قاعدة البيانات'!$C$6:$C$305,$Q$36))</f>
        <v/>
      </c>
      <c r="C108" s="122"/>
      <c r="D108" s="122"/>
      <c r="F108" s="122" t="str">
        <f>IF($Q$37=0,"",IF(INDEX('قاعدة البيانات'!$D$6:$D$305,$Q$37)="بنت","👧 ","👦 ")&amp;INDEX('قاعدة البيانات'!$C$6:$C$305,$Q$37))</f>
        <v/>
      </c>
      <c r="G108" s="122"/>
      <c r="H108" s="122"/>
      <c r="J108" s="122" t="str">
        <f>IF($Q$38=0,"",IF(INDEX('قاعدة البيانات'!$D$6:$D$305,$Q$38)="بنت","👧 ","👦 ")&amp;INDEX('قاعدة البيانات'!$C$6:$C$305,$Q$38))</f>
        <v/>
      </c>
      <c r="K108" s="122"/>
      <c r="L108" s="122"/>
    </row>
    <row r="109" spans="2:12" ht="108" customHeight="1">
      <c r="B109" s="37" t="str">
        <f>IF($Q$36=0,"",IF(ISBLANK(INDEX('قاعدة البيانات'!$K$6:$K$305,$Q$36)),LEFT(INDEX('قاعدة البيانات'!$C$6:$C$305,$Q$36),1),INDEX('قاعدة البيانات'!$K$6:$K$305,$Q$36)))</f>
        <v/>
      </c>
      <c r="C109" s="123"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23"/>
      <c r="F109" s="37" t="str">
        <f>IF($Q$37=0,"",IF(ISBLANK(INDEX('قاعدة البيانات'!$K$6:$K$305,$Q$37)),LEFT(INDEX('قاعدة البيانات'!$C$6:$C$305,$Q$37),1),INDEX('قاعدة البيانات'!$K$6:$K$305,$Q$37)))</f>
        <v/>
      </c>
      <c r="G109" s="123"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23"/>
      <c r="J109" s="37" t="str">
        <f>IF($Q$38=0,"",IF(ISBLANK(INDEX('قاعدة البيانات'!$K$6:$K$305,$Q$38)),LEFT(INDEX('قاعدة البيانات'!$C$6:$C$305,$Q$38),1),INDEX('قاعدة البيانات'!$K$6:$K$305,$Q$38)))</f>
        <v/>
      </c>
      <c r="K109" s="123"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23"/>
    </row>
    <row r="110" spans="2:12" ht="24" customHeight="1">
      <c r="B110" s="38" t="str">
        <f>IF($Q$36=0,"","👩 ماما")</f>
        <v/>
      </c>
      <c r="C110" s="39" t="str">
        <f>IF($Q$36=0,"",IF(INDEX('قاعدة البيانات'!$H$6:$H$305,$Q$36)="","— مفيش رقم —",HYPERLINK("tel:"&amp;INDEX('قاعدة البيانات'!$H$6:$H$305,$Q$36),"📞 "&amp;INDEX('قاعدة البيانات'!$H$6:$H$305,$Q$36))))</f>
        <v/>
      </c>
      <c r="D110" s="40" t="str">
        <f>IF(OR($Q$36=0,INDEX('قاعدة البيانات'!$H$6:$H$305,$Q$36)=""),"",HYPERLINK("https://wa.me/20"&amp;RIGHT(INDEX('قاعدة البيانات'!$H$6:$H$305,$Q$36),10),"💬 واتساب"))</f>
        <v/>
      </c>
      <c r="F110" s="38" t="str">
        <f>IF($Q$37=0,"","👩 ماما")</f>
        <v/>
      </c>
      <c r="G110" s="39" t="str">
        <f>IF($Q$37=0,"",IF(INDEX('قاعدة البيانات'!$H$6:$H$305,$Q$37)="","— مفيش رقم —",HYPERLINK("tel:"&amp;INDEX('قاعدة البيانات'!$H$6:$H$305,$Q$37),"📞 "&amp;INDEX('قاعدة البيانات'!$H$6:$H$305,$Q$37))))</f>
        <v/>
      </c>
      <c r="H110" s="40" t="str">
        <f>IF(OR($Q$37=0,INDEX('قاعدة البيانات'!$H$6:$H$305,$Q$37)=""),"",HYPERLINK("https://wa.me/20"&amp;RIGHT(INDEX('قاعدة البيانات'!$H$6:$H$305,$Q$37),10),"💬 واتساب"))</f>
        <v/>
      </c>
      <c r="J110" s="38" t="str">
        <f>IF($Q$38=0,"","👩 ماما")</f>
        <v/>
      </c>
      <c r="K110" s="39" t="str">
        <f>IF($Q$38=0,"",IF(INDEX('قاعدة البيانات'!$H$6:$H$305,$Q$38)="","— مفيش رقم —",HYPERLINK("tel:"&amp;INDEX('قاعدة البيانات'!$H$6:$H$305,$Q$38),"📞 "&amp;INDEX('قاعدة البيانات'!$H$6:$H$305,$Q$38))))</f>
        <v/>
      </c>
      <c r="L110" s="40" t="str">
        <f>IF(OR($Q$38=0,INDEX('قاعدة البيانات'!$H$6:$H$305,$Q$38)=""),"",HYPERLINK("https://wa.me/20"&amp;RIGHT(INDEX('قاعدة البيانات'!$H$6:$H$305,$Q$38),10),"💬 واتساب"))</f>
        <v/>
      </c>
    </row>
    <row r="111" spans="2:12" ht="24" customHeight="1">
      <c r="B111" s="38" t="str">
        <f>IF($Q$36=0,"","👨 بابا")</f>
        <v/>
      </c>
      <c r="C111" s="39" t="str">
        <f>IF($Q$36=0,"",IF(INDEX('قاعدة البيانات'!$I$6:$I$305,$Q$36)="","— مفيش رقم —",HYPERLINK("tel:"&amp;INDEX('قاعدة البيانات'!$I$6:$I$305,$Q$36),"📞 "&amp;INDEX('قاعدة البيانات'!$I$6:$I$305,$Q$36))))</f>
        <v/>
      </c>
      <c r="D111" s="40" t="str">
        <f>IF(OR($Q$36=0,INDEX('قاعدة البيانات'!$I$6:$I$305,$Q$36)=""),"",HYPERLINK("https://wa.me/20"&amp;RIGHT(INDEX('قاعدة البيانات'!$I$6:$I$305,$Q$36),10),"💬 واتساب"))</f>
        <v/>
      </c>
      <c r="F111" s="38" t="str">
        <f>IF($Q$37=0,"","👨 بابا")</f>
        <v/>
      </c>
      <c r="G111" s="39" t="str">
        <f>IF($Q$37=0,"",IF(INDEX('قاعدة البيانات'!$I$6:$I$305,$Q$37)="","— مفيش رقم —",HYPERLINK("tel:"&amp;INDEX('قاعدة البيانات'!$I$6:$I$305,$Q$37),"📞 "&amp;INDEX('قاعدة البيانات'!$I$6:$I$305,$Q$37))))</f>
        <v/>
      </c>
      <c r="H111" s="40" t="str">
        <f>IF(OR($Q$37=0,INDEX('قاعدة البيانات'!$I$6:$I$305,$Q$37)=""),"",HYPERLINK("https://wa.me/20"&amp;RIGHT(INDEX('قاعدة البيانات'!$I$6:$I$305,$Q$37),10),"💬 واتساب"))</f>
        <v/>
      </c>
      <c r="J111" s="38" t="str">
        <f>IF($Q$38=0,"","👨 بابا")</f>
        <v/>
      </c>
      <c r="K111" s="39" t="str">
        <f>IF($Q$38=0,"",IF(INDEX('قاعدة البيانات'!$I$6:$I$305,$Q$38)="","— مفيش رقم —",HYPERLINK("tel:"&amp;INDEX('قاعدة البيانات'!$I$6:$I$305,$Q$38),"📞 "&amp;INDEX('قاعدة البيانات'!$I$6:$I$305,$Q$38))))</f>
        <v/>
      </c>
      <c r="L111" s="40" t="str">
        <f>IF(OR($Q$38=0,INDEX('قاعدة البيانات'!$I$6:$I$305,$Q$38)=""),"",HYPERLINK("https://wa.me/20"&amp;RIGHT(INDEX('قاعدة البيانات'!$I$6:$I$305,$Q$38),10),"💬 واتساب"))</f>
        <v/>
      </c>
    </row>
    <row r="112" spans="2:12" ht="37.5" customHeight="1">
      <c r="B112" s="124" t="str">
        <f>IF($Q$36=0,"","📍 "&amp;IF(INDEX('قاعدة البيانات'!$J$6:$J$305,$Q$36)="","— مفيش عنوان —",INDEX('قاعدة البيانات'!$J$6:$J$305,$Q$36)))</f>
        <v/>
      </c>
      <c r="C112" s="124"/>
      <c r="D112" s="124"/>
      <c r="F112" s="124" t="str">
        <f>IF($Q$37=0,"","📍 "&amp;IF(INDEX('قاعدة البيانات'!$J$6:$J$305,$Q$37)="","— مفيش عنوان —",INDEX('قاعدة البيانات'!$J$6:$J$305,$Q$37)))</f>
        <v/>
      </c>
      <c r="G112" s="124"/>
      <c r="H112" s="124"/>
      <c r="J112" s="124" t="str">
        <f>IF($Q$38=0,"","📍 "&amp;IF(INDEX('قاعدة البيانات'!$J$6:$J$305,$Q$38)="","— مفيش عنوان —",INDEX('قاعدة البيانات'!$J$6:$J$305,$Q$38)))</f>
        <v/>
      </c>
      <c r="K112" s="124"/>
      <c r="L112" s="124"/>
    </row>
    <row r="113" spans="2:12" ht="21.75" customHeight="1">
      <c r="B113" s="125" t="str">
        <f>IF($Q$36=0,"","📊 إحصائيات الحضور")</f>
        <v/>
      </c>
      <c r="C113" s="125"/>
      <c r="D113" s="125"/>
      <c r="F113" s="125" t="str">
        <f>IF($Q$37=0,"","📊 إحصائيات الحضور")</f>
        <v/>
      </c>
      <c r="G113" s="125"/>
      <c r="H113" s="125"/>
      <c r="J113" s="125" t="str">
        <f>IF($Q$38=0,"","📊 إحصائيات الحضور")</f>
        <v/>
      </c>
      <c r="K113" s="125"/>
      <c r="L113" s="125"/>
    </row>
    <row r="114" spans="2:12" ht="15.75" customHeight="1">
      <c r="B114" s="41" t="str">
        <f>IF($Q$36=0,"","✅ حضور")</f>
        <v/>
      </c>
      <c r="C114" s="41" t="str">
        <f>IF($Q$36=0,"","❌ غياب")</f>
        <v/>
      </c>
      <c r="D114" s="41" t="str">
        <f>IF($Q$36=0,"","📈 النسبة")</f>
        <v/>
      </c>
      <c r="F114" s="41" t="str">
        <f>IF($Q$37=0,"","✅ حضور")</f>
        <v/>
      </c>
      <c r="G114" s="41" t="str">
        <f>IF($Q$37=0,"","❌ غياب")</f>
        <v/>
      </c>
      <c r="H114" s="41" t="str">
        <f>IF($Q$37=0,"","📈 النسبة")</f>
        <v/>
      </c>
      <c r="J114" s="41" t="str">
        <f>IF($Q$38=0,"","✅ حضور")</f>
        <v/>
      </c>
      <c r="K114" s="41" t="str">
        <f>IF($Q$38=0,"","❌ غياب")</f>
        <v/>
      </c>
      <c r="L114" s="41" t="str">
        <f>IF($Q$38=0,"","📈 النسبة")</f>
        <v/>
      </c>
    </row>
    <row r="115" spans="2:12" ht="33.75" customHeight="1">
      <c r="B115" s="42" t="str">
        <f>'حضور غبريال'!C34</f>
        <v/>
      </c>
      <c r="C115" s="43" t="str">
        <f>'حضور غبريال'!D34</f>
        <v/>
      </c>
      <c r="D115" s="44" t="str">
        <f>'حضور غبريال'!F34</f>
        <v/>
      </c>
      <c r="F115" s="42" t="str">
        <f>'حضور غبريال'!C35</f>
        <v/>
      </c>
      <c r="G115" s="43" t="str">
        <f>'حضور غبريال'!D35</f>
        <v/>
      </c>
      <c r="H115" s="44" t="str">
        <f>'حضور غبريال'!F35</f>
        <v/>
      </c>
      <c r="J115" s="42" t="str">
        <f>'حضور غبريال'!C36</f>
        <v/>
      </c>
      <c r="K115" s="43" t="str">
        <f>'حضور غبريال'!D36</f>
        <v/>
      </c>
      <c r="L115" s="44" t="str">
        <f>'حضور غبريال'!F36</f>
        <v/>
      </c>
    </row>
    <row r="116" spans="2:12" ht="24" customHeight="1">
      <c r="B116" s="126" t="str">
        <f>'حضور غبريال'!I34</f>
        <v/>
      </c>
      <c r="C116" s="126"/>
      <c r="D116" s="126"/>
      <c r="F116" s="126" t="str">
        <f>'حضور غبريال'!I35</f>
        <v/>
      </c>
      <c r="G116" s="126"/>
      <c r="H116" s="126"/>
      <c r="J116" s="126" t="str">
        <f>'حضور غبريال'!I36</f>
        <v/>
      </c>
      <c r="K116" s="126"/>
      <c r="L116" s="126"/>
    </row>
    <row r="117" spans="2:12" ht="19.5" customHeight="1">
      <c r="B117" s="127" t="str">
        <f>IF($Q$36=0,"","🗓️ آخر حضور: "&amp;IF(ISNUMBER('حضور غبريال'!H34),DAY('حضور غبريال'!H34)&amp;"/"&amp;MONTH('حضور غبريال'!H34)&amp;"/"&amp;YEAR('حضور غبريال'!H34),"—")&amp;"   •   غياب متتالي: "&amp;'حضور غبريال'!G34)</f>
        <v/>
      </c>
      <c r="C117" s="127"/>
      <c r="D117" s="127"/>
      <c r="F117" s="127" t="str">
        <f>IF($Q$37=0,"","🗓️ آخر حضور: "&amp;IF(ISNUMBER('حضور غبريال'!H35),DAY('حضور غبريال'!H35)&amp;"/"&amp;MONTH('حضور غبريال'!H35)&amp;"/"&amp;YEAR('حضور غبريال'!H35),"—")&amp;"   •   غياب متتالي: "&amp;'حضور غبريال'!G35)</f>
        <v/>
      </c>
      <c r="G117" s="127"/>
      <c r="H117" s="127"/>
      <c r="J117" s="127" t="str">
        <f>IF($Q$38=0,"","🗓️ آخر حضور: "&amp;IF(ISNUMBER('حضور غبريال'!H36),DAY('حضور غبريال'!H36)&amp;"/"&amp;MONTH('حضور غبريال'!H36)&amp;"/"&amp;YEAR('حضور غبريال'!H36),"—")&amp;"   •   غياب متتالي: "&amp;'حضور غبريال'!G36)</f>
        <v/>
      </c>
      <c r="K117" s="127"/>
      <c r="L117" s="127"/>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119" priority="4">
      <formula>INDEX($R$9:$R$38,(INT((ROW()-9)/11)*3+INT((COLUMN()-2)/4)+1))="ولد"</formula>
    </cfRule>
    <cfRule type="expression" dxfId="118"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117"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116" priority="2">
      <formula>INDEX($S$9:$S$38,(INT((ROW()-9)/11)*3+INT((COLUMN()-2)/4)+1))=5</formula>
    </cfRule>
    <cfRule type="expression" dxfId="115"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114"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113"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112"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111" priority="17">
      <formula>INDEX($S$9:$S$38,(INT((ROW()-9)/11)*3+INT((COLUMN()-2)/4)+1))=1</formula>
    </cfRule>
    <cfRule type="expression" dxfId="110" priority="18">
      <formula>INDEX($S$9:$S$38,(INT((ROW()-9)/11)*3+INT((COLUMN()-2)/4)+1))=2</formula>
    </cfRule>
    <cfRule type="expression" dxfId="109" priority="19">
      <formula>INDEX($S$9:$S$38,(INT((ROW()-9)/11)*3+INT((COLUMN()-2)/4)+1))=3</formula>
    </cfRule>
    <cfRule type="expression" dxfId="108" priority="20">
      <formula>INDEX($S$9:$S$38,(INT((ROW()-9)/11)*3+INT((COLUMN()-2)/4)+1))=4</formula>
    </cfRule>
    <cfRule type="expression" dxfId="107"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106"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105" priority="6">
      <formula>INDEX($Q$9:$Q$38,(INT((ROW()-9)/11)*3+INT((COLUMN()-2)/4)+1))&gt;0</formula>
    </cfRule>
  </conditionalFormatting>
  <conditionalFormatting sqref="D16 H16 L16 D27 H27 L27 D38 H38 L38 D49 H49 L49 D60 H60 L60 D71 H71 L71 D82 H82 L82 D93 H93 L93 D104 H104 L104 D115 H115 L115">
    <cfRule type="expression" dxfId="104" priority="13">
      <formula>INDEX($S$9:$S$38,(INT((ROW()-9)/11)*3+INT((COLUMN()-2)/4)+1))=1</formula>
    </cfRule>
    <cfRule type="expression" dxfId="103" priority="14">
      <formula>INDEX($S$9:$S$38,(INT((ROW()-9)/11)*3+INT((COLUMN()-2)/4)+1))=2</formula>
    </cfRule>
    <cfRule type="expression" dxfId="102" priority="15">
      <formula>OR(INDEX($S$9:$S$38,(INT((ROW()-9)/11)*3+INT((COLUMN()-2)/4)+1))=3,INDEX($S$9:$S$38,(INT((ROW()-9)/11)*3+INT((COLUMN()-2)/4)+1))=4)</formula>
    </cfRule>
    <cfRule type="expression" dxfId="101"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B1:S118"/>
  <sheetViews>
    <sheetView showGridLines="0" rightToLeft="1" zoomScale="90" zoomScaleNormal="90" workbookViewId="0">
      <pane ySplit="2" topLeftCell="A3" activePane="bottomLeft" state="frozen"/>
      <selection pane="bottomLeft"/>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34" t="str">
        <f>"🪪 كروت أطفال ملاك "&amp;الإعدادات!$B$6</f>
        <v>🪪 كروت أطفال ملاك رفائيل</v>
      </c>
      <c r="C1" s="134"/>
      <c r="D1" s="134"/>
      <c r="E1" s="134"/>
      <c r="F1" s="134"/>
      <c r="G1" s="134"/>
      <c r="H1" s="134"/>
      <c r="I1" s="134"/>
      <c r="J1" s="134"/>
      <c r="K1" s="134"/>
      <c r="L1" s="134"/>
    </row>
    <row r="2" spans="2:19" ht="30" customHeight="1">
      <c r="B2" s="111" t="str">
        <f>HYPERLINK("#'الرئيسية'!A1","🏠 الرئيسية")</f>
        <v>🏠 الرئيسية</v>
      </c>
      <c r="C2" s="111"/>
      <c r="D2" s="115" t="str">
        <f>HYPERLINK("#'قاعدة البيانات'!C"&amp;MIN(305,6+COUNTA('قاعدة البيانات'!$C$6:$C$305)),"➕ إضافة طفل جديد")</f>
        <v>➕ إضافة طفل جديد</v>
      </c>
      <c r="E2" s="115"/>
      <c r="F2" s="115"/>
      <c r="G2" s="135" t="str">
        <f>HYPERLINK("#'حضور رفائيل'!A1","📅 حضور الفصل")</f>
        <v>📅 حضور الفصل</v>
      </c>
      <c r="H2" s="135"/>
      <c r="J2" s="111" t="str">
        <f>HYPERLINK("#'الافتقاد'!A1","📞 الافتقاد")</f>
        <v>📞 الافتقاد</v>
      </c>
      <c r="K2" s="111"/>
      <c r="L2" s="18" t="str">
        <f>HYPERLINK("#'قاعدة البيانات'!A1","📋 القاعدة")</f>
        <v>📋 القاعدة</v>
      </c>
    </row>
    <row r="3" spans="2:19" ht="7.5" customHeight="1"/>
    <row r="4" spans="2:19" ht="19.5" customHeight="1">
      <c r="B4" s="136" t="s">
        <v>52</v>
      </c>
      <c r="C4" s="136"/>
      <c r="D4" s="136"/>
      <c r="F4" s="136" t="s">
        <v>53</v>
      </c>
      <c r="G4" s="136"/>
      <c r="H4" s="136"/>
      <c r="J4" s="136" t="s">
        <v>54</v>
      </c>
      <c r="K4" s="136"/>
      <c r="L4" s="136"/>
    </row>
    <row r="5" spans="2:19" ht="37.5" customHeight="1">
      <c r="B5" s="137">
        <f>COUNTIFS('قاعدة البيانات'!$F$6:$F$305,الإعدادات!$B$6,'قاعدة البيانات'!$C$6:$C$305,"&lt;&gt;",'قاعدة البيانات'!$M$6:$M$305,"&lt;&gt;غير نشط")</f>
        <v>0</v>
      </c>
      <c r="C5" s="137"/>
      <c r="D5" s="137"/>
      <c r="F5" s="138" t="str">
        <f>"👦 "&amp;COUNTIFS('قاعدة البيانات'!$F$6:$F$305,الإعدادات!$B$6,'قاعدة البيانات'!$D$6:$D$305,"ولد",'قاعدة البيانات'!$C$6:$C$305,"&lt;&gt;",'قاعدة البيانات'!$M$6:$M$305,"&lt;&gt;غير نشط")&amp;"    👧 "&amp;COUNTIFS('قاعدة البيانات'!$F$6:$F$305,الإعدادات!$B$6,'قاعدة البيانات'!$D$6:$D$305,"بنت",'قاعدة البيانات'!$C$6:$C$305,"&lt;&gt;",'قاعدة البيانات'!$M$6:$M$305,"&lt;&gt;غير نشط")</f>
        <v>👦 0    👧 0</v>
      </c>
      <c r="G5" s="138"/>
      <c r="H5" s="138"/>
      <c r="J5" s="139" t="str">
        <f>IFERROR(SUM('حضور رفائيل'!C7:C36)/(SUM('حضور رفائيل'!C7:C36)+SUM('حضور رفائيل'!D7:D36)),"—")</f>
        <v>—</v>
      </c>
      <c r="K5" s="139"/>
      <c r="L5" s="139"/>
    </row>
    <row r="6" spans="2:19" ht="21.75" customHeight="1">
      <c r="B6" s="121" t="str">
        <f>"📅 جمع مسجلة: "&amp;COUNT('حضور رفائيل'!J4:BJ4)&amp;"        ⚠️ محتاجين افتقاد: "&amp;(COUNTIFS('قاعدة البيانات'!$F$6:$F$305,الإعدادات!$B$6,'قاعدة البيانات'!$V$6:$V$305,3)+COUNTIFS('قاعدة البيانات'!$F$6:$F$305,الإعدادات!$B$6,'قاعدة البيانات'!$V$6:$V$305,4))&amp;"        🆓 أماكن فاضية: "&amp;(30-COUNTIFS('قاعدة البيانات'!$F$6:$F$305,الإعدادات!$B$6,'قاعدة البيانات'!$C$6:$C$305,"&lt;&gt;"))</f>
        <v>📅 جمع مسجلة: 0        ⚠️ محتاجين افتقاد: 0        🆓 أماكن فاضية: 30</v>
      </c>
      <c r="C6" s="121"/>
      <c r="D6" s="121"/>
      <c r="E6" s="121"/>
      <c r="F6" s="121"/>
      <c r="G6" s="121"/>
      <c r="H6" s="121"/>
      <c r="I6" s="121"/>
      <c r="J6" s="121"/>
      <c r="K6" s="121"/>
      <c r="L6" s="121"/>
    </row>
    <row r="7" spans="2:19" ht="7.5" customHeight="1"/>
    <row r="8" spans="2:19" ht="6" customHeight="1"/>
    <row r="9" spans="2:19" ht="30" customHeight="1">
      <c r="B9" s="122" t="str">
        <f>IF($Q$9=0,"",IF(INDEX('قاعدة البيانات'!$D$6:$D$305,$Q$9)="بنت","👧 ","👦 ")&amp;INDEX('قاعدة البيانات'!$C$6:$C$305,$Q$9))</f>
        <v/>
      </c>
      <c r="C9" s="122"/>
      <c r="D9" s="122"/>
      <c r="F9" s="122" t="str">
        <f>IF($Q$10=0,"",IF(INDEX('قاعدة البيانات'!$D$6:$D$305,$Q$10)="بنت","👧 ","👦 ")&amp;INDEX('قاعدة البيانات'!$C$6:$C$305,$Q$10))</f>
        <v/>
      </c>
      <c r="G9" s="122"/>
      <c r="H9" s="122"/>
      <c r="J9" s="122" t="str">
        <f>IF($Q$11=0,"",IF(INDEX('قاعدة البيانات'!$D$6:$D$305,$Q$11)="بنت","👧 ","👦 ")&amp;INDEX('قاعدة البيانات'!$C$6:$C$305,$Q$11))</f>
        <v/>
      </c>
      <c r="K9" s="122"/>
      <c r="L9" s="122"/>
      <c r="P9">
        <v>1</v>
      </c>
      <c r="Q9">
        <f>'حضور رفائيل'!BL7</f>
        <v>0</v>
      </c>
      <c r="R9" t="str">
        <f>IF(Q9=0,"",INDEX('قاعدة البيانات'!$D$6:$D$305,Q9))</f>
        <v/>
      </c>
      <c r="S9">
        <f>'حضور رفائيل'!BM7</f>
        <v>0</v>
      </c>
    </row>
    <row r="10" spans="2:19" ht="108" customHeight="1">
      <c r="B10" s="37" t="str">
        <f>IF($Q$9=0,"",IF(ISBLANK(INDEX('قاعدة البيانات'!$K$6:$K$305,$Q$9)),LEFT(INDEX('قاعدة البيانات'!$C$6:$C$305,$Q$9),1),INDEX('قاعدة البيانات'!$K$6:$K$305,$Q$9)))</f>
        <v/>
      </c>
      <c r="C10" s="123"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c>
      <c r="D10" s="123"/>
      <c r="F10" s="37" t="str">
        <f>IF($Q$10=0,"",IF(ISBLANK(INDEX('قاعدة البيانات'!$K$6:$K$305,$Q$10)),LEFT(INDEX('قاعدة البيانات'!$C$6:$C$305,$Q$10),1),INDEX('قاعدة البيانات'!$K$6:$K$305,$Q$10)))</f>
        <v/>
      </c>
      <c r="G10" s="123"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c>
      <c r="H10" s="123"/>
      <c r="J10" s="37" t="str">
        <f>IF($Q$11=0,"",IF(ISBLANK(INDEX('قاعدة البيانات'!$K$6:$K$305,$Q$11)),LEFT(INDEX('قاعدة البيانات'!$C$6:$C$305,$Q$11),1),INDEX('قاعدة البيانات'!$K$6:$K$305,$Q$11)))</f>
        <v/>
      </c>
      <c r="K10" s="123"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c>
      <c r="L10" s="123"/>
      <c r="P10">
        <v>2</v>
      </c>
      <c r="Q10">
        <f>'حضور رفائيل'!BL8</f>
        <v>0</v>
      </c>
      <c r="R10" t="str">
        <f>IF(Q10=0,"",INDEX('قاعدة البيانات'!$D$6:$D$305,Q10))</f>
        <v/>
      </c>
      <c r="S10">
        <f>'حضور رفائيل'!BM8</f>
        <v>0</v>
      </c>
    </row>
    <row r="11" spans="2:19" ht="24" customHeight="1">
      <c r="B11" s="38" t="str">
        <f>IF($Q$9=0,"","👩 ماما")</f>
        <v/>
      </c>
      <c r="C11" s="39" t="str">
        <f>IF($Q$9=0,"",IF(INDEX('قاعدة البيانات'!$H$6:$H$305,$Q$9)="","— مفيش رقم —",HYPERLINK("tel:"&amp;INDEX('قاعدة البيانات'!$H$6:$H$305,$Q$9),"📞 "&amp;INDEX('قاعدة البيانات'!$H$6:$H$305,$Q$9))))</f>
        <v/>
      </c>
      <c r="D11" s="40" t="str">
        <f>IF(OR($Q$9=0,INDEX('قاعدة البيانات'!$H$6:$H$305,$Q$9)=""),"",HYPERLINK("https://wa.me/20"&amp;RIGHT(INDEX('قاعدة البيانات'!$H$6:$H$305,$Q$9),10),"💬 واتساب"))</f>
        <v/>
      </c>
      <c r="F11" s="38" t="str">
        <f>IF($Q$10=0,"","👩 ماما")</f>
        <v/>
      </c>
      <c r="G11" s="39" t="str">
        <f>IF($Q$10=0,"",IF(INDEX('قاعدة البيانات'!$H$6:$H$305,$Q$10)="","— مفيش رقم —",HYPERLINK("tel:"&amp;INDEX('قاعدة البيانات'!$H$6:$H$305,$Q$10),"📞 "&amp;INDEX('قاعدة البيانات'!$H$6:$H$305,$Q$10))))</f>
        <v/>
      </c>
      <c r="H11" s="40" t="str">
        <f>IF(OR($Q$10=0,INDEX('قاعدة البيانات'!$H$6:$H$305,$Q$10)=""),"",HYPERLINK("https://wa.me/20"&amp;RIGHT(INDEX('قاعدة البيانات'!$H$6:$H$305,$Q$10),10),"💬 واتساب"))</f>
        <v/>
      </c>
      <c r="J11" s="38" t="str">
        <f>IF($Q$11=0,"","👩 ماما")</f>
        <v/>
      </c>
      <c r="K11" s="39" t="str">
        <f>IF($Q$11=0,"",IF(INDEX('قاعدة البيانات'!$H$6:$H$305,$Q$11)="","— مفيش رقم —",HYPERLINK("tel:"&amp;INDEX('قاعدة البيانات'!$H$6:$H$305,$Q$11),"📞 "&amp;INDEX('قاعدة البيانات'!$H$6:$H$305,$Q$11))))</f>
        <v/>
      </c>
      <c r="L11" s="40" t="str">
        <f>IF(OR($Q$11=0,INDEX('قاعدة البيانات'!$H$6:$H$305,$Q$11)=""),"",HYPERLINK("https://wa.me/20"&amp;RIGHT(INDEX('قاعدة البيانات'!$H$6:$H$305,$Q$11),10),"💬 واتساب"))</f>
        <v/>
      </c>
      <c r="P11">
        <v>3</v>
      </c>
      <c r="Q11">
        <f>'حضور رفائيل'!BL9</f>
        <v>0</v>
      </c>
      <c r="R11" t="str">
        <f>IF(Q11=0,"",INDEX('قاعدة البيانات'!$D$6:$D$305,Q11))</f>
        <v/>
      </c>
      <c r="S11">
        <f>'حضور رفائيل'!BM9</f>
        <v>0</v>
      </c>
    </row>
    <row r="12" spans="2:19" ht="24" customHeight="1">
      <c r="B12" s="38" t="str">
        <f>IF($Q$9=0,"","👨 بابا")</f>
        <v/>
      </c>
      <c r="C12" s="39" t="str">
        <f>IF($Q$9=0,"",IF(INDEX('قاعدة البيانات'!$I$6:$I$305,$Q$9)="","— مفيش رقم —",HYPERLINK("tel:"&amp;INDEX('قاعدة البيانات'!$I$6:$I$305,$Q$9),"📞 "&amp;INDEX('قاعدة البيانات'!$I$6:$I$305,$Q$9))))</f>
        <v/>
      </c>
      <c r="D12" s="40" t="str">
        <f>IF(OR($Q$9=0,INDEX('قاعدة البيانات'!$I$6:$I$305,$Q$9)=""),"",HYPERLINK("https://wa.me/20"&amp;RIGHT(INDEX('قاعدة البيانات'!$I$6:$I$305,$Q$9),10),"💬 واتساب"))</f>
        <v/>
      </c>
      <c r="F12" s="38" t="str">
        <f>IF($Q$10=0,"","👨 بابا")</f>
        <v/>
      </c>
      <c r="G12" s="39" t="str">
        <f>IF($Q$10=0,"",IF(INDEX('قاعدة البيانات'!$I$6:$I$305,$Q$10)="","— مفيش رقم —",HYPERLINK("tel:"&amp;INDEX('قاعدة البيانات'!$I$6:$I$305,$Q$10),"📞 "&amp;INDEX('قاعدة البيانات'!$I$6:$I$305,$Q$10))))</f>
        <v/>
      </c>
      <c r="H12" s="40" t="str">
        <f>IF(OR($Q$10=0,INDEX('قاعدة البيانات'!$I$6:$I$305,$Q$10)=""),"",HYPERLINK("https://wa.me/20"&amp;RIGHT(INDEX('قاعدة البيانات'!$I$6:$I$305,$Q$10),10),"💬 واتساب"))</f>
        <v/>
      </c>
      <c r="J12" s="38" t="str">
        <f>IF($Q$11=0,"","👨 بابا")</f>
        <v/>
      </c>
      <c r="K12" s="39" t="str">
        <f>IF($Q$11=0,"",IF(INDEX('قاعدة البيانات'!$I$6:$I$305,$Q$11)="","— مفيش رقم —",HYPERLINK("tel:"&amp;INDEX('قاعدة البيانات'!$I$6:$I$305,$Q$11),"📞 "&amp;INDEX('قاعدة البيانات'!$I$6:$I$305,$Q$11))))</f>
        <v/>
      </c>
      <c r="L12" s="40" t="str">
        <f>IF(OR($Q$11=0,INDEX('قاعدة البيانات'!$I$6:$I$305,$Q$11)=""),"",HYPERLINK("https://wa.me/20"&amp;RIGHT(INDEX('قاعدة البيانات'!$I$6:$I$305,$Q$11),10),"💬 واتساب"))</f>
        <v/>
      </c>
      <c r="P12">
        <v>4</v>
      </c>
      <c r="Q12">
        <f>'حضور رفائيل'!BL10</f>
        <v>0</v>
      </c>
      <c r="R12" t="str">
        <f>IF(Q12=0,"",INDEX('قاعدة البيانات'!$D$6:$D$305,Q12))</f>
        <v/>
      </c>
      <c r="S12">
        <f>'حضور رفائيل'!BM10</f>
        <v>0</v>
      </c>
    </row>
    <row r="13" spans="2:19" ht="37.5" customHeight="1">
      <c r="B13" s="124" t="str">
        <f>IF($Q$9=0,"","📍 "&amp;IF(INDEX('قاعدة البيانات'!$J$6:$J$305,$Q$9)="","— مفيش عنوان —",INDEX('قاعدة البيانات'!$J$6:$J$305,$Q$9)))</f>
        <v/>
      </c>
      <c r="C13" s="124"/>
      <c r="D13" s="124"/>
      <c r="F13" s="124" t="str">
        <f>IF($Q$10=0,"","📍 "&amp;IF(INDEX('قاعدة البيانات'!$J$6:$J$305,$Q$10)="","— مفيش عنوان —",INDEX('قاعدة البيانات'!$J$6:$J$305,$Q$10)))</f>
        <v/>
      </c>
      <c r="G13" s="124"/>
      <c r="H13" s="124"/>
      <c r="J13" s="124" t="str">
        <f>IF($Q$11=0,"","📍 "&amp;IF(INDEX('قاعدة البيانات'!$J$6:$J$305,$Q$11)="","— مفيش عنوان —",INDEX('قاعدة البيانات'!$J$6:$J$305,$Q$11)))</f>
        <v/>
      </c>
      <c r="K13" s="124"/>
      <c r="L13" s="124"/>
      <c r="P13">
        <v>5</v>
      </c>
      <c r="Q13">
        <f>'حضور رفائيل'!BL11</f>
        <v>0</v>
      </c>
      <c r="R13" t="str">
        <f>IF(Q13=0,"",INDEX('قاعدة البيانات'!$D$6:$D$305,Q13))</f>
        <v/>
      </c>
      <c r="S13">
        <f>'حضور رفائيل'!BM11</f>
        <v>0</v>
      </c>
    </row>
    <row r="14" spans="2:19" ht="21.75" customHeight="1">
      <c r="B14" s="125" t="str">
        <f>IF($Q$9=0,"","📊 إحصائيات الحضور")</f>
        <v/>
      </c>
      <c r="C14" s="125"/>
      <c r="D14" s="125"/>
      <c r="F14" s="125" t="str">
        <f>IF($Q$10=0,"","📊 إحصائيات الحضور")</f>
        <v/>
      </c>
      <c r="G14" s="125"/>
      <c r="H14" s="125"/>
      <c r="J14" s="125" t="str">
        <f>IF($Q$11=0,"","📊 إحصائيات الحضور")</f>
        <v/>
      </c>
      <c r="K14" s="125"/>
      <c r="L14" s="125"/>
      <c r="P14">
        <v>6</v>
      </c>
      <c r="Q14">
        <f>'حضور رفائيل'!BL12</f>
        <v>0</v>
      </c>
      <c r="R14" t="str">
        <f>IF(Q14=0,"",INDEX('قاعدة البيانات'!$D$6:$D$305,Q14))</f>
        <v/>
      </c>
      <c r="S14">
        <f>'حضور رفائيل'!BM12</f>
        <v>0</v>
      </c>
    </row>
    <row r="15" spans="2:19" ht="15.75" customHeight="1">
      <c r="B15" s="41" t="str">
        <f>IF($Q$9=0,"","✅ حضور")</f>
        <v/>
      </c>
      <c r="C15" s="41" t="str">
        <f>IF($Q$9=0,"","❌ غياب")</f>
        <v/>
      </c>
      <c r="D15" s="41" t="str">
        <f>IF($Q$9=0,"","📈 النسبة")</f>
        <v/>
      </c>
      <c r="F15" s="41" t="str">
        <f>IF($Q$10=0,"","✅ حضور")</f>
        <v/>
      </c>
      <c r="G15" s="41" t="str">
        <f>IF($Q$10=0,"","❌ غياب")</f>
        <v/>
      </c>
      <c r="H15" s="41" t="str">
        <f>IF($Q$10=0,"","📈 النسبة")</f>
        <v/>
      </c>
      <c r="J15" s="41" t="str">
        <f>IF($Q$11=0,"","✅ حضور")</f>
        <v/>
      </c>
      <c r="K15" s="41" t="str">
        <f>IF($Q$11=0,"","❌ غياب")</f>
        <v/>
      </c>
      <c r="L15" s="41" t="str">
        <f>IF($Q$11=0,"","📈 النسبة")</f>
        <v/>
      </c>
      <c r="P15">
        <v>7</v>
      </c>
      <c r="Q15">
        <f>'حضور رفائيل'!BL13</f>
        <v>0</v>
      </c>
      <c r="R15" t="str">
        <f>IF(Q15=0,"",INDEX('قاعدة البيانات'!$D$6:$D$305,Q15))</f>
        <v/>
      </c>
      <c r="S15">
        <f>'حضور رفائيل'!BM13</f>
        <v>0</v>
      </c>
    </row>
    <row r="16" spans="2:19" ht="33.75" customHeight="1">
      <c r="B16" s="42" t="str">
        <f>'حضور رفائيل'!C7</f>
        <v/>
      </c>
      <c r="C16" s="43" t="str">
        <f>'حضور رفائيل'!D7</f>
        <v/>
      </c>
      <c r="D16" s="44" t="str">
        <f>'حضور رفائيل'!F7</f>
        <v/>
      </c>
      <c r="F16" s="42" t="str">
        <f>'حضور رفائيل'!C8</f>
        <v/>
      </c>
      <c r="G16" s="43" t="str">
        <f>'حضور رفائيل'!D8</f>
        <v/>
      </c>
      <c r="H16" s="44" t="str">
        <f>'حضور رفائيل'!F8</f>
        <v/>
      </c>
      <c r="J16" s="42" t="str">
        <f>'حضور رفائيل'!C9</f>
        <v/>
      </c>
      <c r="K16" s="43" t="str">
        <f>'حضور رفائيل'!D9</f>
        <v/>
      </c>
      <c r="L16" s="44" t="str">
        <f>'حضور رفائيل'!F9</f>
        <v/>
      </c>
      <c r="P16">
        <v>8</v>
      </c>
      <c r="Q16">
        <f>'حضور رفائيل'!BL14</f>
        <v>0</v>
      </c>
      <c r="R16" t="str">
        <f>IF(Q16=0,"",INDEX('قاعدة البيانات'!$D$6:$D$305,Q16))</f>
        <v/>
      </c>
      <c r="S16">
        <f>'حضور رفائيل'!BM14</f>
        <v>0</v>
      </c>
    </row>
    <row r="17" spans="2:19" ht="24" customHeight="1">
      <c r="B17" s="126" t="str">
        <f>'حضور رفائيل'!I7</f>
        <v/>
      </c>
      <c r="C17" s="126"/>
      <c r="D17" s="126"/>
      <c r="F17" s="126" t="str">
        <f>'حضور رفائيل'!I8</f>
        <v/>
      </c>
      <c r="G17" s="126"/>
      <c r="H17" s="126"/>
      <c r="J17" s="126" t="str">
        <f>'حضور رفائيل'!I9</f>
        <v/>
      </c>
      <c r="K17" s="126"/>
      <c r="L17" s="126"/>
      <c r="P17">
        <v>9</v>
      </c>
      <c r="Q17">
        <f>'حضور رفائيل'!BL15</f>
        <v>0</v>
      </c>
      <c r="R17" t="str">
        <f>IF(Q17=0,"",INDEX('قاعدة البيانات'!$D$6:$D$305,Q17))</f>
        <v/>
      </c>
      <c r="S17">
        <f>'حضور رفائيل'!BM15</f>
        <v>0</v>
      </c>
    </row>
    <row r="18" spans="2:19" ht="19.5" customHeight="1">
      <c r="B18" s="127" t="str">
        <f>IF($Q$9=0,"","🗓️ آخر حضور: "&amp;IF(ISNUMBER('حضور رفائيل'!H7),DAY('حضور رفائيل'!H7)&amp;"/"&amp;MONTH('حضور رفائيل'!H7)&amp;"/"&amp;YEAR('حضور رفائيل'!H7),"—")&amp;"   •   غياب متتالي: "&amp;'حضور رفائيل'!G7)</f>
        <v/>
      </c>
      <c r="C18" s="127"/>
      <c r="D18" s="127"/>
      <c r="F18" s="127" t="str">
        <f>IF($Q$10=0,"","🗓️ آخر حضور: "&amp;IF(ISNUMBER('حضور رفائيل'!H8),DAY('حضور رفائيل'!H8)&amp;"/"&amp;MONTH('حضور رفائيل'!H8)&amp;"/"&amp;YEAR('حضور رفائيل'!H8),"—")&amp;"   •   غياب متتالي: "&amp;'حضور رفائيل'!G8)</f>
        <v/>
      </c>
      <c r="G18" s="127"/>
      <c r="H18" s="127"/>
      <c r="J18" s="127" t="str">
        <f>IF($Q$11=0,"","🗓️ آخر حضور: "&amp;IF(ISNUMBER('حضور رفائيل'!H9),DAY('حضور رفائيل'!H9)&amp;"/"&amp;MONTH('حضور رفائيل'!H9)&amp;"/"&amp;YEAR('حضور رفائيل'!H9),"—")&amp;"   •   غياب متتالي: "&amp;'حضور رفائيل'!G9)</f>
        <v/>
      </c>
      <c r="K18" s="127"/>
      <c r="L18" s="127"/>
      <c r="P18">
        <v>10</v>
      </c>
      <c r="Q18">
        <f>'حضور رفائيل'!BL16</f>
        <v>0</v>
      </c>
      <c r="R18" t="str">
        <f>IF(Q18=0,"",INDEX('قاعدة البيانات'!$D$6:$D$305,Q18))</f>
        <v/>
      </c>
      <c r="S18">
        <f>'حضور رفائيل'!BM16</f>
        <v>0</v>
      </c>
    </row>
    <row r="19" spans="2:19" ht="13.5" customHeight="1">
      <c r="P19">
        <v>11</v>
      </c>
      <c r="Q19">
        <f>'حضور رفائيل'!BL17</f>
        <v>0</v>
      </c>
      <c r="R19" t="str">
        <f>IF(Q19=0,"",INDEX('قاعدة البيانات'!$D$6:$D$305,Q19))</f>
        <v/>
      </c>
      <c r="S19">
        <f>'حضور رفائيل'!BM17</f>
        <v>0</v>
      </c>
    </row>
    <row r="20" spans="2:19" ht="30" customHeight="1">
      <c r="B20" s="122" t="str">
        <f>IF($Q$12=0,"",IF(INDEX('قاعدة البيانات'!$D$6:$D$305,$Q$12)="بنت","👧 ","👦 ")&amp;INDEX('قاعدة البيانات'!$C$6:$C$305,$Q$12))</f>
        <v/>
      </c>
      <c r="C20" s="122"/>
      <c r="D20" s="122"/>
      <c r="F20" s="122" t="str">
        <f>IF($Q$13=0,"",IF(INDEX('قاعدة البيانات'!$D$6:$D$305,$Q$13)="بنت","👧 ","👦 ")&amp;INDEX('قاعدة البيانات'!$C$6:$C$305,$Q$13))</f>
        <v/>
      </c>
      <c r="G20" s="122"/>
      <c r="H20" s="122"/>
      <c r="J20" s="122" t="str">
        <f>IF($Q$14=0,"",IF(INDEX('قاعدة البيانات'!$D$6:$D$305,$Q$14)="بنت","👧 ","👦 ")&amp;INDEX('قاعدة البيانات'!$C$6:$C$305,$Q$14))</f>
        <v/>
      </c>
      <c r="K20" s="122"/>
      <c r="L20" s="122"/>
      <c r="P20">
        <v>12</v>
      </c>
      <c r="Q20">
        <f>'حضور رفائيل'!BL18</f>
        <v>0</v>
      </c>
      <c r="R20" t="str">
        <f>IF(Q20=0,"",INDEX('قاعدة البيانات'!$D$6:$D$305,Q20))</f>
        <v/>
      </c>
      <c r="S20">
        <f>'حضور رفائيل'!BM18</f>
        <v>0</v>
      </c>
    </row>
    <row r="21" spans="2:19" ht="108" customHeight="1">
      <c r="B21" s="37" t="str">
        <f>IF($Q$12=0,"",IF(ISBLANK(INDEX('قاعدة البيانات'!$K$6:$K$305,$Q$12)),LEFT(INDEX('قاعدة البيانات'!$C$6:$C$305,$Q$12),1),INDEX('قاعدة البيانات'!$K$6:$K$305,$Q$12)))</f>
        <v/>
      </c>
      <c r="C21" s="123"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c>
      <c r="D21" s="123"/>
      <c r="F21" s="37" t="str">
        <f>IF($Q$13=0,"",IF(ISBLANK(INDEX('قاعدة البيانات'!$K$6:$K$305,$Q$13)),LEFT(INDEX('قاعدة البيانات'!$C$6:$C$305,$Q$13),1),INDEX('قاعدة البيانات'!$K$6:$K$305,$Q$13)))</f>
        <v/>
      </c>
      <c r="G21" s="123"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c>
      <c r="H21" s="123"/>
      <c r="J21" s="37" t="str">
        <f>IF($Q$14=0,"",IF(ISBLANK(INDEX('قاعدة البيانات'!$K$6:$K$305,$Q$14)),LEFT(INDEX('قاعدة البيانات'!$C$6:$C$305,$Q$14),1),INDEX('قاعدة البيانات'!$K$6:$K$305,$Q$14)))</f>
        <v/>
      </c>
      <c r="K21" s="123"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c>
      <c r="L21" s="123"/>
      <c r="P21">
        <v>13</v>
      </c>
      <c r="Q21">
        <f>'حضور رفائيل'!BL19</f>
        <v>0</v>
      </c>
      <c r="R21" t="str">
        <f>IF(Q21=0,"",INDEX('قاعدة البيانات'!$D$6:$D$305,Q21))</f>
        <v/>
      </c>
      <c r="S21">
        <f>'حضور رفائيل'!BM19</f>
        <v>0</v>
      </c>
    </row>
    <row r="22" spans="2:19" ht="24" customHeight="1">
      <c r="B22" s="38" t="str">
        <f>IF($Q$12=0,"","👩 ماما")</f>
        <v/>
      </c>
      <c r="C22" s="39" t="str">
        <f>IF($Q$12=0,"",IF(INDEX('قاعدة البيانات'!$H$6:$H$305,$Q$12)="","— مفيش رقم —",HYPERLINK("tel:"&amp;INDEX('قاعدة البيانات'!$H$6:$H$305,$Q$12),"📞 "&amp;INDEX('قاعدة البيانات'!$H$6:$H$305,$Q$12))))</f>
        <v/>
      </c>
      <c r="D22" s="40" t="str">
        <f>IF(OR($Q$12=0,INDEX('قاعدة البيانات'!$H$6:$H$305,$Q$12)=""),"",HYPERLINK("https://wa.me/20"&amp;RIGHT(INDEX('قاعدة البيانات'!$H$6:$H$305,$Q$12),10),"💬 واتساب"))</f>
        <v/>
      </c>
      <c r="F22" s="38" t="str">
        <f>IF($Q$13=0,"","👩 ماما")</f>
        <v/>
      </c>
      <c r="G22" s="39" t="str">
        <f>IF($Q$13=0,"",IF(INDEX('قاعدة البيانات'!$H$6:$H$305,$Q$13)="","— مفيش رقم —",HYPERLINK("tel:"&amp;INDEX('قاعدة البيانات'!$H$6:$H$305,$Q$13),"📞 "&amp;INDEX('قاعدة البيانات'!$H$6:$H$305,$Q$13))))</f>
        <v/>
      </c>
      <c r="H22" s="40" t="str">
        <f>IF(OR($Q$13=0,INDEX('قاعدة البيانات'!$H$6:$H$305,$Q$13)=""),"",HYPERLINK("https://wa.me/20"&amp;RIGHT(INDEX('قاعدة البيانات'!$H$6:$H$305,$Q$13),10),"💬 واتساب"))</f>
        <v/>
      </c>
      <c r="J22" s="38" t="str">
        <f>IF($Q$14=0,"","👩 ماما")</f>
        <v/>
      </c>
      <c r="K22" s="39" t="str">
        <f>IF($Q$14=0,"",IF(INDEX('قاعدة البيانات'!$H$6:$H$305,$Q$14)="","— مفيش رقم —",HYPERLINK("tel:"&amp;INDEX('قاعدة البيانات'!$H$6:$H$305,$Q$14),"📞 "&amp;INDEX('قاعدة البيانات'!$H$6:$H$305,$Q$14))))</f>
        <v/>
      </c>
      <c r="L22" s="40" t="str">
        <f>IF(OR($Q$14=0,INDEX('قاعدة البيانات'!$H$6:$H$305,$Q$14)=""),"",HYPERLINK("https://wa.me/20"&amp;RIGHT(INDEX('قاعدة البيانات'!$H$6:$H$305,$Q$14),10),"💬 واتساب"))</f>
        <v/>
      </c>
      <c r="P22">
        <v>14</v>
      </c>
      <c r="Q22">
        <f>'حضور رفائيل'!BL20</f>
        <v>0</v>
      </c>
      <c r="R22" t="str">
        <f>IF(Q22=0,"",INDEX('قاعدة البيانات'!$D$6:$D$305,Q22))</f>
        <v/>
      </c>
      <c r="S22">
        <f>'حضور رفائيل'!BM20</f>
        <v>0</v>
      </c>
    </row>
    <row r="23" spans="2:19" ht="24" customHeight="1">
      <c r="B23" s="38" t="str">
        <f>IF($Q$12=0,"","👨 بابا")</f>
        <v/>
      </c>
      <c r="C23" s="39" t="str">
        <f>IF($Q$12=0,"",IF(INDEX('قاعدة البيانات'!$I$6:$I$305,$Q$12)="","— مفيش رقم —",HYPERLINK("tel:"&amp;INDEX('قاعدة البيانات'!$I$6:$I$305,$Q$12),"📞 "&amp;INDEX('قاعدة البيانات'!$I$6:$I$305,$Q$12))))</f>
        <v/>
      </c>
      <c r="D23" s="40" t="str">
        <f>IF(OR($Q$12=0,INDEX('قاعدة البيانات'!$I$6:$I$305,$Q$12)=""),"",HYPERLINK("https://wa.me/20"&amp;RIGHT(INDEX('قاعدة البيانات'!$I$6:$I$305,$Q$12),10),"💬 واتساب"))</f>
        <v/>
      </c>
      <c r="F23" s="38" t="str">
        <f>IF($Q$13=0,"","👨 بابا")</f>
        <v/>
      </c>
      <c r="G23" s="39" t="str">
        <f>IF($Q$13=0,"",IF(INDEX('قاعدة البيانات'!$I$6:$I$305,$Q$13)="","— مفيش رقم —",HYPERLINK("tel:"&amp;INDEX('قاعدة البيانات'!$I$6:$I$305,$Q$13),"📞 "&amp;INDEX('قاعدة البيانات'!$I$6:$I$305,$Q$13))))</f>
        <v/>
      </c>
      <c r="H23" s="40" t="str">
        <f>IF(OR($Q$13=0,INDEX('قاعدة البيانات'!$I$6:$I$305,$Q$13)=""),"",HYPERLINK("https://wa.me/20"&amp;RIGHT(INDEX('قاعدة البيانات'!$I$6:$I$305,$Q$13),10),"💬 واتساب"))</f>
        <v/>
      </c>
      <c r="J23" s="38" t="str">
        <f>IF($Q$14=0,"","👨 بابا")</f>
        <v/>
      </c>
      <c r="K23" s="39" t="str">
        <f>IF($Q$14=0,"",IF(INDEX('قاعدة البيانات'!$I$6:$I$305,$Q$14)="","— مفيش رقم —",HYPERLINK("tel:"&amp;INDEX('قاعدة البيانات'!$I$6:$I$305,$Q$14),"📞 "&amp;INDEX('قاعدة البيانات'!$I$6:$I$305,$Q$14))))</f>
        <v/>
      </c>
      <c r="L23" s="40" t="str">
        <f>IF(OR($Q$14=0,INDEX('قاعدة البيانات'!$I$6:$I$305,$Q$14)=""),"",HYPERLINK("https://wa.me/20"&amp;RIGHT(INDEX('قاعدة البيانات'!$I$6:$I$305,$Q$14),10),"💬 واتساب"))</f>
        <v/>
      </c>
      <c r="P23">
        <v>15</v>
      </c>
      <c r="Q23">
        <f>'حضور رفائيل'!BL21</f>
        <v>0</v>
      </c>
      <c r="R23" t="str">
        <f>IF(Q23=0,"",INDEX('قاعدة البيانات'!$D$6:$D$305,Q23))</f>
        <v/>
      </c>
      <c r="S23">
        <f>'حضور رفائيل'!BM21</f>
        <v>0</v>
      </c>
    </row>
    <row r="24" spans="2:19" ht="37.5" customHeight="1">
      <c r="B24" s="124" t="str">
        <f>IF($Q$12=0,"","📍 "&amp;IF(INDEX('قاعدة البيانات'!$J$6:$J$305,$Q$12)="","— مفيش عنوان —",INDEX('قاعدة البيانات'!$J$6:$J$305,$Q$12)))</f>
        <v/>
      </c>
      <c r="C24" s="124"/>
      <c r="D24" s="124"/>
      <c r="F24" s="124" t="str">
        <f>IF($Q$13=0,"","📍 "&amp;IF(INDEX('قاعدة البيانات'!$J$6:$J$305,$Q$13)="","— مفيش عنوان —",INDEX('قاعدة البيانات'!$J$6:$J$305,$Q$13)))</f>
        <v/>
      </c>
      <c r="G24" s="124"/>
      <c r="H24" s="124"/>
      <c r="J24" s="124" t="str">
        <f>IF($Q$14=0,"","📍 "&amp;IF(INDEX('قاعدة البيانات'!$J$6:$J$305,$Q$14)="","— مفيش عنوان —",INDEX('قاعدة البيانات'!$J$6:$J$305,$Q$14)))</f>
        <v/>
      </c>
      <c r="K24" s="124"/>
      <c r="L24" s="124"/>
      <c r="P24">
        <v>16</v>
      </c>
      <c r="Q24">
        <f>'حضور رفائيل'!BL22</f>
        <v>0</v>
      </c>
      <c r="R24" t="str">
        <f>IF(Q24=0,"",INDEX('قاعدة البيانات'!$D$6:$D$305,Q24))</f>
        <v/>
      </c>
      <c r="S24">
        <f>'حضور رفائيل'!BM22</f>
        <v>0</v>
      </c>
    </row>
    <row r="25" spans="2:19" ht="21.75" customHeight="1">
      <c r="B25" s="125" t="str">
        <f>IF($Q$12=0,"","📊 إحصائيات الحضور")</f>
        <v/>
      </c>
      <c r="C25" s="125"/>
      <c r="D25" s="125"/>
      <c r="F25" s="125" t="str">
        <f>IF($Q$13=0,"","📊 إحصائيات الحضور")</f>
        <v/>
      </c>
      <c r="G25" s="125"/>
      <c r="H25" s="125"/>
      <c r="J25" s="125" t="str">
        <f>IF($Q$14=0,"","📊 إحصائيات الحضور")</f>
        <v/>
      </c>
      <c r="K25" s="125"/>
      <c r="L25" s="125"/>
      <c r="P25">
        <v>17</v>
      </c>
      <c r="Q25">
        <f>'حضور رفائيل'!BL23</f>
        <v>0</v>
      </c>
      <c r="R25" t="str">
        <f>IF(Q25=0,"",INDEX('قاعدة البيانات'!$D$6:$D$305,Q25))</f>
        <v/>
      </c>
      <c r="S25">
        <f>'حضور رفائيل'!BM23</f>
        <v>0</v>
      </c>
    </row>
    <row r="26" spans="2:19" ht="15.75" customHeight="1">
      <c r="B26" s="41" t="str">
        <f>IF($Q$12=0,"","✅ حضور")</f>
        <v/>
      </c>
      <c r="C26" s="41" t="str">
        <f>IF($Q$12=0,"","❌ غياب")</f>
        <v/>
      </c>
      <c r="D26" s="41" t="str">
        <f>IF($Q$12=0,"","📈 النسبة")</f>
        <v/>
      </c>
      <c r="F26" s="41" t="str">
        <f>IF($Q$13=0,"","✅ حضور")</f>
        <v/>
      </c>
      <c r="G26" s="41" t="str">
        <f>IF($Q$13=0,"","❌ غياب")</f>
        <v/>
      </c>
      <c r="H26" s="41" t="str">
        <f>IF($Q$13=0,"","📈 النسبة")</f>
        <v/>
      </c>
      <c r="J26" s="41" t="str">
        <f>IF($Q$14=0,"","✅ حضور")</f>
        <v/>
      </c>
      <c r="K26" s="41" t="str">
        <f>IF($Q$14=0,"","❌ غياب")</f>
        <v/>
      </c>
      <c r="L26" s="41" t="str">
        <f>IF($Q$14=0,"","📈 النسبة")</f>
        <v/>
      </c>
      <c r="P26">
        <v>18</v>
      </c>
      <c r="Q26">
        <f>'حضور رفائيل'!BL24</f>
        <v>0</v>
      </c>
      <c r="R26" t="str">
        <f>IF(Q26=0,"",INDEX('قاعدة البيانات'!$D$6:$D$305,Q26))</f>
        <v/>
      </c>
      <c r="S26">
        <f>'حضور رفائيل'!BM24</f>
        <v>0</v>
      </c>
    </row>
    <row r="27" spans="2:19" ht="33.75" customHeight="1">
      <c r="B27" s="42" t="str">
        <f>'حضور رفائيل'!C10</f>
        <v/>
      </c>
      <c r="C27" s="43" t="str">
        <f>'حضور رفائيل'!D10</f>
        <v/>
      </c>
      <c r="D27" s="44" t="str">
        <f>'حضور رفائيل'!F10</f>
        <v/>
      </c>
      <c r="F27" s="42" t="str">
        <f>'حضور رفائيل'!C11</f>
        <v/>
      </c>
      <c r="G27" s="43" t="str">
        <f>'حضور رفائيل'!D11</f>
        <v/>
      </c>
      <c r="H27" s="44" t="str">
        <f>'حضور رفائيل'!F11</f>
        <v/>
      </c>
      <c r="J27" s="42" t="str">
        <f>'حضور رفائيل'!C12</f>
        <v/>
      </c>
      <c r="K27" s="43" t="str">
        <f>'حضور رفائيل'!D12</f>
        <v/>
      </c>
      <c r="L27" s="44" t="str">
        <f>'حضور رفائيل'!F12</f>
        <v/>
      </c>
      <c r="P27">
        <v>19</v>
      </c>
      <c r="Q27">
        <f>'حضور رفائيل'!BL25</f>
        <v>0</v>
      </c>
      <c r="R27" t="str">
        <f>IF(Q27=0,"",INDEX('قاعدة البيانات'!$D$6:$D$305,Q27))</f>
        <v/>
      </c>
      <c r="S27">
        <f>'حضور رفائيل'!BM25</f>
        <v>0</v>
      </c>
    </row>
    <row r="28" spans="2:19" ht="24" customHeight="1">
      <c r="B28" s="126" t="str">
        <f>'حضور رفائيل'!I10</f>
        <v/>
      </c>
      <c r="C28" s="126"/>
      <c r="D28" s="126"/>
      <c r="F28" s="126" t="str">
        <f>'حضور رفائيل'!I11</f>
        <v/>
      </c>
      <c r="G28" s="126"/>
      <c r="H28" s="126"/>
      <c r="J28" s="126" t="str">
        <f>'حضور رفائيل'!I12</f>
        <v/>
      </c>
      <c r="K28" s="126"/>
      <c r="L28" s="126"/>
      <c r="P28">
        <v>20</v>
      </c>
      <c r="Q28">
        <f>'حضور رفائيل'!BL26</f>
        <v>0</v>
      </c>
      <c r="R28" t="str">
        <f>IF(Q28=0,"",INDEX('قاعدة البيانات'!$D$6:$D$305,Q28))</f>
        <v/>
      </c>
      <c r="S28">
        <f>'حضور رفائيل'!BM26</f>
        <v>0</v>
      </c>
    </row>
    <row r="29" spans="2:19" ht="19.5" customHeight="1">
      <c r="B29" s="127" t="str">
        <f>IF($Q$12=0,"","🗓️ آخر حضور: "&amp;IF(ISNUMBER('حضور رفائيل'!H10),DAY('حضور رفائيل'!H10)&amp;"/"&amp;MONTH('حضور رفائيل'!H10)&amp;"/"&amp;YEAR('حضور رفائيل'!H10),"—")&amp;"   •   غياب متتالي: "&amp;'حضور رفائيل'!G10)</f>
        <v/>
      </c>
      <c r="C29" s="127"/>
      <c r="D29" s="127"/>
      <c r="F29" s="127" t="str">
        <f>IF($Q$13=0,"","🗓️ آخر حضور: "&amp;IF(ISNUMBER('حضور رفائيل'!H11),DAY('حضور رفائيل'!H11)&amp;"/"&amp;MONTH('حضور رفائيل'!H11)&amp;"/"&amp;YEAR('حضور رفائيل'!H11),"—")&amp;"   •   غياب متتالي: "&amp;'حضور رفائيل'!G11)</f>
        <v/>
      </c>
      <c r="G29" s="127"/>
      <c r="H29" s="127"/>
      <c r="J29" s="127" t="str">
        <f>IF($Q$14=0,"","🗓️ آخر حضور: "&amp;IF(ISNUMBER('حضور رفائيل'!H12),DAY('حضور رفائيل'!H12)&amp;"/"&amp;MONTH('حضور رفائيل'!H12)&amp;"/"&amp;YEAR('حضور رفائيل'!H12),"—")&amp;"   •   غياب متتالي: "&amp;'حضور رفائيل'!G12)</f>
        <v/>
      </c>
      <c r="K29" s="127"/>
      <c r="L29" s="127"/>
      <c r="P29">
        <v>21</v>
      </c>
      <c r="Q29">
        <f>'حضور رفائيل'!BL27</f>
        <v>0</v>
      </c>
      <c r="R29" t="str">
        <f>IF(Q29=0,"",INDEX('قاعدة البيانات'!$D$6:$D$305,Q29))</f>
        <v/>
      </c>
      <c r="S29">
        <f>'حضور رفائيل'!BM27</f>
        <v>0</v>
      </c>
    </row>
    <row r="30" spans="2:19" ht="13.5" customHeight="1">
      <c r="P30">
        <v>22</v>
      </c>
      <c r="Q30">
        <f>'حضور رفائيل'!BL28</f>
        <v>0</v>
      </c>
      <c r="R30" t="str">
        <f>IF(Q30=0,"",INDEX('قاعدة البيانات'!$D$6:$D$305,Q30))</f>
        <v/>
      </c>
      <c r="S30">
        <f>'حضور رفائيل'!BM28</f>
        <v>0</v>
      </c>
    </row>
    <row r="31" spans="2:19" ht="30" customHeight="1">
      <c r="B31" s="122" t="str">
        <f>IF($Q$15=0,"",IF(INDEX('قاعدة البيانات'!$D$6:$D$305,$Q$15)="بنت","👧 ","👦 ")&amp;INDEX('قاعدة البيانات'!$C$6:$C$305,$Q$15))</f>
        <v/>
      </c>
      <c r="C31" s="122"/>
      <c r="D31" s="122"/>
      <c r="F31" s="122" t="str">
        <f>IF($Q$16=0,"",IF(INDEX('قاعدة البيانات'!$D$6:$D$305,$Q$16)="بنت","👧 ","👦 ")&amp;INDEX('قاعدة البيانات'!$C$6:$C$305,$Q$16))</f>
        <v/>
      </c>
      <c r="G31" s="122"/>
      <c r="H31" s="122"/>
      <c r="J31" s="122" t="str">
        <f>IF($Q$17=0,"",IF(INDEX('قاعدة البيانات'!$D$6:$D$305,$Q$17)="بنت","👧 ","👦 ")&amp;INDEX('قاعدة البيانات'!$C$6:$C$305,$Q$17))</f>
        <v/>
      </c>
      <c r="K31" s="122"/>
      <c r="L31" s="122"/>
      <c r="P31">
        <v>23</v>
      </c>
      <c r="Q31">
        <f>'حضور رفائيل'!BL29</f>
        <v>0</v>
      </c>
      <c r="R31" t="str">
        <f>IF(Q31=0,"",INDEX('قاعدة البيانات'!$D$6:$D$305,Q31))</f>
        <v/>
      </c>
      <c r="S31">
        <f>'حضور رفائيل'!BM29</f>
        <v>0</v>
      </c>
    </row>
    <row r="32" spans="2:19" ht="108" customHeight="1">
      <c r="B32" s="37" t="str">
        <f>IF($Q$15=0,"",IF(ISBLANK(INDEX('قاعدة البيانات'!$K$6:$K$305,$Q$15)),LEFT(INDEX('قاعدة البيانات'!$C$6:$C$305,$Q$15),1),INDEX('قاعدة البيانات'!$K$6:$K$305,$Q$15)))</f>
        <v/>
      </c>
      <c r="C32" s="123"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c>
      <c r="D32" s="123"/>
      <c r="F32" s="37" t="str">
        <f>IF($Q$16=0,"",IF(ISBLANK(INDEX('قاعدة البيانات'!$K$6:$K$305,$Q$16)),LEFT(INDEX('قاعدة البيانات'!$C$6:$C$305,$Q$16),1),INDEX('قاعدة البيانات'!$K$6:$K$305,$Q$16)))</f>
        <v/>
      </c>
      <c r="G32" s="123"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c>
      <c r="H32" s="123"/>
      <c r="J32" s="37" t="str">
        <f>IF($Q$17=0,"",IF(ISBLANK(INDEX('قاعدة البيانات'!$K$6:$K$305,$Q$17)),LEFT(INDEX('قاعدة البيانات'!$C$6:$C$305,$Q$17),1),INDEX('قاعدة البيانات'!$K$6:$K$305,$Q$17)))</f>
        <v/>
      </c>
      <c r="K32" s="123"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c>
      <c r="L32" s="123"/>
      <c r="P32">
        <v>24</v>
      </c>
      <c r="Q32">
        <f>'حضور رفائيل'!BL30</f>
        <v>0</v>
      </c>
      <c r="R32" t="str">
        <f>IF(Q32=0,"",INDEX('قاعدة البيانات'!$D$6:$D$305,Q32))</f>
        <v/>
      </c>
      <c r="S32">
        <f>'حضور رفائيل'!BM30</f>
        <v>0</v>
      </c>
    </row>
    <row r="33" spans="2:19" ht="24" customHeight="1">
      <c r="B33" s="38" t="str">
        <f>IF($Q$15=0,"","👩 ماما")</f>
        <v/>
      </c>
      <c r="C33" s="39" t="str">
        <f>IF($Q$15=0,"",IF(INDEX('قاعدة البيانات'!$H$6:$H$305,$Q$15)="","— مفيش رقم —",HYPERLINK("tel:"&amp;INDEX('قاعدة البيانات'!$H$6:$H$305,$Q$15),"📞 "&amp;INDEX('قاعدة البيانات'!$H$6:$H$305,$Q$15))))</f>
        <v/>
      </c>
      <c r="D33" s="40" t="str">
        <f>IF(OR($Q$15=0,INDEX('قاعدة البيانات'!$H$6:$H$305,$Q$15)=""),"",HYPERLINK("https://wa.me/20"&amp;RIGHT(INDEX('قاعدة البيانات'!$H$6:$H$305,$Q$15),10),"💬 واتساب"))</f>
        <v/>
      </c>
      <c r="F33" s="38" t="str">
        <f>IF($Q$16=0,"","👩 ماما")</f>
        <v/>
      </c>
      <c r="G33" s="39" t="str">
        <f>IF($Q$16=0,"",IF(INDEX('قاعدة البيانات'!$H$6:$H$305,$Q$16)="","— مفيش رقم —",HYPERLINK("tel:"&amp;INDEX('قاعدة البيانات'!$H$6:$H$305,$Q$16),"📞 "&amp;INDEX('قاعدة البيانات'!$H$6:$H$305,$Q$16))))</f>
        <v/>
      </c>
      <c r="H33" s="40" t="str">
        <f>IF(OR($Q$16=0,INDEX('قاعدة البيانات'!$H$6:$H$305,$Q$16)=""),"",HYPERLINK("https://wa.me/20"&amp;RIGHT(INDEX('قاعدة البيانات'!$H$6:$H$305,$Q$16),10),"💬 واتساب"))</f>
        <v/>
      </c>
      <c r="J33" s="38" t="str">
        <f>IF($Q$17=0,"","👩 ماما")</f>
        <v/>
      </c>
      <c r="K33" s="39" t="str">
        <f>IF($Q$17=0,"",IF(INDEX('قاعدة البيانات'!$H$6:$H$305,$Q$17)="","— مفيش رقم —",HYPERLINK("tel:"&amp;INDEX('قاعدة البيانات'!$H$6:$H$305,$Q$17),"📞 "&amp;INDEX('قاعدة البيانات'!$H$6:$H$305,$Q$17))))</f>
        <v/>
      </c>
      <c r="L33" s="40" t="str">
        <f>IF(OR($Q$17=0,INDEX('قاعدة البيانات'!$H$6:$H$305,$Q$17)=""),"",HYPERLINK("https://wa.me/20"&amp;RIGHT(INDEX('قاعدة البيانات'!$H$6:$H$305,$Q$17),10),"💬 واتساب"))</f>
        <v/>
      </c>
      <c r="P33">
        <v>25</v>
      </c>
      <c r="Q33">
        <f>'حضور رفائيل'!BL31</f>
        <v>0</v>
      </c>
      <c r="R33" t="str">
        <f>IF(Q33=0,"",INDEX('قاعدة البيانات'!$D$6:$D$305,Q33))</f>
        <v/>
      </c>
      <c r="S33">
        <f>'حضور رفائيل'!BM31</f>
        <v>0</v>
      </c>
    </row>
    <row r="34" spans="2:19" ht="24" customHeight="1">
      <c r="B34" s="38" t="str">
        <f>IF($Q$15=0,"","👨 بابا")</f>
        <v/>
      </c>
      <c r="C34" s="39" t="str">
        <f>IF($Q$15=0,"",IF(INDEX('قاعدة البيانات'!$I$6:$I$305,$Q$15)="","— مفيش رقم —",HYPERLINK("tel:"&amp;INDEX('قاعدة البيانات'!$I$6:$I$305,$Q$15),"📞 "&amp;INDEX('قاعدة البيانات'!$I$6:$I$305,$Q$15))))</f>
        <v/>
      </c>
      <c r="D34" s="40" t="str">
        <f>IF(OR($Q$15=0,INDEX('قاعدة البيانات'!$I$6:$I$305,$Q$15)=""),"",HYPERLINK("https://wa.me/20"&amp;RIGHT(INDEX('قاعدة البيانات'!$I$6:$I$305,$Q$15),10),"💬 واتساب"))</f>
        <v/>
      </c>
      <c r="F34" s="38" t="str">
        <f>IF($Q$16=0,"","👨 بابا")</f>
        <v/>
      </c>
      <c r="G34" s="39" t="str">
        <f>IF($Q$16=0,"",IF(INDEX('قاعدة البيانات'!$I$6:$I$305,$Q$16)="","— مفيش رقم —",HYPERLINK("tel:"&amp;INDEX('قاعدة البيانات'!$I$6:$I$305,$Q$16),"📞 "&amp;INDEX('قاعدة البيانات'!$I$6:$I$305,$Q$16))))</f>
        <v/>
      </c>
      <c r="H34" s="40" t="str">
        <f>IF(OR($Q$16=0,INDEX('قاعدة البيانات'!$I$6:$I$305,$Q$16)=""),"",HYPERLINK("https://wa.me/20"&amp;RIGHT(INDEX('قاعدة البيانات'!$I$6:$I$305,$Q$16),10),"💬 واتساب"))</f>
        <v/>
      </c>
      <c r="J34" s="38" t="str">
        <f>IF($Q$17=0,"","👨 بابا")</f>
        <v/>
      </c>
      <c r="K34" s="39" t="str">
        <f>IF($Q$17=0,"",IF(INDEX('قاعدة البيانات'!$I$6:$I$305,$Q$17)="","— مفيش رقم —",HYPERLINK("tel:"&amp;INDEX('قاعدة البيانات'!$I$6:$I$305,$Q$17),"📞 "&amp;INDEX('قاعدة البيانات'!$I$6:$I$305,$Q$17))))</f>
        <v/>
      </c>
      <c r="L34" s="40" t="str">
        <f>IF(OR($Q$17=0,INDEX('قاعدة البيانات'!$I$6:$I$305,$Q$17)=""),"",HYPERLINK("https://wa.me/20"&amp;RIGHT(INDEX('قاعدة البيانات'!$I$6:$I$305,$Q$17),10),"💬 واتساب"))</f>
        <v/>
      </c>
      <c r="P34">
        <v>26</v>
      </c>
      <c r="Q34">
        <f>'حضور رفائيل'!BL32</f>
        <v>0</v>
      </c>
      <c r="R34" t="str">
        <f>IF(Q34=0,"",INDEX('قاعدة البيانات'!$D$6:$D$305,Q34))</f>
        <v/>
      </c>
      <c r="S34">
        <f>'حضور رفائيل'!BM32</f>
        <v>0</v>
      </c>
    </row>
    <row r="35" spans="2:19" ht="37.5" customHeight="1">
      <c r="B35" s="124" t="str">
        <f>IF($Q$15=0,"","📍 "&amp;IF(INDEX('قاعدة البيانات'!$J$6:$J$305,$Q$15)="","— مفيش عنوان —",INDEX('قاعدة البيانات'!$J$6:$J$305,$Q$15)))</f>
        <v/>
      </c>
      <c r="C35" s="124"/>
      <c r="D35" s="124"/>
      <c r="F35" s="124" t="str">
        <f>IF($Q$16=0,"","📍 "&amp;IF(INDEX('قاعدة البيانات'!$J$6:$J$305,$Q$16)="","— مفيش عنوان —",INDEX('قاعدة البيانات'!$J$6:$J$305,$Q$16)))</f>
        <v/>
      </c>
      <c r="G35" s="124"/>
      <c r="H35" s="124"/>
      <c r="J35" s="124" t="str">
        <f>IF($Q$17=0,"","📍 "&amp;IF(INDEX('قاعدة البيانات'!$J$6:$J$305,$Q$17)="","— مفيش عنوان —",INDEX('قاعدة البيانات'!$J$6:$J$305,$Q$17)))</f>
        <v/>
      </c>
      <c r="K35" s="124"/>
      <c r="L35" s="124"/>
      <c r="P35">
        <v>27</v>
      </c>
      <c r="Q35">
        <f>'حضور رفائيل'!BL33</f>
        <v>0</v>
      </c>
      <c r="R35" t="str">
        <f>IF(Q35=0,"",INDEX('قاعدة البيانات'!$D$6:$D$305,Q35))</f>
        <v/>
      </c>
      <c r="S35">
        <f>'حضور رفائيل'!BM33</f>
        <v>0</v>
      </c>
    </row>
    <row r="36" spans="2:19" ht="21.75" customHeight="1">
      <c r="B36" s="125" t="str">
        <f>IF($Q$15=0,"","📊 إحصائيات الحضور")</f>
        <v/>
      </c>
      <c r="C36" s="125"/>
      <c r="D36" s="125"/>
      <c r="F36" s="125" t="str">
        <f>IF($Q$16=0,"","📊 إحصائيات الحضور")</f>
        <v/>
      </c>
      <c r="G36" s="125"/>
      <c r="H36" s="125"/>
      <c r="J36" s="125" t="str">
        <f>IF($Q$17=0,"","📊 إحصائيات الحضور")</f>
        <v/>
      </c>
      <c r="K36" s="125"/>
      <c r="L36" s="125"/>
      <c r="P36">
        <v>28</v>
      </c>
      <c r="Q36">
        <f>'حضور رفائيل'!BL34</f>
        <v>0</v>
      </c>
      <c r="R36" t="str">
        <f>IF(Q36=0,"",INDEX('قاعدة البيانات'!$D$6:$D$305,Q36))</f>
        <v/>
      </c>
      <c r="S36">
        <f>'حضور رفائيل'!BM34</f>
        <v>0</v>
      </c>
    </row>
    <row r="37" spans="2:19" ht="15.75" customHeight="1">
      <c r="B37" s="41" t="str">
        <f>IF($Q$15=0,"","✅ حضور")</f>
        <v/>
      </c>
      <c r="C37" s="41" t="str">
        <f>IF($Q$15=0,"","❌ غياب")</f>
        <v/>
      </c>
      <c r="D37" s="41" t="str">
        <f>IF($Q$15=0,"","📈 النسبة")</f>
        <v/>
      </c>
      <c r="F37" s="41" t="str">
        <f>IF($Q$16=0,"","✅ حضور")</f>
        <v/>
      </c>
      <c r="G37" s="41" t="str">
        <f>IF($Q$16=0,"","❌ غياب")</f>
        <v/>
      </c>
      <c r="H37" s="41" t="str">
        <f>IF($Q$16=0,"","📈 النسبة")</f>
        <v/>
      </c>
      <c r="J37" s="41" t="str">
        <f>IF($Q$17=0,"","✅ حضور")</f>
        <v/>
      </c>
      <c r="K37" s="41" t="str">
        <f>IF($Q$17=0,"","❌ غياب")</f>
        <v/>
      </c>
      <c r="L37" s="41" t="str">
        <f>IF($Q$17=0,"","📈 النسبة")</f>
        <v/>
      </c>
      <c r="P37">
        <v>29</v>
      </c>
      <c r="Q37">
        <f>'حضور رفائيل'!BL35</f>
        <v>0</v>
      </c>
      <c r="R37" t="str">
        <f>IF(Q37=0,"",INDEX('قاعدة البيانات'!$D$6:$D$305,Q37))</f>
        <v/>
      </c>
      <c r="S37">
        <f>'حضور رفائيل'!BM35</f>
        <v>0</v>
      </c>
    </row>
    <row r="38" spans="2:19" ht="33.75" customHeight="1">
      <c r="B38" s="42" t="str">
        <f>'حضور رفائيل'!C13</f>
        <v/>
      </c>
      <c r="C38" s="43" t="str">
        <f>'حضور رفائيل'!D13</f>
        <v/>
      </c>
      <c r="D38" s="44" t="str">
        <f>'حضور رفائيل'!F13</f>
        <v/>
      </c>
      <c r="F38" s="42" t="str">
        <f>'حضور رفائيل'!C14</f>
        <v/>
      </c>
      <c r="G38" s="43" t="str">
        <f>'حضور رفائيل'!D14</f>
        <v/>
      </c>
      <c r="H38" s="44" t="str">
        <f>'حضور رفائيل'!F14</f>
        <v/>
      </c>
      <c r="J38" s="42" t="str">
        <f>'حضور رفائيل'!C15</f>
        <v/>
      </c>
      <c r="K38" s="43" t="str">
        <f>'حضور رفائيل'!D15</f>
        <v/>
      </c>
      <c r="L38" s="44" t="str">
        <f>'حضور رفائيل'!F15</f>
        <v/>
      </c>
      <c r="P38">
        <v>30</v>
      </c>
      <c r="Q38">
        <f>'حضور رفائيل'!BL36</f>
        <v>0</v>
      </c>
      <c r="R38" t="str">
        <f>IF(Q38=0,"",INDEX('قاعدة البيانات'!$D$6:$D$305,Q38))</f>
        <v/>
      </c>
      <c r="S38">
        <f>'حضور رفائيل'!BM36</f>
        <v>0</v>
      </c>
    </row>
    <row r="39" spans="2:19" ht="24" customHeight="1">
      <c r="B39" s="126" t="str">
        <f>'حضور رفائيل'!I13</f>
        <v/>
      </c>
      <c r="C39" s="126"/>
      <c r="D39" s="126"/>
      <c r="F39" s="126" t="str">
        <f>'حضور رفائيل'!I14</f>
        <v/>
      </c>
      <c r="G39" s="126"/>
      <c r="H39" s="126"/>
      <c r="J39" s="126" t="str">
        <f>'حضور رفائيل'!I15</f>
        <v/>
      </c>
      <c r="K39" s="126"/>
      <c r="L39" s="126"/>
    </row>
    <row r="40" spans="2:19" ht="19.5" customHeight="1">
      <c r="B40" s="127" t="str">
        <f>IF($Q$15=0,"","🗓️ آخر حضور: "&amp;IF(ISNUMBER('حضور رفائيل'!H13),DAY('حضور رفائيل'!H13)&amp;"/"&amp;MONTH('حضور رفائيل'!H13)&amp;"/"&amp;YEAR('حضور رفائيل'!H13),"—")&amp;"   •   غياب متتالي: "&amp;'حضور رفائيل'!G13)</f>
        <v/>
      </c>
      <c r="C40" s="127"/>
      <c r="D40" s="127"/>
      <c r="F40" s="127" t="str">
        <f>IF($Q$16=0,"","🗓️ آخر حضور: "&amp;IF(ISNUMBER('حضور رفائيل'!H14),DAY('حضور رفائيل'!H14)&amp;"/"&amp;MONTH('حضور رفائيل'!H14)&amp;"/"&amp;YEAR('حضور رفائيل'!H14),"—")&amp;"   •   غياب متتالي: "&amp;'حضور رفائيل'!G14)</f>
        <v/>
      </c>
      <c r="G40" s="127"/>
      <c r="H40" s="127"/>
      <c r="J40" s="127" t="str">
        <f>IF($Q$17=0,"","🗓️ آخر حضور: "&amp;IF(ISNUMBER('حضور رفائيل'!H15),DAY('حضور رفائيل'!H15)&amp;"/"&amp;MONTH('حضور رفائيل'!H15)&amp;"/"&amp;YEAR('حضور رفائيل'!H15),"—")&amp;"   •   غياب متتالي: "&amp;'حضور رفائيل'!G15)</f>
        <v/>
      </c>
      <c r="K40" s="127"/>
      <c r="L40" s="127"/>
    </row>
    <row r="41" spans="2:19" ht="13.5" customHeight="1"/>
    <row r="42" spans="2:19" ht="30" customHeight="1">
      <c r="B42" s="122" t="str">
        <f>IF($Q$18=0,"",IF(INDEX('قاعدة البيانات'!$D$6:$D$305,$Q$18)="بنت","👧 ","👦 ")&amp;INDEX('قاعدة البيانات'!$C$6:$C$305,$Q$18))</f>
        <v/>
      </c>
      <c r="C42" s="122"/>
      <c r="D42" s="122"/>
      <c r="F42" s="122" t="str">
        <f>IF($Q$19=0,"",IF(INDEX('قاعدة البيانات'!$D$6:$D$305,$Q$19)="بنت","👧 ","👦 ")&amp;INDEX('قاعدة البيانات'!$C$6:$C$305,$Q$19))</f>
        <v/>
      </c>
      <c r="G42" s="122"/>
      <c r="H42" s="122"/>
      <c r="J42" s="122" t="str">
        <f>IF($Q$20=0,"",IF(INDEX('قاعدة البيانات'!$D$6:$D$305,$Q$20)="بنت","👧 ","👦 ")&amp;INDEX('قاعدة البيانات'!$C$6:$C$305,$Q$20))</f>
        <v/>
      </c>
      <c r="K42" s="122"/>
      <c r="L42" s="122"/>
    </row>
    <row r="43" spans="2:19" ht="108" customHeight="1">
      <c r="B43" s="37" t="str">
        <f>IF($Q$18=0,"",IF(ISBLANK(INDEX('قاعدة البيانات'!$K$6:$K$305,$Q$18)),LEFT(INDEX('قاعدة البيانات'!$C$6:$C$305,$Q$18),1),INDEX('قاعدة البيانات'!$K$6:$K$305,$Q$18)))</f>
        <v/>
      </c>
      <c r="C43" s="123"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c>
      <c r="D43" s="123"/>
      <c r="F43" s="37" t="str">
        <f>IF($Q$19=0,"",IF(ISBLANK(INDEX('قاعدة البيانات'!$K$6:$K$305,$Q$19)),LEFT(INDEX('قاعدة البيانات'!$C$6:$C$305,$Q$19),1),INDEX('قاعدة البيانات'!$K$6:$K$305,$Q$19)))</f>
        <v/>
      </c>
      <c r="G43" s="123"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c>
      <c r="H43" s="123"/>
      <c r="J43" s="37" t="str">
        <f>IF($Q$20=0,"",IF(ISBLANK(INDEX('قاعدة البيانات'!$K$6:$K$305,$Q$20)),LEFT(INDEX('قاعدة البيانات'!$C$6:$C$305,$Q$20),1),INDEX('قاعدة البيانات'!$K$6:$K$305,$Q$20)))</f>
        <v/>
      </c>
      <c r="K43" s="123"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c>
      <c r="L43" s="123"/>
    </row>
    <row r="44" spans="2:19" ht="24" customHeight="1">
      <c r="B44" s="38" t="str">
        <f>IF($Q$18=0,"","👩 ماما")</f>
        <v/>
      </c>
      <c r="C44" s="39" t="str">
        <f>IF($Q$18=0,"",IF(INDEX('قاعدة البيانات'!$H$6:$H$305,$Q$18)="","— مفيش رقم —",HYPERLINK("tel:"&amp;INDEX('قاعدة البيانات'!$H$6:$H$305,$Q$18),"📞 "&amp;INDEX('قاعدة البيانات'!$H$6:$H$305,$Q$18))))</f>
        <v/>
      </c>
      <c r="D44" s="40" t="str">
        <f>IF(OR($Q$18=0,INDEX('قاعدة البيانات'!$H$6:$H$305,$Q$18)=""),"",HYPERLINK("https://wa.me/20"&amp;RIGHT(INDEX('قاعدة البيانات'!$H$6:$H$305,$Q$18),10),"💬 واتساب"))</f>
        <v/>
      </c>
      <c r="F44" s="38" t="str">
        <f>IF($Q$19=0,"","👩 ماما")</f>
        <v/>
      </c>
      <c r="G44" s="39" t="str">
        <f>IF($Q$19=0,"",IF(INDEX('قاعدة البيانات'!$H$6:$H$305,$Q$19)="","— مفيش رقم —",HYPERLINK("tel:"&amp;INDEX('قاعدة البيانات'!$H$6:$H$305,$Q$19),"📞 "&amp;INDEX('قاعدة البيانات'!$H$6:$H$305,$Q$19))))</f>
        <v/>
      </c>
      <c r="H44" s="40" t="str">
        <f>IF(OR($Q$19=0,INDEX('قاعدة البيانات'!$H$6:$H$305,$Q$19)=""),"",HYPERLINK("https://wa.me/20"&amp;RIGHT(INDEX('قاعدة البيانات'!$H$6:$H$305,$Q$19),10),"💬 واتساب"))</f>
        <v/>
      </c>
      <c r="J44" s="38" t="str">
        <f>IF($Q$20=0,"","👩 ماما")</f>
        <v/>
      </c>
      <c r="K44" s="39" t="str">
        <f>IF($Q$20=0,"",IF(INDEX('قاعدة البيانات'!$H$6:$H$305,$Q$20)="","— مفيش رقم —",HYPERLINK("tel:"&amp;INDEX('قاعدة البيانات'!$H$6:$H$305,$Q$20),"📞 "&amp;INDEX('قاعدة البيانات'!$H$6:$H$305,$Q$20))))</f>
        <v/>
      </c>
      <c r="L44" s="40" t="str">
        <f>IF(OR($Q$20=0,INDEX('قاعدة البيانات'!$H$6:$H$305,$Q$20)=""),"",HYPERLINK("https://wa.me/20"&amp;RIGHT(INDEX('قاعدة البيانات'!$H$6:$H$305,$Q$20),10),"💬 واتساب"))</f>
        <v/>
      </c>
    </row>
    <row r="45" spans="2:19" ht="24" customHeight="1">
      <c r="B45" s="38" t="str">
        <f>IF($Q$18=0,"","👨 بابا")</f>
        <v/>
      </c>
      <c r="C45" s="39" t="str">
        <f>IF($Q$18=0,"",IF(INDEX('قاعدة البيانات'!$I$6:$I$305,$Q$18)="","— مفيش رقم —",HYPERLINK("tel:"&amp;INDEX('قاعدة البيانات'!$I$6:$I$305,$Q$18),"📞 "&amp;INDEX('قاعدة البيانات'!$I$6:$I$305,$Q$18))))</f>
        <v/>
      </c>
      <c r="D45" s="40" t="str">
        <f>IF(OR($Q$18=0,INDEX('قاعدة البيانات'!$I$6:$I$305,$Q$18)=""),"",HYPERLINK("https://wa.me/20"&amp;RIGHT(INDEX('قاعدة البيانات'!$I$6:$I$305,$Q$18),10),"💬 واتساب"))</f>
        <v/>
      </c>
      <c r="F45" s="38" t="str">
        <f>IF($Q$19=0,"","👨 بابا")</f>
        <v/>
      </c>
      <c r="G45" s="39" t="str">
        <f>IF($Q$19=0,"",IF(INDEX('قاعدة البيانات'!$I$6:$I$305,$Q$19)="","— مفيش رقم —",HYPERLINK("tel:"&amp;INDEX('قاعدة البيانات'!$I$6:$I$305,$Q$19),"📞 "&amp;INDEX('قاعدة البيانات'!$I$6:$I$305,$Q$19))))</f>
        <v/>
      </c>
      <c r="H45" s="40" t="str">
        <f>IF(OR($Q$19=0,INDEX('قاعدة البيانات'!$I$6:$I$305,$Q$19)=""),"",HYPERLINK("https://wa.me/20"&amp;RIGHT(INDEX('قاعدة البيانات'!$I$6:$I$305,$Q$19),10),"💬 واتساب"))</f>
        <v/>
      </c>
      <c r="J45" s="38" t="str">
        <f>IF($Q$20=0,"","👨 بابا")</f>
        <v/>
      </c>
      <c r="K45" s="39" t="str">
        <f>IF($Q$20=0,"",IF(INDEX('قاعدة البيانات'!$I$6:$I$305,$Q$20)="","— مفيش رقم —",HYPERLINK("tel:"&amp;INDEX('قاعدة البيانات'!$I$6:$I$305,$Q$20),"📞 "&amp;INDEX('قاعدة البيانات'!$I$6:$I$305,$Q$20))))</f>
        <v/>
      </c>
      <c r="L45" s="40" t="str">
        <f>IF(OR($Q$20=0,INDEX('قاعدة البيانات'!$I$6:$I$305,$Q$20)=""),"",HYPERLINK("https://wa.me/20"&amp;RIGHT(INDEX('قاعدة البيانات'!$I$6:$I$305,$Q$20),10),"💬 واتساب"))</f>
        <v/>
      </c>
    </row>
    <row r="46" spans="2:19" ht="37.5" customHeight="1">
      <c r="B46" s="124" t="str">
        <f>IF($Q$18=0,"","📍 "&amp;IF(INDEX('قاعدة البيانات'!$J$6:$J$305,$Q$18)="","— مفيش عنوان —",INDEX('قاعدة البيانات'!$J$6:$J$305,$Q$18)))</f>
        <v/>
      </c>
      <c r="C46" s="124"/>
      <c r="D46" s="124"/>
      <c r="F46" s="124" t="str">
        <f>IF($Q$19=0,"","📍 "&amp;IF(INDEX('قاعدة البيانات'!$J$6:$J$305,$Q$19)="","— مفيش عنوان —",INDEX('قاعدة البيانات'!$J$6:$J$305,$Q$19)))</f>
        <v/>
      </c>
      <c r="G46" s="124"/>
      <c r="H46" s="124"/>
      <c r="J46" s="124" t="str">
        <f>IF($Q$20=0,"","📍 "&amp;IF(INDEX('قاعدة البيانات'!$J$6:$J$305,$Q$20)="","— مفيش عنوان —",INDEX('قاعدة البيانات'!$J$6:$J$305,$Q$20)))</f>
        <v/>
      </c>
      <c r="K46" s="124"/>
      <c r="L46" s="124"/>
    </row>
    <row r="47" spans="2:19" ht="21.75" customHeight="1">
      <c r="B47" s="125" t="str">
        <f>IF($Q$18=0,"","📊 إحصائيات الحضور")</f>
        <v/>
      </c>
      <c r="C47" s="125"/>
      <c r="D47" s="125"/>
      <c r="F47" s="125" t="str">
        <f>IF($Q$19=0,"","📊 إحصائيات الحضور")</f>
        <v/>
      </c>
      <c r="G47" s="125"/>
      <c r="H47" s="125"/>
      <c r="J47" s="125" t="str">
        <f>IF($Q$20=0,"","📊 إحصائيات الحضور")</f>
        <v/>
      </c>
      <c r="K47" s="125"/>
      <c r="L47" s="125"/>
    </row>
    <row r="48" spans="2:19" ht="15.75" customHeight="1">
      <c r="B48" s="41" t="str">
        <f>IF($Q$18=0,"","✅ حضور")</f>
        <v/>
      </c>
      <c r="C48" s="41" t="str">
        <f>IF($Q$18=0,"","❌ غياب")</f>
        <v/>
      </c>
      <c r="D48" s="41" t="str">
        <f>IF($Q$18=0,"","📈 النسبة")</f>
        <v/>
      </c>
      <c r="F48" s="41" t="str">
        <f>IF($Q$19=0,"","✅ حضور")</f>
        <v/>
      </c>
      <c r="G48" s="41" t="str">
        <f>IF($Q$19=0,"","❌ غياب")</f>
        <v/>
      </c>
      <c r="H48" s="41" t="str">
        <f>IF($Q$19=0,"","📈 النسبة")</f>
        <v/>
      </c>
      <c r="J48" s="41" t="str">
        <f>IF($Q$20=0,"","✅ حضور")</f>
        <v/>
      </c>
      <c r="K48" s="41" t="str">
        <f>IF($Q$20=0,"","❌ غياب")</f>
        <v/>
      </c>
      <c r="L48" s="41" t="str">
        <f>IF($Q$20=0,"","📈 النسبة")</f>
        <v/>
      </c>
    </row>
    <row r="49" spans="2:12" ht="33.75" customHeight="1">
      <c r="B49" s="42" t="str">
        <f>'حضور رفائيل'!C16</f>
        <v/>
      </c>
      <c r="C49" s="43" t="str">
        <f>'حضور رفائيل'!D16</f>
        <v/>
      </c>
      <c r="D49" s="44" t="str">
        <f>'حضور رفائيل'!F16</f>
        <v/>
      </c>
      <c r="F49" s="42" t="str">
        <f>'حضور رفائيل'!C17</f>
        <v/>
      </c>
      <c r="G49" s="43" t="str">
        <f>'حضور رفائيل'!D17</f>
        <v/>
      </c>
      <c r="H49" s="44" t="str">
        <f>'حضور رفائيل'!F17</f>
        <v/>
      </c>
      <c r="J49" s="42" t="str">
        <f>'حضور رفائيل'!C18</f>
        <v/>
      </c>
      <c r="K49" s="43" t="str">
        <f>'حضور رفائيل'!D18</f>
        <v/>
      </c>
      <c r="L49" s="44" t="str">
        <f>'حضور رفائيل'!F18</f>
        <v/>
      </c>
    </row>
    <row r="50" spans="2:12" ht="24" customHeight="1">
      <c r="B50" s="126" t="str">
        <f>'حضور رفائيل'!I16</f>
        <v/>
      </c>
      <c r="C50" s="126"/>
      <c r="D50" s="126"/>
      <c r="F50" s="126" t="str">
        <f>'حضور رفائيل'!I17</f>
        <v/>
      </c>
      <c r="G50" s="126"/>
      <c r="H50" s="126"/>
      <c r="J50" s="126" t="str">
        <f>'حضور رفائيل'!I18</f>
        <v/>
      </c>
      <c r="K50" s="126"/>
      <c r="L50" s="126"/>
    </row>
    <row r="51" spans="2:12" ht="19.5" customHeight="1">
      <c r="B51" s="127" t="str">
        <f>IF($Q$18=0,"","🗓️ آخر حضور: "&amp;IF(ISNUMBER('حضور رفائيل'!H16),DAY('حضور رفائيل'!H16)&amp;"/"&amp;MONTH('حضور رفائيل'!H16)&amp;"/"&amp;YEAR('حضور رفائيل'!H16),"—")&amp;"   •   غياب متتالي: "&amp;'حضور رفائيل'!G16)</f>
        <v/>
      </c>
      <c r="C51" s="127"/>
      <c r="D51" s="127"/>
      <c r="F51" s="127" t="str">
        <f>IF($Q$19=0,"","🗓️ آخر حضور: "&amp;IF(ISNUMBER('حضور رفائيل'!H17),DAY('حضور رفائيل'!H17)&amp;"/"&amp;MONTH('حضور رفائيل'!H17)&amp;"/"&amp;YEAR('حضور رفائيل'!H17),"—")&amp;"   •   غياب متتالي: "&amp;'حضور رفائيل'!G17)</f>
        <v/>
      </c>
      <c r="G51" s="127"/>
      <c r="H51" s="127"/>
      <c r="J51" s="127" t="str">
        <f>IF($Q$20=0,"","🗓️ آخر حضور: "&amp;IF(ISNUMBER('حضور رفائيل'!H18),DAY('حضور رفائيل'!H18)&amp;"/"&amp;MONTH('حضور رفائيل'!H18)&amp;"/"&amp;YEAR('حضور رفائيل'!H18),"—")&amp;"   •   غياب متتالي: "&amp;'حضور رفائيل'!G18)</f>
        <v/>
      </c>
      <c r="K51" s="127"/>
      <c r="L51" s="127"/>
    </row>
    <row r="52" spans="2:12" ht="13.5" customHeight="1"/>
    <row r="53" spans="2:12" ht="30" customHeight="1">
      <c r="B53" s="122" t="str">
        <f>IF($Q$21=0,"",IF(INDEX('قاعدة البيانات'!$D$6:$D$305,$Q$21)="بنت","👧 ","👦 ")&amp;INDEX('قاعدة البيانات'!$C$6:$C$305,$Q$21))</f>
        <v/>
      </c>
      <c r="C53" s="122"/>
      <c r="D53" s="122"/>
      <c r="F53" s="122" t="str">
        <f>IF($Q$22=0,"",IF(INDEX('قاعدة البيانات'!$D$6:$D$305,$Q$22)="بنت","👧 ","👦 ")&amp;INDEX('قاعدة البيانات'!$C$6:$C$305,$Q$22))</f>
        <v/>
      </c>
      <c r="G53" s="122"/>
      <c r="H53" s="122"/>
      <c r="J53" s="122" t="str">
        <f>IF($Q$23=0,"",IF(INDEX('قاعدة البيانات'!$D$6:$D$305,$Q$23)="بنت","👧 ","👦 ")&amp;INDEX('قاعدة البيانات'!$C$6:$C$305,$Q$23))</f>
        <v/>
      </c>
      <c r="K53" s="122"/>
      <c r="L53" s="122"/>
    </row>
    <row r="54" spans="2:12" ht="108" customHeight="1">
      <c r="B54" s="37" t="str">
        <f>IF($Q$21=0,"",IF(ISBLANK(INDEX('قاعدة البيانات'!$K$6:$K$305,$Q$21)),LEFT(INDEX('قاعدة البيانات'!$C$6:$C$305,$Q$21),1),INDEX('قاعدة البيانات'!$K$6:$K$305,$Q$21)))</f>
        <v/>
      </c>
      <c r="C54" s="123"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c>
      <c r="D54" s="123"/>
      <c r="F54" s="37" t="str">
        <f>IF($Q$22=0,"",IF(ISBLANK(INDEX('قاعدة البيانات'!$K$6:$K$305,$Q$22)),LEFT(INDEX('قاعدة البيانات'!$C$6:$C$305,$Q$22),1),INDEX('قاعدة البيانات'!$K$6:$K$305,$Q$22)))</f>
        <v/>
      </c>
      <c r="G54" s="123"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c>
      <c r="H54" s="123"/>
      <c r="J54" s="37" t="str">
        <f>IF($Q$23=0,"",IF(ISBLANK(INDEX('قاعدة البيانات'!$K$6:$K$305,$Q$23)),LEFT(INDEX('قاعدة البيانات'!$C$6:$C$305,$Q$23),1),INDEX('قاعدة البيانات'!$K$6:$K$305,$Q$23)))</f>
        <v/>
      </c>
      <c r="K54" s="123"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c>
      <c r="L54" s="123"/>
    </row>
    <row r="55" spans="2:12" ht="24" customHeight="1">
      <c r="B55" s="38" t="str">
        <f>IF($Q$21=0,"","👩 ماما")</f>
        <v/>
      </c>
      <c r="C55" s="39" t="str">
        <f>IF($Q$21=0,"",IF(INDEX('قاعدة البيانات'!$H$6:$H$305,$Q$21)="","— مفيش رقم —",HYPERLINK("tel:"&amp;INDEX('قاعدة البيانات'!$H$6:$H$305,$Q$21),"📞 "&amp;INDEX('قاعدة البيانات'!$H$6:$H$305,$Q$21))))</f>
        <v/>
      </c>
      <c r="D55" s="40" t="str">
        <f>IF(OR($Q$21=0,INDEX('قاعدة البيانات'!$H$6:$H$305,$Q$21)=""),"",HYPERLINK("https://wa.me/20"&amp;RIGHT(INDEX('قاعدة البيانات'!$H$6:$H$305,$Q$21),10),"💬 واتساب"))</f>
        <v/>
      </c>
      <c r="F55" s="38" t="str">
        <f>IF($Q$22=0,"","👩 ماما")</f>
        <v/>
      </c>
      <c r="G55" s="39" t="str">
        <f>IF($Q$22=0,"",IF(INDEX('قاعدة البيانات'!$H$6:$H$305,$Q$22)="","— مفيش رقم —",HYPERLINK("tel:"&amp;INDEX('قاعدة البيانات'!$H$6:$H$305,$Q$22),"📞 "&amp;INDEX('قاعدة البيانات'!$H$6:$H$305,$Q$22))))</f>
        <v/>
      </c>
      <c r="H55" s="40" t="str">
        <f>IF(OR($Q$22=0,INDEX('قاعدة البيانات'!$H$6:$H$305,$Q$22)=""),"",HYPERLINK("https://wa.me/20"&amp;RIGHT(INDEX('قاعدة البيانات'!$H$6:$H$305,$Q$22),10),"💬 واتساب"))</f>
        <v/>
      </c>
      <c r="J55" s="38" t="str">
        <f>IF($Q$23=0,"","👩 ماما")</f>
        <v/>
      </c>
      <c r="K55" s="39" t="str">
        <f>IF($Q$23=0,"",IF(INDEX('قاعدة البيانات'!$H$6:$H$305,$Q$23)="","— مفيش رقم —",HYPERLINK("tel:"&amp;INDEX('قاعدة البيانات'!$H$6:$H$305,$Q$23),"📞 "&amp;INDEX('قاعدة البيانات'!$H$6:$H$305,$Q$23))))</f>
        <v/>
      </c>
      <c r="L55" s="40" t="str">
        <f>IF(OR($Q$23=0,INDEX('قاعدة البيانات'!$H$6:$H$305,$Q$23)=""),"",HYPERLINK("https://wa.me/20"&amp;RIGHT(INDEX('قاعدة البيانات'!$H$6:$H$305,$Q$23),10),"💬 واتساب"))</f>
        <v/>
      </c>
    </row>
    <row r="56" spans="2:12" ht="24" customHeight="1">
      <c r="B56" s="38" t="str">
        <f>IF($Q$21=0,"","👨 بابا")</f>
        <v/>
      </c>
      <c r="C56" s="39" t="str">
        <f>IF($Q$21=0,"",IF(INDEX('قاعدة البيانات'!$I$6:$I$305,$Q$21)="","— مفيش رقم —",HYPERLINK("tel:"&amp;INDEX('قاعدة البيانات'!$I$6:$I$305,$Q$21),"📞 "&amp;INDEX('قاعدة البيانات'!$I$6:$I$305,$Q$21))))</f>
        <v/>
      </c>
      <c r="D56" s="40" t="str">
        <f>IF(OR($Q$21=0,INDEX('قاعدة البيانات'!$I$6:$I$305,$Q$21)=""),"",HYPERLINK("https://wa.me/20"&amp;RIGHT(INDEX('قاعدة البيانات'!$I$6:$I$305,$Q$21),10),"💬 واتساب"))</f>
        <v/>
      </c>
      <c r="F56" s="38" t="str">
        <f>IF($Q$22=0,"","👨 بابا")</f>
        <v/>
      </c>
      <c r="G56" s="39" t="str">
        <f>IF($Q$22=0,"",IF(INDEX('قاعدة البيانات'!$I$6:$I$305,$Q$22)="","— مفيش رقم —",HYPERLINK("tel:"&amp;INDEX('قاعدة البيانات'!$I$6:$I$305,$Q$22),"📞 "&amp;INDEX('قاعدة البيانات'!$I$6:$I$305,$Q$22))))</f>
        <v/>
      </c>
      <c r="H56" s="40" t="str">
        <f>IF(OR($Q$22=0,INDEX('قاعدة البيانات'!$I$6:$I$305,$Q$22)=""),"",HYPERLINK("https://wa.me/20"&amp;RIGHT(INDEX('قاعدة البيانات'!$I$6:$I$305,$Q$22),10),"💬 واتساب"))</f>
        <v/>
      </c>
      <c r="J56" s="38" t="str">
        <f>IF($Q$23=0,"","👨 بابا")</f>
        <v/>
      </c>
      <c r="K56" s="39" t="str">
        <f>IF($Q$23=0,"",IF(INDEX('قاعدة البيانات'!$I$6:$I$305,$Q$23)="","— مفيش رقم —",HYPERLINK("tel:"&amp;INDEX('قاعدة البيانات'!$I$6:$I$305,$Q$23),"📞 "&amp;INDEX('قاعدة البيانات'!$I$6:$I$305,$Q$23))))</f>
        <v/>
      </c>
      <c r="L56" s="40" t="str">
        <f>IF(OR($Q$23=0,INDEX('قاعدة البيانات'!$I$6:$I$305,$Q$23)=""),"",HYPERLINK("https://wa.me/20"&amp;RIGHT(INDEX('قاعدة البيانات'!$I$6:$I$305,$Q$23),10),"💬 واتساب"))</f>
        <v/>
      </c>
    </row>
    <row r="57" spans="2:12" ht="37.5" customHeight="1">
      <c r="B57" s="124" t="str">
        <f>IF($Q$21=0,"","📍 "&amp;IF(INDEX('قاعدة البيانات'!$J$6:$J$305,$Q$21)="","— مفيش عنوان —",INDEX('قاعدة البيانات'!$J$6:$J$305,$Q$21)))</f>
        <v/>
      </c>
      <c r="C57" s="124"/>
      <c r="D57" s="124"/>
      <c r="F57" s="124" t="str">
        <f>IF($Q$22=0,"","📍 "&amp;IF(INDEX('قاعدة البيانات'!$J$6:$J$305,$Q$22)="","— مفيش عنوان —",INDEX('قاعدة البيانات'!$J$6:$J$305,$Q$22)))</f>
        <v/>
      </c>
      <c r="G57" s="124"/>
      <c r="H57" s="124"/>
      <c r="J57" s="124" t="str">
        <f>IF($Q$23=0,"","📍 "&amp;IF(INDEX('قاعدة البيانات'!$J$6:$J$305,$Q$23)="","— مفيش عنوان —",INDEX('قاعدة البيانات'!$J$6:$J$305,$Q$23)))</f>
        <v/>
      </c>
      <c r="K57" s="124"/>
      <c r="L57" s="124"/>
    </row>
    <row r="58" spans="2:12" ht="21.75" customHeight="1">
      <c r="B58" s="125" t="str">
        <f>IF($Q$21=0,"","📊 إحصائيات الحضور")</f>
        <v/>
      </c>
      <c r="C58" s="125"/>
      <c r="D58" s="125"/>
      <c r="F58" s="125" t="str">
        <f>IF($Q$22=0,"","📊 إحصائيات الحضور")</f>
        <v/>
      </c>
      <c r="G58" s="125"/>
      <c r="H58" s="125"/>
      <c r="J58" s="125" t="str">
        <f>IF($Q$23=0,"","📊 إحصائيات الحضور")</f>
        <v/>
      </c>
      <c r="K58" s="125"/>
      <c r="L58" s="125"/>
    </row>
    <row r="59" spans="2:12" ht="15.75" customHeight="1">
      <c r="B59" s="41" t="str">
        <f>IF($Q$21=0,"","✅ حضور")</f>
        <v/>
      </c>
      <c r="C59" s="41" t="str">
        <f>IF($Q$21=0,"","❌ غياب")</f>
        <v/>
      </c>
      <c r="D59" s="41" t="str">
        <f>IF($Q$21=0,"","📈 النسبة")</f>
        <v/>
      </c>
      <c r="F59" s="41" t="str">
        <f>IF($Q$22=0,"","✅ حضور")</f>
        <v/>
      </c>
      <c r="G59" s="41" t="str">
        <f>IF($Q$22=0,"","❌ غياب")</f>
        <v/>
      </c>
      <c r="H59" s="41" t="str">
        <f>IF($Q$22=0,"","📈 النسبة")</f>
        <v/>
      </c>
      <c r="J59" s="41" t="str">
        <f>IF($Q$23=0,"","✅ حضور")</f>
        <v/>
      </c>
      <c r="K59" s="41" t="str">
        <f>IF($Q$23=0,"","❌ غياب")</f>
        <v/>
      </c>
      <c r="L59" s="41" t="str">
        <f>IF($Q$23=0,"","📈 النسبة")</f>
        <v/>
      </c>
    </row>
    <row r="60" spans="2:12" ht="33.75" customHeight="1">
      <c r="B60" s="42" t="str">
        <f>'حضور رفائيل'!C19</f>
        <v/>
      </c>
      <c r="C60" s="43" t="str">
        <f>'حضور رفائيل'!D19</f>
        <v/>
      </c>
      <c r="D60" s="44" t="str">
        <f>'حضور رفائيل'!F19</f>
        <v/>
      </c>
      <c r="F60" s="42" t="str">
        <f>'حضور رفائيل'!C20</f>
        <v/>
      </c>
      <c r="G60" s="43" t="str">
        <f>'حضور رفائيل'!D20</f>
        <v/>
      </c>
      <c r="H60" s="44" t="str">
        <f>'حضور رفائيل'!F20</f>
        <v/>
      </c>
      <c r="J60" s="42" t="str">
        <f>'حضور رفائيل'!C21</f>
        <v/>
      </c>
      <c r="K60" s="43" t="str">
        <f>'حضور رفائيل'!D21</f>
        <v/>
      </c>
      <c r="L60" s="44" t="str">
        <f>'حضور رفائيل'!F21</f>
        <v/>
      </c>
    </row>
    <row r="61" spans="2:12" ht="24" customHeight="1">
      <c r="B61" s="126" t="str">
        <f>'حضور رفائيل'!I19</f>
        <v/>
      </c>
      <c r="C61" s="126"/>
      <c r="D61" s="126"/>
      <c r="F61" s="126" t="str">
        <f>'حضور رفائيل'!I20</f>
        <v/>
      </c>
      <c r="G61" s="126"/>
      <c r="H61" s="126"/>
      <c r="J61" s="126" t="str">
        <f>'حضور رفائيل'!I21</f>
        <v/>
      </c>
      <c r="K61" s="126"/>
      <c r="L61" s="126"/>
    </row>
    <row r="62" spans="2:12" ht="19.5" customHeight="1">
      <c r="B62" s="127" t="str">
        <f>IF($Q$21=0,"","🗓️ آخر حضور: "&amp;IF(ISNUMBER('حضور رفائيل'!H19),DAY('حضور رفائيل'!H19)&amp;"/"&amp;MONTH('حضور رفائيل'!H19)&amp;"/"&amp;YEAR('حضور رفائيل'!H19),"—")&amp;"   •   غياب متتالي: "&amp;'حضور رفائيل'!G19)</f>
        <v/>
      </c>
      <c r="C62" s="127"/>
      <c r="D62" s="127"/>
      <c r="F62" s="127" t="str">
        <f>IF($Q$22=0,"","🗓️ آخر حضور: "&amp;IF(ISNUMBER('حضور رفائيل'!H20),DAY('حضور رفائيل'!H20)&amp;"/"&amp;MONTH('حضور رفائيل'!H20)&amp;"/"&amp;YEAR('حضور رفائيل'!H20),"—")&amp;"   •   غياب متتالي: "&amp;'حضور رفائيل'!G20)</f>
        <v/>
      </c>
      <c r="G62" s="127"/>
      <c r="H62" s="127"/>
      <c r="J62" s="127" t="str">
        <f>IF($Q$23=0,"","🗓️ آخر حضور: "&amp;IF(ISNUMBER('حضور رفائيل'!H21),DAY('حضور رفائيل'!H21)&amp;"/"&amp;MONTH('حضور رفائيل'!H21)&amp;"/"&amp;YEAR('حضور رفائيل'!H21),"—")&amp;"   •   غياب متتالي: "&amp;'حضور رفائيل'!G21)</f>
        <v/>
      </c>
      <c r="K62" s="127"/>
      <c r="L62" s="127"/>
    </row>
    <row r="63" spans="2:12" ht="13.5" customHeight="1"/>
    <row r="64" spans="2:12" ht="30" customHeight="1">
      <c r="B64" s="122" t="str">
        <f>IF($Q$24=0,"",IF(INDEX('قاعدة البيانات'!$D$6:$D$305,$Q$24)="بنت","👧 ","👦 ")&amp;INDEX('قاعدة البيانات'!$C$6:$C$305,$Q$24))</f>
        <v/>
      </c>
      <c r="C64" s="122"/>
      <c r="D64" s="122"/>
      <c r="F64" s="122" t="str">
        <f>IF($Q$25=0,"",IF(INDEX('قاعدة البيانات'!$D$6:$D$305,$Q$25)="بنت","👧 ","👦 ")&amp;INDEX('قاعدة البيانات'!$C$6:$C$305,$Q$25))</f>
        <v/>
      </c>
      <c r="G64" s="122"/>
      <c r="H64" s="122"/>
      <c r="J64" s="122" t="str">
        <f>IF($Q$26=0,"",IF(INDEX('قاعدة البيانات'!$D$6:$D$305,$Q$26)="بنت","👧 ","👦 ")&amp;INDEX('قاعدة البيانات'!$C$6:$C$305,$Q$26))</f>
        <v/>
      </c>
      <c r="K64" s="122"/>
      <c r="L64" s="122"/>
    </row>
    <row r="65" spans="2:12" ht="108" customHeight="1">
      <c r="B65" s="37" t="str">
        <f>IF($Q$24=0,"",IF(ISBLANK(INDEX('قاعدة البيانات'!$K$6:$K$305,$Q$24)),LEFT(INDEX('قاعدة البيانات'!$C$6:$C$305,$Q$24),1),INDEX('قاعدة البيانات'!$K$6:$K$305,$Q$24)))</f>
        <v/>
      </c>
      <c r="C65" s="123"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c>
      <c r="D65" s="123"/>
      <c r="F65" s="37" t="str">
        <f>IF($Q$25=0,"",IF(ISBLANK(INDEX('قاعدة البيانات'!$K$6:$K$305,$Q$25)),LEFT(INDEX('قاعدة البيانات'!$C$6:$C$305,$Q$25),1),INDEX('قاعدة البيانات'!$K$6:$K$305,$Q$25)))</f>
        <v/>
      </c>
      <c r="G65" s="123"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c>
      <c r="H65" s="123"/>
      <c r="J65" s="37" t="str">
        <f>IF($Q$26=0,"",IF(ISBLANK(INDEX('قاعدة البيانات'!$K$6:$K$305,$Q$26)),LEFT(INDEX('قاعدة البيانات'!$C$6:$C$305,$Q$26),1),INDEX('قاعدة البيانات'!$K$6:$K$305,$Q$26)))</f>
        <v/>
      </c>
      <c r="K65" s="123"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c>
      <c r="L65" s="123"/>
    </row>
    <row r="66" spans="2:12" ht="24" customHeight="1">
      <c r="B66" s="38" t="str">
        <f>IF($Q$24=0,"","👩 ماما")</f>
        <v/>
      </c>
      <c r="C66" s="39" t="str">
        <f>IF($Q$24=0,"",IF(INDEX('قاعدة البيانات'!$H$6:$H$305,$Q$24)="","— مفيش رقم —",HYPERLINK("tel:"&amp;INDEX('قاعدة البيانات'!$H$6:$H$305,$Q$24),"📞 "&amp;INDEX('قاعدة البيانات'!$H$6:$H$305,$Q$24))))</f>
        <v/>
      </c>
      <c r="D66" s="40" t="str">
        <f>IF(OR($Q$24=0,INDEX('قاعدة البيانات'!$H$6:$H$305,$Q$24)=""),"",HYPERLINK("https://wa.me/20"&amp;RIGHT(INDEX('قاعدة البيانات'!$H$6:$H$305,$Q$24),10),"💬 واتساب"))</f>
        <v/>
      </c>
      <c r="F66" s="38" t="str">
        <f>IF($Q$25=0,"","👩 ماما")</f>
        <v/>
      </c>
      <c r="G66" s="39" t="str">
        <f>IF($Q$25=0,"",IF(INDEX('قاعدة البيانات'!$H$6:$H$305,$Q$25)="","— مفيش رقم —",HYPERLINK("tel:"&amp;INDEX('قاعدة البيانات'!$H$6:$H$305,$Q$25),"📞 "&amp;INDEX('قاعدة البيانات'!$H$6:$H$305,$Q$25))))</f>
        <v/>
      </c>
      <c r="H66" s="40" t="str">
        <f>IF(OR($Q$25=0,INDEX('قاعدة البيانات'!$H$6:$H$305,$Q$25)=""),"",HYPERLINK("https://wa.me/20"&amp;RIGHT(INDEX('قاعدة البيانات'!$H$6:$H$305,$Q$25),10),"💬 واتساب"))</f>
        <v/>
      </c>
      <c r="J66" s="38" t="str">
        <f>IF($Q$26=0,"","👩 ماما")</f>
        <v/>
      </c>
      <c r="K66" s="39" t="str">
        <f>IF($Q$26=0,"",IF(INDEX('قاعدة البيانات'!$H$6:$H$305,$Q$26)="","— مفيش رقم —",HYPERLINK("tel:"&amp;INDEX('قاعدة البيانات'!$H$6:$H$305,$Q$26),"📞 "&amp;INDEX('قاعدة البيانات'!$H$6:$H$305,$Q$26))))</f>
        <v/>
      </c>
      <c r="L66" s="40" t="str">
        <f>IF(OR($Q$26=0,INDEX('قاعدة البيانات'!$H$6:$H$305,$Q$26)=""),"",HYPERLINK("https://wa.me/20"&amp;RIGHT(INDEX('قاعدة البيانات'!$H$6:$H$305,$Q$26),10),"💬 واتساب"))</f>
        <v/>
      </c>
    </row>
    <row r="67" spans="2:12" ht="24" customHeight="1">
      <c r="B67" s="38" t="str">
        <f>IF($Q$24=0,"","👨 بابا")</f>
        <v/>
      </c>
      <c r="C67" s="39" t="str">
        <f>IF($Q$24=0,"",IF(INDEX('قاعدة البيانات'!$I$6:$I$305,$Q$24)="","— مفيش رقم —",HYPERLINK("tel:"&amp;INDEX('قاعدة البيانات'!$I$6:$I$305,$Q$24),"📞 "&amp;INDEX('قاعدة البيانات'!$I$6:$I$305,$Q$24))))</f>
        <v/>
      </c>
      <c r="D67" s="40" t="str">
        <f>IF(OR($Q$24=0,INDEX('قاعدة البيانات'!$I$6:$I$305,$Q$24)=""),"",HYPERLINK("https://wa.me/20"&amp;RIGHT(INDEX('قاعدة البيانات'!$I$6:$I$305,$Q$24),10),"💬 واتساب"))</f>
        <v/>
      </c>
      <c r="F67" s="38" t="str">
        <f>IF($Q$25=0,"","👨 بابا")</f>
        <v/>
      </c>
      <c r="G67" s="39" t="str">
        <f>IF($Q$25=0,"",IF(INDEX('قاعدة البيانات'!$I$6:$I$305,$Q$25)="","— مفيش رقم —",HYPERLINK("tel:"&amp;INDEX('قاعدة البيانات'!$I$6:$I$305,$Q$25),"📞 "&amp;INDEX('قاعدة البيانات'!$I$6:$I$305,$Q$25))))</f>
        <v/>
      </c>
      <c r="H67" s="40" t="str">
        <f>IF(OR($Q$25=0,INDEX('قاعدة البيانات'!$I$6:$I$305,$Q$25)=""),"",HYPERLINK("https://wa.me/20"&amp;RIGHT(INDEX('قاعدة البيانات'!$I$6:$I$305,$Q$25),10),"💬 واتساب"))</f>
        <v/>
      </c>
      <c r="J67" s="38" t="str">
        <f>IF($Q$26=0,"","👨 بابا")</f>
        <v/>
      </c>
      <c r="K67" s="39" t="str">
        <f>IF($Q$26=0,"",IF(INDEX('قاعدة البيانات'!$I$6:$I$305,$Q$26)="","— مفيش رقم —",HYPERLINK("tel:"&amp;INDEX('قاعدة البيانات'!$I$6:$I$305,$Q$26),"📞 "&amp;INDEX('قاعدة البيانات'!$I$6:$I$305,$Q$26))))</f>
        <v/>
      </c>
      <c r="L67" s="40" t="str">
        <f>IF(OR($Q$26=0,INDEX('قاعدة البيانات'!$I$6:$I$305,$Q$26)=""),"",HYPERLINK("https://wa.me/20"&amp;RIGHT(INDEX('قاعدة البيانات'!$I$6:$I$305,$Q$26),10),"💬 واتساب"))</f>
        <v/>
      </c>
    </row>
    <row r="68" spans="2:12" ht="37.5" customHeight="1">
      <c r="B68" s="124" t="str">
        <f>IF($Q$24=0,"","📍 "&amp;IF(INDEX('قاعدة البيانات'!$J$6:$J$305,$Q$24)="","— مفيش عنوان —",INDEX('قاعدة البيانات'!$J$6:$J$305,$Q$24)))</f>
        <v/>
      </c>
      <c r="C68" s="124"/>
      <c r="D68" s="124"/>
      <c r="F68" s="124" t="str">
        <f>IF($Q$25=0,"","📍 "&amp;IF(INDEX('قاعدة البيانات'!$J$6:$J$305,$Q$25)="","— مفيش عنوان —",INDEX('قاعدة البيانات'!$J$6:$J$305,$Q$25)))</f>
        <v/>
      </c>
      <c r="G68" s="124"/>
      <c r="H68" s="124"/>
      <c r="J68" s="124" t="str">
        <f>IF($Q$26=0,"","📍 "&amp;IF(INDEX('قاعدة البيانات'!$J$6:$J$305,$Q$26)="","— مفيش عنوان —",INDEX('قاعدة البيانات'!$J$6:$J$305,$Q$26)))</f>
        <v/>
      </c>
      <c r="K68" s="124"/>
      <c r="L68" s="124"/>
    </row>
    <row r="69" spans="2:12" ht="21.75" customHeight="1">
      <c r="B69" s="125" t="str">
        <f>IF($Q$24=0,"","📊 إحصائيات الحضور")</f>
        <v/>
      </c>
      <c r="C69" s="125"/>
      <c r="D69" s="125"/>
      <c r="F69" s="125" t="str">
        <f>IF($Q$25=0,"","📊 إحصائيات الحضور")</f>
        <v/>
      </c>
      <c r="G69" s="125"/>
      <c r="H69" s="125"/>
      <c r="J69" s="125" t="str">
        <f>IF($Q$26=0,"","📊 إحصائيات الحضور")</f>
        <v/>
      </c>
      <c r="K69" s="125"/>
      <c r="L69" s="125"/>
    </row>
    <row r="70" spans="2:12" ht="15.75" customHeight="1">
      <c r="B70" s="41" t="str">
        <f>IF($Q$24=0,"","✅ حضور")</f>
        <v/>
      </c>
      <c r="C70" s="41" t="str">
        <f>IF($Q$24=0,"","❌ غياب")</f>
        <v/>
      </c>
      <c r="D70" s="41" t="str">
        <f>IF($Q$24=0,"","📈 النسبة")</f>
        <v/>
      </c>
      <c r="F70" s="41" t="str">
        <f>IF($Q$25=0,"","✅ حضور")</f>
        <v/>
      </c>
      <c r="G70" s="41" t="str">
        <f>IF($Q$25=0,"","❌ غياب")</f>
        <v/>
      </c>
      <c r="H70" s="41" t="str">
        <f>IF($Q$25=0,"","📈 النسبة")</f>
        <v/>
      </c>
      <c r="J70" s="41" t="str">
        <f>IF($Q$26=0,"","✅ حضور")</f>
        <v/>
      </c>
      <c r="K70" s="41" t="str">
        <f>IF($Q$26=0,"","❌ غياب")</f>
        <v/>
      </c>
      <c r="L70" s="41" t="str">
        <f>IF($Q$26=0,"","📈 النسبة")</f>
        <v/>
      </c>
    </row>
    <row r="71" spans="2:12" ht="33.75" customHeight="1">
      <c r="B71" s="42" t="str">
        <f>'حضور رفائيل'!C22</f>
        <v/>
      </c>
      <c r="C71" s="43" t="str">
        <f>'حضور رفائيل'!D22</f>
        <v/>
      </c>
      <c r="D71" s="44" t="str">
        <f>'حضور رفائيل'!F22</f>
        <v/>
      </c>
      <c r="F71" s="42" t="str">
        <f>'حضور رفائيل'!C23</f>
        <v/>
      </c>
      <c r="G71" s="43" t="str">
        <f>'حضور رفائيل'!D23</f>
        <v/>
      </c>
      <c r="H71" s="44" t="str">
        <f>'حضور رفائيل'!F23</f>
        <v/>
      </c>
      <c r="J71" s="42" t="str">
        <f>'حضور رفائيل'!C24</f>
        <v/>
      </c>
      <c r="K71" s="43" t="str">
        <f>'حضور رفائيل'!D24</f>
        <v/>
      </c>
      <c r="L71" s="44" t="str">
        <f>'حضور رفائيل'!F24</f>
        <v/>
      </c>
    </row>
    <row r="72" spans="2:12" ht="24" customHeight="1">
      <c r="B72" s="126" t="str">
        <f>'حضور رفائيل'!I22</f>
        <v/>
      </c>
      <c r="C72" s="126"/>
      <c r="D72" s="126"/>
      <c r="F72" s="126" t="str">
        <f>'حضور رفائيل'!I23</f>
        <v/>
      </c>
      <c r="G72" s="126"/>
      <c r="H72" s="126"/>
      <c r="J72" s="126" t="str">
        <f>'حضور رفائيل'!I24</f>
        <v/>
      </c>
      <c r="K72" s="126"/>
      <c r="L72" s="126"/>
    </row>
    <row r="73" spans="2:12" ht="19.5" customHeight="1">
      <c r="B73" s="127" t="str">
        <f>IF($Q$24=0,"","🗓️ آخر حضور: "&amp;IF(ISNUMBER('حضور رفائيل'!H22),DAY('حضور رفائيل'!H22)&amp;"/"&amp;MONTH('حضور رفائيل'!H22)&amp;"/"&amp;YEAR('حضور رفائيل'!H22),"—")&amp;"   •   غياب متتالي: "&amp;'حضور رفائيل'!G22)</f>
        <v/>
      </c>
      <c r="C73" s="127"/>
      <c r="D73" s="127"/>
      <c r="F73" s="127" t="str">
        <f>IF($Q$25=0,"","🗓️ آخر حضور: "&amp;IF(ISNUMBER('حضور رفائيل'!H23),DAY('حضور رفائيل'!H23)&amp;"/"&amp;MONTH('حضور رفائيل'!H23)&amp;"/"&amp;YEAR('حضور رفائيل'!H23),"—")&amp;"   •   غياب متتالي: "&amp;'حضور رفائيل'!G23)</f>
        <v/>
      </c>
      <c r="G73" s="127"/>
      <c r="H73" s="127"/>
      <c r="J73" s="127" t="str">
        <f>IF($Q$26=0,"","🗓️ آخر حضور: "&amp;IF(ISNUMBER('حضور رفائيل'!H24),DAY('حضور رفائيل'!H24)&amp;"/"&amp;MONTH('حضور رفائيل'!H24)&amp;"/"&amp;YEAR('حضور رفائيل'!H24),"—")&amp;"   •   غياب متتالي: "&amp;'حضور رفائيل'!G24)</f>
        <v/>
      </c>
      <c r="K73" s="127"/>
      <c r="L73" s="127"/>
    </row>
    <row r="74" spans="2:12" ht="13.5" customHeight="1"/>
    <row r="75" spans="2:12" ht="30" customHeight="1">
      <c r="B75" s="122" t="str">
        <f>IF($Q$27=0,"",IF(INDEX('قاعدة البيانات'!$D$6:$D$305,$Q$27)="بنت","👧 ","👦 ")&amp;INDEX('قاعدة البيانات'!$C$6:$C$305,$Q$27))</f>
        <v/>
      </c>
      <c r="C75" s="122"/>
      <c r="D75" s="122"/>
      <c r="F75" s="122" t="str">
        <f>IF($Q$28=0,"",IF(INDEX('قاعدة البيانات'!$D$6:$D$305,$Q$28)="بنت","👧 ","👦 ")&amp;INDEX('قاعدة البيانات'!$C$6:$C$305,$Q$28))</f>
        <v/>
      </c>
      <c r="G75" s="122"/>
      <c r="H75" s="122"/>
      <c r="J75" s="122" t="str">
        <f>IF($Q$29=0,"",IF(INDEX('قاعدة البيانات'!$D$6:$D$305,$Q$29)="بنت","👧 ","👦 ")&amp;INDEX('قاعدة البيانات'!$C$6:$C$305,$Q$29))</f>
        <v/>
      </c>
      <c r="K75" s="122"/>
      <c r="L75" s="122"/>
    </row>
    <row r="76" spans="2:12" ht="108" customHeight="1">
      <c r="B76" s="37" t="str">
        <f>IF($Q$27=0,"",IF(ISBLANK(INDEX('قاعدة البيانات'!$K$6:$K$305,$Q$27)),LEFT(INDEX('قاعدة البيانات'!$C$6:$C$305,$Q$27),1),INDEX('قاعدة البيانات'!$K$6:$K$305,$Q$27)))</f>
        <v/>
      </c>
      <c r="C76" s="123"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c>
      <c r="D76" s="123"/>
      <c r="F76" s="37" t="str">
        <f>IF($Q$28=0,"",IF(ISBLANK(INDEX('قاعدة البيانات'!$K$6:$K$305,$Q$28)),LEFT(INDEX('قاعدة البيانات'!$C$6:$C$305,$Q$28),1),INDEX('قاعدة البيانات'!$K$6:$K$305,$Q$28)))</f>
        <v/>
      </c>
      <c r="G76" s="123"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c>
      <c r="H76" s="123"/>
      <c r="J76" s="37" t="str">
        <f>IF($Q$29=0,"",IF(ISBLANK(INDEX('قاعدة البيانات'!$K$6:$K$305,$Q$29)),LEFT(INDEX('قاعدة البيانات'!$C$6:$C$305,$Q$29),1),INDEX('قاعدة البيانات'!$K$6:$K$305,$Q$29)))</f>
        <v/>
      </c>
      <c r="K76" s="123"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c>
      <c r="L76" s="123"/>
    </row>
    <row r="77" spans="2:12" ht="24" customHeight="1">
      <c r="B77" s="38" t="str">
        <f>IF($Q$27=0,"","👩 ماما")</f>
        <v/>
      </c>
      <c r="C77" s="39" t="str">
        <f>IF($Q$27=0,"",IF(INDEX('قاعدة البيانات'!$H$6:$H$305,$Q$27)="","— مفيش رقم —",HYPERLINK("tel:"&amp;INDEX('قاعدة البيانات'!$H$6:$H$305,$Q$27),"📞 "&amp;INDEX('قاعدة البيانات'!$H$6:$H$305,$Q$27))))</f>
        <v/>
      </c>
      <c r="D77" s="40" t="str">
        <f>IF(OR($Q$27=0,INDEX('قاعدة البيانات'!$H$6:$H$305,$Q$27)=""),"",HYPERLINK("https://wa.me/20"&amp;RIGHT(INDEX('قاعدة البيانات'!$H$6:$H$305,$Q$27),10),"💬 واتساب"))</f>
        <v/>
      </c>
      <c r="F77" s="38" t="str">
        <f>IF($Q$28=0,"","👩 ماما")</f>
        <v/>
      </c>
      <c r="G77" s="39" t="str">
        <f>IF($Q$28=0,"",IF(INDEX('قاعدة البيانات'!$H$6:$H$305,$Q$28)="","— مفيش رقم —",HYPERLINK("tel:"&amp;INDEX('قاعدة البيانات'!$H$6:$H$305,$Q$28),"📞 "&amp;INDEX('قاعدة البيانات'!$H$6:$H$305,$Q$28))))</f>
        <v/>
      </c>
      <c r="H77" s="40" t="str">
        <f>IF(OR($Q$28=0,INDEX('قاعدة البيانات'!$H$6:$H$305,$Q$28)=""),"",HYPERLINK("https://wa.me/20"&amp;RIGHT(INDEX('قاعدة البيانات'!$H$6:$H$305,$Q$28),10),"💬 واتساب"))</f>
        <v/>
      </c>
      <c r="J77" s="38" t="str">
        <f>IF($Q$29=0,"","👩 ماما")</f>
        <v/>
      </c>
      <c r="K77" s="39" t="str">
        <f>IF($Q$29=0,"",IF(INDEX('قاعدة البيانات'!$H$6:$H$305,$Q$29)="","— مفيش رقم —",HYPERLINK("tel:"&amp;INDEX('قاعدة البيانات'!$H$6:$H$305,$Q$29),"📞 "&amp;INDEX('قاعدة البيانات'!$H$6:$H$305,$Q$29))))</f>
        <v/>
      </c>
      <c r="L77" s="40" t="str">
        <f>IF(OR($Q$29=0,INDEX('قاعدة البيانات'!$H$6:$H$305,$Q$29)=""),"",HYPERLINK("https://wa.me/20"&amp;RIGHT(INDEX('قاعدة البيانات'!$H$6:$H$305,$Q$29),10),"💬 واتساب"))</f>
        <v/>
      </c>
    </row>
    <row r="78" spans="2:12" ht="24" customHeight="1">
      <c r="B78" s="38" t="str">
        <f>IF($Q$27=0,"","👨 بابا")</f>
        <v/>
      </c>
      <c r="C78" s="39" t="str">
        <f>IF($Q$27=0,"",IF(INDEX('قاعدة البيانات'!$I$6:$I$305,$Q$27)="","— مفيش رقم —",HYPERLINK("tel:"&amp;INDEX('قاعدة البيانات'!$I$6:$I$305,$Q$27),"📞 "&amp;INDEX('قاعدة البيانات'!$I$6:$I$305,$Q$27))))</f>
        <v/>
      </c>
      <c r="D78" s="40" t="str">
        <f>IF(OR($Q$27=0,INDEX('قاعدة البيانات'!$I$6:$I$305,$Q$27)=""),"",HYPERLINK("https://wa.me/20"&amp;RIGHT(INDEX('قاعدة البيانات'!$I$6:$I$305,$Q$27),10),"💬 واتساب"))</f>
        <v/>
      </c>
      <c r="F78" s="38" t="str">
        <f>IF($Q$28=0,"","👨 بابا")</f>
        <v/>
      </c>
      <c r="G78" s="39" t="str">
        <f>IF($Q$28=0,"",IF(INDEX('قاعدة البيانات'!$I$6:$I$305,$Q$28)="","— مفيش رقم —",HYPERLINK("tel:"&amp;INDEX('قاعدة البيانات'!$I$6:$I$305,$Q$28),"📞 "&amp;INDEX('قاعدة البيانات'!$I$6:$I$305,$Q$28))))</f>
        <v/>
      </c>
      <c r="H78" s="40" t="str">
        <f>IF(OR($Q$28=0,INDEX('قاعدة البيانات'!$I$6:$I$305,$Q$28)=""),"",HYPERLINK("https://wa.me/20"&amp;RIGHT(INDEX('قاعدة البيانات'!$I$6:$I$305,$Q$28),10),"💬 واتساب"))</f>
        <v/>
      </c>
      <c r="J78" s="38" t="str">
        <f>IF($Q$29=0,"","👨 بابا")</f>
        <v/>
      </c>
      <c r="K78" s="39" t="str">
        <f>IF($Q$29=0,"",IF(INDEX('قاعدة البيانات'!$I$6:$I$305,$Q$29)="","— مفيش رقم —",HYPERLINK("tel:"&amp;INDEX('قاعدة البيانات'!$I$6:$I$305,$Q$29),"📞 "&amp;INDEX('قاعدة البيانات'!$I$6:$I$305,$Q$29))))</f>
        <v/>
      </c>
      <c r="L78" s="40" t="str">
        <f>IF(OR($Q$29=0,INDEX('قاعدة البيانات'!$I$6:$I$305,$Q$29)=""),"",HYPERLINK("https://wa.me/20"&amp;RIGHT(INDEX('قاعدة البيانات'!$I$6:$I$305,$Q$29),10),"💬 واتساب"))</f>
        <v/>
      </c>
    </row>
    <row r="79" spans="2:12" ht="37.5" customHeight="1">
      <c r="B79" s="124" t="str">
        <f>IF($Q$27=0,"","📍 "&amp;IF(INDEX('قاعدة البيانات'!$J$6:$J$305,$Q$27)="","— مفيش عنوان —",INDEX('قاعدة البيانات'!$J$6:$J$305,$Q$27)))</f>
        <v/>
      </c>
      <c r="C79" s="124"/>
      <c r="D79" s="124"/>
      <c r="F79" s="124" t="str">
        <f>IF($Q$28=0,"","📍 "&amp;IF(INDEX('قاعدة البيانات'!$J$6:$J$305,$Q$28)="","— مفيش عنوان —",INDEX('قاعدة البيانات'!$J$6:$J$305,$Q$28)))</f>
        <v/>
      </c>
      <c r="G79" s="124"/>
      <c r="H79" s="124"/>
      <c r="J79" s="124" t="str">
        <f>IF($Q$29=0,"","📍 "&amp;IF(INDEX('قاعدة البيانات'!$J$6:$J$305,$Q$29)="","— مفيش عنوان —",INDEX('قاعدة البيانات'!$J$6:$J$305,$Q$29)))</f>
        <v/>
      </c>
      <c r="K79" s="124"/>
      <c r="L79" s="124"/>
    </row>
    <row r="80" spans="2:12" ht="21.75" customHeight="1">
      <c r="B80" s="125" t="str">
        <f>IF($Q$27=0,"","📊 إحصائيات الحضور")</f>
        <v/>
      </c>
      <c r="C80" s="125"/>
      <c r="D80" s="125"/>
      <c r="F80" s="125" t="str">
        <f>IF($Q$28=0,"","📊 إحصائيات الحضور")</f>
        <v/>
      </c>
      <c r="G80" s="125"/>
      <c r="H80" s="125"/>
      <c r="J80" s="125" t="str">
        <f>IF($Q$29=0,"","📊 إحصائيات الحضور")</f>
        <v/>
      </c>
      <c r="K80" s="125"/>
      <c r="L80" s="125"/>
    </row>
    <row r="81" spans="2:12" ht="15.75" customHeight="1">
      <c r="B81" s="41" t="str">
        <f>IF($Q$27=0,"","✅ حضور")</f>
        <v/>
      </c>
      <c r="C81" s="41" t="str">
        <f>IF($Q$27=0,"","❌ غياب")</f>
        <v/>
      </c>
      <c r="D81" s="41" t="str">
        <f>IF($Q$27=0,"","📈 النسبة")</f>
        <v/>
      </c>
      <c r="F81" s="41" t="str">
        <f>IF($Q$28=0,"","✅ حضور")</f>
        <v/>
      </c>
      <c r="G81" s="41" t="str">
        <f>IF($Q$28=0,"","❌ غياب")</f>
        <v/>
      </c>
      <c r="H81" s="41" t="str">
        <f>IF($Q$28=0,"","📈 النسبة")</f>
        <v/>
      </c>
      <c r="J81" s="41" t="str">
        <f>IF($Q$29=0,"","✅ حضور")</f>
        <v/>
      </c>
      <c r="K81" s="41" t="str">
        <f>IF($Q$29=0,"","❌ غياب")</f>
        <v/>
      </c>
      <c r="L81" s="41" t="str">
        <f>IF($Q$29=0,"","📈 النسبة")</f>
        <v/>
      </c>
    </row>
    <row r="82" spans="2:12" ht="33.75" customHeight="1">
      <c r="B82" s="42" t="str">
        <f>'حضور رفائيل'!C25</f>
        <v/>
      </c>
      <c r="C82" s="43" t="str">
        <f>'حضور رفائيل'!D25</f>
        <v/>
      </c>
      <c r="D82" s="44" t="str">
        <f>'حضور رفائيل'!F25</f>
        <v/>
      </c>
      <c r="F82" s="42" t="str">
        <f>'حضور رفائيل'!C26</f>
        <v/>
      </c>
      <c r="G82" s="43" t="str">
        <f>'حضور رفائيل'!D26</f>
        <v/>
      </c>
      <c r="H82" s="44" t="str">
        <f>'حضور رفائيل'!F26</f>
        <v/>
      </c>
      <c r="J82" s="42" t="str">
        <f>'حضور رفائيل'!C27</f>
        <v/>
      </c>
      <c r="K82" s="43" t="str">
        <f>'حضور رفائيل'!D27</f>
        <v/>
      </c>
      <c r="L82" s="44" t="str">
        <f>'حضور رفائيل'!F27</f>
        <v/>
      </c>
    </row>
    <row r="83" spans="2:12" ht="24" customHeight="1">
      <c r="B83" s="126" t="str">
        <f>'حضور رفائيل'!I25</f>
        <v/>
      </c>
      <c r="C83" s="126"/>
      <c r="D83" s="126"/>
      <c r="F83" s="126" t="str">
        <f>'حضور رفائيل'!I26</f>
        <v/>
      </c>
      <c r="G83" s="126"/>
      <c r="H83" s="126"/>
      <c r="J83" s="126" t="str">
        <f>'حضور رفائيل'!I27</f>
        <v/>
      </c>
      <c r="K83" s="126"/>
      <c r="L83" s="126"/>
    </row>
    <row r="84" spans="2:12" ht="19.5" customHeight="1">
      <c r="B84" s="127" t="str">
        <f>IF($Q$27=0,"","🗓️ آخر حضور: "&amp;IF(ISNUMBER('حضور رفائيل'!H25),DAY('حضور رفائيل'!H25)&amp;"/"&amp;MONTH('حضور رفائيل'!H25)&amp;"/"&amp;YEAR('حضور رفائيل'!H25),"—")&amp;"   •   غياب متتالي: "&amp;'حضور رفائيل'!G25)</f>
        <v/>
      </c>
      <c r="C84" s="127"/>
      <c r="D84" s="127"/>
      <c r="F84" s="127" t="str">
        <f>IF($Q$28=0,"","🗓️ آخر حضور: "&amp;IF(ISNUMBER('حضور رفائيل'!H26),DAY('حضور رفائيل'!H26)&amp;"/"&amp;MONTH('حضور رفائيل'!H26)&amp;"/"&amp;YEAR('حضور رفائيل'!H26),"—")&amp;"   •   غياب متتالي: "&amp;'حضور رفائيل'!G26)</f>
        <v/>
      </c>
      <c r="G84" s="127"/>
      <c r="H84" s="127"/>
      <c r="J84" s="127" t="str">
        <f>IF($Q$29=0,"","🗓️ آخر حضور: "&amp;IF(ISNUMBER('حضور رفائيل'!H27),DAY('حضور رفائيل'!H27)&amp;"/"&amp;MONTH('حضور رفائيل'!H27)&amp;"/"&amp;YEAR('حضور رفائيل'!H27),"—")&amp;"   •   غياب متتالي: "&amp;'حضور رفائيل'!G27)</f>
        <v/>
      </c>
      <c r="K84" s="127"/>
      <c r="L84" s="127"/>
    </row>
    <row r="85" spans="2:12" ht="13.5" customHeight="1"/>
    <row r="86" spans="2:12" ht="30" customHeight="1">
      <c r="B86" s="122" t="str">
        <f>IF($Q$30=0,"",IF(INDEX('قاعدة البيانات'!$D$6:$D$305,$Q$30)="بنت","👧 ","👦 ")&amp;INDEX('قاعدة البيانات'!$C$6:$C$305,$Q$30))</f>
        <v/>
      </c>
      <c r="C86" s="122"/>
      <c r="D86" s="122"/>
      <c r="F86" s="122" t="str">
        <f>IF($Q$31=0,"",IF(INDEX('قاعدة البيانات'!$D$6:$D$305,$Q$31)="بنت","👧 ","👦 ")&amp;INDEX('قاعدة البيانات'!$C$6:$C$305,$Q$31))</f>
        <v/>
      </c>
      <c r="G86" s="122"/>
      <c r="H86" s="122"/>
      <c r="J86" s="122" t="str">
        <f>IF($Q$32=0,"",IF(INDEX('قاعدة البيانات'!$D$6:$D$305,$Q$32)="بنت","👧 ","👦 ")&amp;INDEX('قاعدة البيانات'!$C$6:$C$305,$Q$32))</f>
        <v/>
      </c>
      <c r="K86" s="122"/>
      <c r="L86" s="122"/>
    </row>
    <row r="87" spans="2:12" ht="108" customHeight="1">
      <c r="B87" s="37" t="str">
        <f>IF($Q$30=0,"",IF(ISBLANK(INDEX('قاعدة البيانات'!$K$6:$K$305,$Q$30)),LEFT(INDEX('قاعدة البيانات'!$C$6:$C$305,$Q$30),1),INDEX('قاعدة البيانات'!$K$6:$K$305,$Q$30)))</f>
        <v/>
      </c>
      <c r="C87" s="123"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c>
      <c r="D87" s="123"/>
      <c r="F87" s="37" t="str">
        <f>IF($Q$31=0,"",IF(ISBLANK(INDEX('قاعدة البيانات'!$K$6:$K$305,$Q$31)),LEFT(INDEX('قاعدة البيانات'!$C$6:$C$305,$Q$31),1),INDEX('قاعدة البيانات'!$K$6:$K$305,$Q$31)))</f>
        <v/>
      </c>
      <c r="G87" s="123"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c>
      <c r="H87" s="123"/>
      <c r="J87" s="37" t="str">
        <f>IF($Q$32=0,"",IF(ISBLANK(INDEX('قاعدة البيانات'!$K$6:$K$305,$Q$32)),LEFT(INDEX('قاعدة البيانات'!$C$6:$C$305,$Q$32),1),INDEX('قاعدة البيانات'!$K$6:$K$305,$Q$32)))</f>
        <v/>
      </c>
      <c r="K87" s="123"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c>
      <c r="L87" s="123"/>
    </row>
    <row r="88" spans="2:12" ht="24" customHeight="1">
      <c r="B88" s="38" t="str">
        <f>IF($Q$30=0,"","👩 ماما")</f>
        <v/>
      </c>
      <c r="C88" s="39" t="str">
        <f>IF($Q$30=0,"",IF(INDEX('قاعدة البيانات'!$H$6:$H$305,$Q$30)="","— مفيش رقم —",HYPERLINK("tel:"&amp;INDEX('قاعدة البيانات'!$H$6:$H$305,$Q$30),"📞 "&amp;INDEX('قاعدة البيانات'!$H$6:$H$305,$Q$30))))</f>
        <v/>
      </c>
      <c r="D88" s="40" t="str">
        <f>IF(OR($Q$30=0,INDEX('قاعدة البيانات'!$H$6:$H$305,$Q$30)=""),"",HYPERLINK("https://wa.me/20"&amp;RIGHT(INDEX('قاعدة البيانات'!$H$6:$H$305,$Q$30),10),"💬 واتساب"))</f>
        <v/>
      </c>
      <c r="F88" s="38" t="str">
        <f>IF($Q$31=0,"","👩 ماما")</f>
        <v/>
      </c>
      <c r="G88" s="39" t="str">
        <f>IF($Q$31=0,"",IF(INDEX('قاعدة البيانات'!$H$6:$H$305,$Q$31)="","— مفيش رقم —",HYPERLINK("tel:"&amp;INDEX('قاعدة البيانات'!$H$6:$H$305,$Q$31),"📞 "&amp;INDEX('قاعدة البيانات'!$H$6:$H$305,$Q$31))))</f>
        <v/>
      </c>
      <c r="H88" s="40" t="str">
        <f>IF(OR($Q$31=0,INDEX('قاعدة البيانات'!$H$6:$H$305,$Q$31)=""),"",HYPERLINK("https://wa.me/20"&amp;RIGHT(INDEX('قاعدة البيانات'!$H$6:$H$305,$Q$31),10),"💬 واتساب"))</f>
        <v/>
      </c>
      <c r="J88" s="38" t="str">
        <f>IF($Q$32=0,"","👩 ماما")</f>
        <v/>
      </c>
      <c r="K88" s="39" t="str">
        <f>IF($Q$32=0,"",IF(INDEX('قاعدة البيانات'!$H$6:$H$305,$Q$32)="","— مفيش رقم —",HYPERLINK("tel:"&amp;INDEX('قاعدة البيانات'!$H$6:$H$305,$Q$32),"📞 "&amp;INDEX('قاعدة البيانات'!$H$6:$H$305,$Q$32))))</f>
        <v/>
      </c>
      <c r="L88" s="40" t="str">
        <f>IF(OR($Q$32=0,INDEX('قاعدة البيانات'!$H$6:$H$305,$Q$32)=""),"",HYPERLINK("https://wa.me/20"&amp;RIGHT(INDEX('قاعدة البيانات'!$H$6:$H$305,$Q$32),10),"💬 واتساب"))</f>
        <v/>
      </c>
    </row>
    <row r="89" spans="2:12" ht="24" customHeight="1">
      <c r="B89" s="38" t="str">
        <f>IF($Q$30=0,"","👨 بابا")</f>
        <v/>
      </c>
      <c r="C89" s="39" t="str">
        <f>IF($Q$30=0,"",IF(INDEX('قاعدة البيانات'!$I$6:$I$305,$Q$30)="","— مفيش رقم —",HYPERLINK("tel:"&amp;INDEX('قاعدة البيانات'!$I$6:$I$305,$Q$30),"📞 "&amp;INDEX('قاعدة البيانات'!$I$6:$I$305,$Q$30))))</f>
        <v/>
      </c>
      <c r="D89" s="40" t="str">
        <f>IF(OR($Q$30=0,INDEX('قاعدة البيانات'!$I$6:$I$305,$Q$30)=""),"",HYPERLINK("https://wa.me/20"&amp;RIGHT(INDEX('قاعدة البيانات'!$I$6:$I$305,$Q$30),10),"💬 واتساب"))</f>
        <v/>
      </c>
      <c r="F89" s="38" t="str">
        <f>IF($Q$31=0,"","👨 بابا")</f>
        <v/>
      </c>
      <c r="G89" s="39" t="str">
        <f>IF($Q$31=0,"",IF(INDEX('قاعدة البيانات'!$I$6:$I$305,$Q$31)="","— مفيش رقم —",HYPERLINK("tel:"&amp;INDEX('قاعدة البيانات'!$I$6:$I$305,$Q$31),"📞 "&amp;INDEX('قاعدة البيانات'!$I$6:$I$305,$Q$31))))</f>
        <v/>
      </c>
      <c r="H89" s="40" t="str">
        <f>IF(OR($Q$31=0,INDEX('قاعدة البيانات'!$I$6:$I$305,$Q$31)=""),"",HYPERLINK("https://wa.me/20"&amp;RIGHT(INDEX('قاعدة البيانات'!$I$6:$I$305,$Q$31),10),"💬 واتساب"))</f>
        <v/>
      </c>
      <c r="J89" s="38" t="str">
        <f>IF($Q$32=0,"","👨 بابا")</f>
        <v/>
      </c>
      <c r="K89" s="39" t="str">
        <f>IF($Q$32=0,"",IF(INDEX('قاعدة البيانات'!$I$6:$I$305,$Q$32)="","— مفيش رقم —",HYPERLINK("tel:"&amp;INDEX('قاعدة البيانات'!$I$6:$I$305,$Q$32),"📞 "&amp;INDEX('قاعدة البيانات'!$I$6:$I$305,$Q$32))))</f>
        <v/>
      </c>
      <c r="L89" s="40" t="str">
        <f>IF(OR($Q$32=0,INDEX('قاعدة البيانات'!$I$6:$I$305,$Q$32)=""),"",HYPERLINK("https://wa.me/20"&amp;RIGHT(INDEX('قاعدة البيانات'!$I$6:$I$305,$Q$32),10),"💬 واتساب"))</f>
        <v/>
      </c>
    </row>
    <row r="90" spans="2:12" ht="37.5" customHeight="1">
      <c r="B90" s="124" t="str">
        <f>IF($Q$30=0,"","📍 "&amp;IF(INDEX('قاعدة البيانات'!$J$6:$J$305,$Q$30)="","— مفيش عنوان —",INDEX('قاعدة البيانات'!$J$6:$J$305,$Q$30)))</f>
        <v/>
      </c>
      <c r="C90" s="124"/>
      <c r="D90" s="124"/>
      <c r="F90" s="124" t="str">
        <f>IF($Q$31=0,"","📍 "&amp;IF(INDEX('قاعدة البيانات'!$J$6:$J$305,$Q$31)="","— مفيش عنوان —",INDEX('قاعدة البيانات'!$J$6:$J$305,$Q$31)))</f>
        <v/>
      </c>
      <c r="G90" s="124"/>
      <c r="H90" s="124"/>
      <c r="J90" s="124" t="str">
        <f>IF($Q$32=0,"","📍 "&amp;IF(INDEX('قاعدة البيانات'!$J$6:$J$305,$Q$32)="","— مفيش عنوان —",INDEX('قاعدة البيانات'!$J$6:$J$305,$Q$32)))</f>
        <v/>
      </c>
      <c r="K90" s="124"/>
      <c r="L90" s="124"/>
    </row>
    <row r="91" spans="2:12" ht="21.75" customHeight="1">
      <c r="B91" s="125" t="str">
        <f>IF($Q$30=0,"","📊 إحصائيات الحضور")</f>
        <v/>
      </c>
      <c r="C91" s="125"/>
      <c r="D91" s="125"/>
      <c r="F91" s="125" t="str">
        <f>IF($Q$31=0,"","📊 إحصائيات الحضور")</f>
        <v/>
      </c>
      <c r="G91" s="125"/>
      <c r="H91" s="125"/>
      <c r="J91" s="125" t="str">
        <f>IF($Q$32=0,"","📊 إحصائيات الحضور")</f>
        <v/>
      </c>
      <c r="K91" s="125"/>
      <c r="L91" s="125"/>
    </row>
    <row r="92" spans="2:12" ht="15.75" customHeight="1">
      <c r="B92" s="41" t="str">
        <f>IF($Q$30=0,"","✅ حضور")</f>
        <v/>
      </c>
      <c r="C92" s="41" t="str">
        <f>IF($Q$30=0,"","❌ غياب")</f>
        <v/>
      </c>
      <c r="D92" s="41" t="str">
        <f>IF($Q$30=0,"","📈 النسبة")</f>
        <v/>
      </c>
      <c r="F92" s="41" t="str">
        <f>IF($Q$31=0,"","✅ حضور")</f>
        <v/>
      </c>
      <c r="G92" s="41" t="str">
        <f>IF($Q$31=0,"","❌ غياب")</f>
        <v/>
      </c>
      <c r="H92" s="41" t="str">
        <f>IF($Q$31=0,"","📈 النسبة")</f>
        <v/>
      </c>
      <c r="J92" s="41" t="str">
        <f>IF($Q$32=0,"","✅ حضور")</f>
        <v/>
      </c>
      <c r="K92" s="41" t="str">
        <f>IF($Q$32=0,"","❌ غياب")</f>
        <v/>
      </c>
      <c r="L92" s="41" t="str">
        <f>IF($Q$32=0,"","📈 النسبة")</f>
        <v/>
      </c>
    </row>
    <row r="93" spans="2:12" ht="33.75" customHeight="1">
      <c r="B93" s="42" t="str">
        <f>'حضور رفائيل'!C28</f>
        <v/>
      </c>
      <c r="C93" s="43" t="str">
        <f>'حضور رفائيل'!D28</f>
        <v/>
      </c>
      <c r="D93" s="44" t="str">
        <f>'حضور رفائيل'!F28</f>
        <v/>
      </c>
      <c r="F93" s="42" t="str">
        <f>'حضور رفائيل'!C29</f>
        <v/>
      </c>
      <c r="G93" s="43" t="str">
        <f>'حضور رفائيل'!D29</f>
        <v/>
      </c>
      <c r="H93" s="44" t="str">
        <f>'حضور رفائيل'!F29</f>
        <v/>
      </c>
      <c r="J93" s="42" t="str">
        <f>'حضور رفائيل'!C30</f>
        <v/>
      </c>
      <c r="K93" s="43" t="str">
        <f>'حضور رفائيل'!D30</f>
        <v/>
      </c>
      <c r="L93" s="44" t="str">
        <f>'حضور رفائيل'!F30</f>
        <v/>
      </c>
    </row>
    <row r="94" spans="2:12" ht="24" customHeight="1">
      <c r="B94" s="126" t="str">
        <f>'حضور رفائيل'!I28</f>
        <v/>
      </c>
      <c r="C94" s="126"/>
      <c r="D94" s="126"/>
      <c r="F94" s="126" t="str">
        <f>'حضور رفائيل'!I29</f>
        <v/>
      </c>
      <c r="G94" s="126"/>
      <c r="H94" s="126"/>
      <c r="J94" s="126" t="str">
        <f>'حضور رفائيل'!I30</f>
        <v/>
      </c>
      <c r="K94" s="126"/>
      <c r="L94" s="126"/>
    </row>
    <row r="95" spans="2:12" ht="19.5" customHeight="1">
      <c r="B95" s="127" t="str">
        <f>IF($Q$30=0,"","🗓️ آخر حضور: "&amp;IF(ISNUMBER('حضور رفائيل'!H28),DAY('حضور رفائيل'!H28)&amp;"/"&amp;MONTH('حضور رفائيل'!H28)&amp;"/"&amp;YEAR('حضور رفائيل'!H28),"—")&amp;"   •   غياب متتالي: "&amp;'حضور رفائيل'!G28)</f>
        <v/>
      </c>
      <c r="C95" s="127"/>
      <c r="D95" s="127"/>
      <c r="F95" s="127" t="str">
        <f>IF($Q$31=0,"","🗓️ آخر حضور: "&amp;IF(ISNUMBER('حضور رفائيل'!H29),DAY('حضور رفائيل'!H29)&amp;"/"&amp;MONTH('حضور رفائيل'!H29)&amp;"/"&amp;YEAR('حضور رفائيل'!H29),"—")&amp;"   •   غياب متتالي: "&amp;'حضور رفائيل'!G29)</f>
        <v/>
      </c>
      <c r="G95" s="127"/>
      <c r="H95" s="127"/>
      <c r="J95" s="127" t="str">
        <f>IF($Q$32=0,"","🗓️ آخر حضور: "&amp;IF(ISNUMBER('حضور رفائيل'!H30),DAY('حضور رفائيل'!H30)&amp;"/"&amp;MONTH('حضور رفائيل'!H30)&amp;"/"&amp;YEAR('حضور رفائيل'!H30),"—")&amp;"   •   غياب متتالي: "&amp;'حضور رفائيل'!G30)</f>
        <v/>
      </c>
      <c r="K95" s="127"/>
      <c r="L95" s="127"/>
    </row>
    <row r="96" spans="2:12" ht="13.5" customHeight="1"/>
    <row r="97" spans="2:12" ht="30" customHeight="1">
      <c r="B97" s="122" t="str">
        <f>IF($Q$33=0,"",IF(INDEX('قاعدة البيانات'!$D$6:$D$305,$Q$33)="بنت","👧 ","👦 ")&amp;INDEX('قاعدة البيانات'!$C$6:$C$305,$Q$33))</f>
        <v/>
      </c>
      <c r="C97" s="122"/>
      <c r="D97" s="122"/>
      <c r="F97" s="122" t="str">
        <f>IF($Q$34=0,"",IF(INDEX('قاعدة البيانات'!$D$6:$D$305,$Q$34)="بنت","👧 ","👦 ")&amp;INDEX('قاعدة البيانات'!$C$6:$C$305,$Q$34))</f>
        <v/>
      </c>
      <c r="G97" s="122"/>
      <c r="H97" s="122"/>
      <c r="J97" s="122" t="str">
        <f>IF($Q$35=0,"",IF(INDEX('قاعدة البيانات'!$D$6:$D$305,$Q$35)="بنت","👧 ","👦 ")&amp;INDEX('قاعدة البيانات'!$C$6:$C$305,$Q$35))</f>
        <v/>
      </c>
      <c r="K97" s="122"/>
      <c r="L97" s="122"/>
    </row>
    <row r="98" spans="2:12" ht="108" customHeight="1">
      <c r="B98" s="37" t="str">
        <f>IF($Q$33=0,"",IF(ISBLANK(INDEX('قاعدة البيانات'!$K$6:$K$305,$Q$33)),LEFT(INDEX('قاعدة البيانات'!$C$6:$C$305,$Q$33),1),INDEX('قاعدة البيانات'!$K$6:$K$305,$Q$33)))</f>
        <v/>
      </c>
      <c r="C98" s="123"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23"/>
      <c r="F98" s="37" t="str">
        <f>IF($Q$34=0,"",IF(ISBLANK(INDEX('قاعدة البيانات'!$K$6:$K$305,$Q$34)),LEFT(INDEX('قاعدة البيانات'!$C$6:$C$305,$Q$34),1),INDEX('قاعدة البيانات'!$K$6:$K$305,$Q$34)))</f>
        <v/>
      </c>
      <c r="G98" s="123"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23"/>
      <c r="J98" s="37" t="str">
        <f>IF($Q$35=0,"",IF(ISBLANK(INDEX('قاعدة البيانات'!$K$6:$K$305,$Q$35)),LEFT(INDEX('قاعدة البيانات'!$C$6:$C$305,$Q$35),1),INDEX('قاعدة البيانات'!$K$6:$K$305,$Q$35)))</f>
        <v/>
      </c>
      <c r="K98" s="123"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23"/>
    </row>
    <row r="99" spans="2:12" ht="24" customHeight="1">
      <c r="B99" s="38" t="str">
        <f>IF($Q$33=0,"","👩 ماما")</f>
        <v/>
      </c>
      <c r="C99" s="39" t="str">
        <f>IF($Q$33=0,"",IF(INDEX('قاعدة البيانات'!$H$6:$H$305,$Q$33)="","— مفيش رقم —",HYPERLINK("tel:"&amp;INDEX('قاعدة البيانات'!$H$6:$H$305,$Q$33),"📞 "&amp;INDEX('قاعدة البيانات'!$H$6:$H$305,$Q$33))))</f>
        <v/>
      </c>
      <c r="D99" s="40" t="str">
        <f>IF(OR($Q$33=0,INDEX('قاعدة البيانات'!$H$6:$H$305,$Q$33)=""),"",HYPERLINK("https://wa.me/20"&amp;RIGHT(INDEX('قاعدة البيانات'!$H$6:$H$305,$Q$33),10),"💬 واتساب"))</f>
        <v/>
      </c>
      <c r="F99" s="38" t="str">
        <f>IF($Q$34=0,"","👩 ماما")</f>
        <v/>
      </c>
      <c r="G99" s="39" t="str">
        <f>IF($Q$34=0,"",IF(INDEX('قاعدة البيانات'!$H$6:$H$305,$Q$34)="","— مفيش رقم —",HYPERLINK("tel:"&amp;INDEX('قاعدة البيانات'!$H$6:$H$305,$Q$34),"📞 "&amp;INDEX('قاعدة البيانات'!$H$6:$H$305,$Q$34))))</f>
        <v/>
      </c>
      <c r="H99" s="40" t="str">
        <f>IF(OR($Q$34=0,INDEX('قاعدة البيانات'!$H$6:$H$305,$Q$34)=""),"",HYPERLINK("https://wa.me/20"&amp;RIGHT(INDEX('قاعدة البيانات'!$H$6:$H$305,$Q$34),10),"💬 واتساب"))</f>
        <v/>
      </c>
      <c r="J99" s="38" t="str">
        <f>IF($Q$35=0,"","👩 ماما")</f>
        <v/>
      </c>
      <c r="K99" s="39" t="str">
        <f>IF($Q$35=0,"",IF(INDEX('قاعدة البيانات'!$H$6:$H$305,$Q$35)="","— مفيش رقم —",HYPERLINK("tel:"&amp;INDEX('قاعدة البيانات'!$H$6:$H$305,$Q$35),"📞 "&amp;INDEX('قاعدة البيانات'!$H$6:$H$305,$Q$35))))</f>
        <v/>
      </c>
      <c r="L99" s="40" t="str">
        <f>IF(OR($Q$35=0,INDEX('قاعدة البيانات'!$H$6:$H$305,$Q$35)=""),"",HYPERLINK("https://wa.me/20"&amp;RIGHT(INDEX('قاعدة البيانات'!$H$6:$H$305,$Q$35),10),"💬 واتساب"))</f>
        <v/>
      </c>
    </row>
    <row r="100" spans="2:12" ht="24" customHeight="1">
      <c r="B100" s="38" t="str">
        <f>IF($Q$33=0,"","👨 بابا")</f>
        <v/>
      </c>
      <c r="C100" s="39" t="str">
        <f>IF($Q$33=0,"",IF(INDEX('قاعدة البيانات'!$I$6:$I$305,$Q$33)="","— مفيش رقم —",HYPERLINK("tel:"&amp;INDEX('قاعدة البيانات'!$I$6:$I$305,$Q$33),"📞 "&amp;INDEX('قاعدة البيانات'!$I$6:$I$305,$Q$33))))</f>
        <v/>
      </c>
      <c r="D100" s="40" t="str">
        <f>IF(OR($Q$33=0,INDEX('قاعدة البيانات'!$I$6:$I$305,$Q$33)=""),"",HYPERLINK("https://wa.me/20"&amp;RIGHT(INDEX('قاعدة البيانات'!$I$6:$I$305,$Q$33),10),"💬 واتساب"))</f>
        <v/>
      </c>
      <c r="F100" s="38" t="str">
        <f>IF($Q$34=0,"","👨 بابا")</f>
        <v/>
      </c>
      <c r="G100" s="39" t="str">
        <f>IF($Q$34=0,"",IF(INDEX('قاعدة البيانات'!$I$6:$I$305,$Q$34)="","— مفيش رقم —",HYPERLINK("tel:"&amp;INDEX('قاعدة البيانات'!$I$6:$I$305,$Q$34),"📞 "&amp;INDEX('قاعدة البيانات'!$I$6:$I$305,$Q$34))))</f>
        <v/>
      </c>
      <c r="H100" s="40" t="str">
        <f>IF(OR($Q$34=0,INDEX('قاعدة البيانات'!$I$6:$I$305,$Q$34)=""),"",HYPERLINK("https://wa.me/20"&amp;RIGHT(INDEX('قاعدة البيانات'!$I$6:$I$305,$Q$34),10),"💬 واتساب"))</f>
        <v/>
      </c>
      <c r="J100" s="38" t="str">
        <f>IF($Q$35=0,"","👨 بابا")</f>
        <v/>
      </c>
      <c r="K100" s="39" t="str">
        <f>IF($Q$35=0,"",IF(INDEX('قاعدة البيانات'!$I$6:$I$305,$Q$35)="","— مفيش رقم —",HYPERLINK("tel:"&amp;INDEX('قاعدة البيانات'!$I$6:$I$305,$Q$35),"📞 "&amp;INDEX('قاعدة البيانات'!$I$6:$I$305,$Q$35))))</f>
        <v/>
      </c>
      <c r="L100" s="40" t="str">
        <f>IF(OR($Q$35=0,INDEX('قاعدة البيانات'!$I$6:$I$305,$Q$35)=""),"",HYPERLINK("https://wa.me/20"&amp;RIGHT(INDEX('قاعدة البيانات'!$I$6:$I$305,$Q$35),10),"💬 واتساب"))</f>
        <v/>
      </c>
    </row>
    <row r="101" spans="2:12" ht="37.5" customHeight="1">
      <c r="B101" s="124" t="str">
        <f>IF($Q$33=0,"","📍 "&amp;IF(INDEX('قاعدة البيانات'!$J$6:$J$305,$Q$33)="","— مفيش عنوان —",INDEX('قاعدة البيانات'!$J$6:$J$305,$Q$33)))</f>
        <v/>
      </c>
      <c r="C101" s="124"/>
      <c r="D101" s="124"/>
      <c r="F101" s="124" t="str">
        <f>IF($Q$34=0,"","📍 "&amp;IF(INDEX('قاعدة البيانات'!$J$6:$J$305,$Q$34)="","— مفيش عنوان —",INDEX('قاعدة البيانات'!$J$6:$J$305,$Q$34)))</f>
        <v/>
      </c>
      <c r="G101" s="124"/>
      <c r="H101" s="124"/>
      <c r="J101" s="124" t="str">
        <f>IF($Q$35=0,"","📍 "&amp;IF(INDEX('قاعدة البيانات'!$J$6:$J$305,$Q$35)="","— مفيش عنوان —",INDEX('قاعدة البيانات'!$J$6:$J$305,$Q$35)))</f>
        <v/>
      </c>
      <c r="K101" s="124"/>
      <c r="L101" s="124"/>
    </row>
    <row r="102" spans="2:12" ht="21.75" customHeight="1">
      <c r="B102" s="125" t="str">
        <f>IF($Q$33=0,"","📊 إحصائيات الحضور")</f>
        <v/>
      </c>
      <c r="C102" s="125"/>
      <c r="D102" s="125"/>
      <c r="F102" s="125" t="str">
        <f>IF($Q$34=0,"","📊 إحصائيات الحضور")</f>
        <v/>
      </c>
      <c r="G102" s="125"/>
      <c r="H102" s="125"/>
      <c r="J102" s="125" t="str">
        <f>IF($Q$35=0,"","📊 إحصائيات الحضور")</f>
        <v/>
      </c>
      <c r="K102" s="125"/>
      <c r="L102" s="125"/>
    </row>
    <row r="103" spans="2:12" ht="15.75" customHeight="1">
      <c r="B103" s="41" t="str">
        <f>IF($Q$33=0,"","✅ حضور")</f>
        <v/>
      </c>
      <c r="C103" s="41" t="str">
        <f>IF($Q$33=0,"","❌ غياب")</f>
        <v/>
      </c>
      <c r="D103" s="41" t="str">
        <f>IF($Q$33=0,"","📈 النسبة")</f>
        <v/>
      </c>
      <c r="F103" s="41" t="str">
        <f>IF($Q$34=0,"","✅ حضور")</f>
        <v/>
      </c>
      <c r="G103" s="41" t="str">
        <f>IF($Q$34=0,"","❌ غياب")</f>
        <v/>
      </c>
      <c r="H103" s="41" t="str">
        <f>IF($Q$34=0,"","📈 النسبة")</f>
        <v/>
      </c>
      <c r="J103" s="41" t="str">
        <f>IF($Q$35=0,"","✅ حضور")</f>
        <v/>
      </c>
      <c r="K103" s="41" t="str">
        <f>IF($Q$35=0,"","❌ غياب")</f>
        <v/>
      </c>
      <c r="L103" s="41" t="str">
        <f>IF($Q$35=0,"","📈 النسبة")</f>
        <v/>
      </c>
    </row>
    <row r="104" spans="2:12" ht="33.75" customHeight="1">
      <c r="B104" s="42" t="str">
        <f>'حضور رفائيل'!C31</f>
        <v/>
      </c>
      <c r="C104" s="43" t="str">
        <f>'حضور رفائيل'!D31</f>
        <v/>
      </c>
      <c r="D104" s="44" t="str">
        <f>'حضور رفائيل'!F31</f>
        <v/>
      </c>
      <c r="F104" s="42" t="str">
        <f>'حضور رفائيل'!C32</f>
        <v/>
      </c>
      <c r="G104" s="43" t="str">
        <f>'حضور رفائيل'!D32</f>
        <v/>
      </c>
      <c r="H104" s="44" t="str">
        <f>'حضور رفائيل'!F32</f>
        <v/>
      </c>
      <c r="J104" s="42" t="str">
        <f>'حضور رفائيل'!C33</f>
        <v/>
      </c>
      <c r="K104" s="43" t="str">
        <f>'حضور رفائيل'!D33</f>
        <v/>
      </c>
      <c r="L104" s="44" t="str">
        <f>'حضور رفائيل'!F33</f>
        <v/>
      </c>
    </row>
    <row r="105" spans="2:12" ht="24" customHeight="1">
      <c r="B105" s="126" t="str">
        <f>'حضور رفائيل'!I31</f>
        <v/>
      </c>
      <c r="C105" s="126"/>
      <c r="D105" s="126"/>
      <c r="F105" s="126" t="str">
        <f>'حضور رفائيل'!I32</f>
        <v/>
      </c>
      <c r="G105" s="126"/>
      <c r="H105" s="126"/>
      <c r="J105" s="126" t="str">
        <f>'حضور رفائيل'!I33</f>
        <v/>
      </c>
      <c r="K105" s="126"/>
      <c r="L105" s="126"/>
    </row>
    <row r="106" spans="2:12" ht="19.5" customHeight="1">
      <c r="B106" s="127" t="str">
        <f>IF($Q$33=0,"","🗓️ آخر حضور: "&amp;IF(ISNUMBER('حضور رفائيل'!H31),DAY('حضور رفائيل'!H31)&amp;"/"&amp;MONTH('حضور رفائيل'!H31)&amp;"/"&amp;YEAR('حضور رفائيل'!H31),"—")&amp;"   •   غياب متتالي: "&amp;'حضور رفائيل'!G31)</f>
        <v/>
      </c>
      <c r="C106" s="127"/>
      <c r="D106" s="127"/>
      <c r="F106" s="127" t="str">
        <f>IF($Q$34=0,"","🗓️ آخر حضور: "&amp;IF(ISNUMBER('حضور رفائيل'!H32),DAY('حضور رفائيل'!H32)&amp;"/"&amp;MONTH('حضور رفائيل'!H32)&amp;"/"&amp;YEAR('حضور رفائيل'!H32),"—")&amp;"   •   غياب متتالي: "&amp;'حضور رفائيل'!G32)</f>
        <v/>
      </c>
      <c r="G106" s="127"/>
      <c r="H106" s="127"/>
      <c r="J106" s="127" t="str">
        <f>IF($Q$35=0,"","🗓️ آخر حضور: "&amp;IF(ISNUMBER('حضور رفائيل'!H33),DAY('حضور رفائيل'!H33)&amp;"/"&amp;MONTH('حضور رفائيل'!H33)&amp;"/"&amp;YEAR('حضور رفائيل'!H33),"—")&amp;"   •   غياب متتالي: "&amp;'حضور رفائيل'!G33)</f>
        <v/>
      </c>
      <c r="K106" s="127"/>
      <c r="L106" s="127"/>
    </row>
    <row r="107" spans="2:12" ht="13.5" customHeight="1"/>
    <row r="108" spans="2:12" ht="30" customHeight="1">
      <c r="B108" s="122" t="str">
        <f>IF($Q$36=0,"",IF(INDEX('قاعدة البيانات'!$D$6:$D$305,$Q$36)="بنت","👧 ","👦 ")&amp;INDEX('قاعدة البيانات'!$C$6:$C$305,$Q$36))</f>
        <v/>
      </c>
      <c r="C108" s="122"/>
      <c r="D108" s="122"/>
      <c r="F108" s="122" t="str">
        <f>IF($Q$37=0,"",IF(INDEX('قاعدة البيانات'!$D$6:$D$305,$Q$37)="بنت","👧 ","👦 ")&amp;INDEX('قاعدة البيانات'!$C$6:$C$305,$Q$37))</f>
        <v/>
      </c>
      <c r="G108" s="122"/>
      <c r="H108" s="122"/>
      <c r="J108" s="122" t="str">
        <f>IF($Q$38=0,"",IF(INDEX('قاعدة البيانات'!$D$6:$D$305,$Q$38)="بنت","👧 ","👦 ")&amp;INDEX('قاعدة البيانات'!$C$6:$C$305,$Q$38))</f>
        <v/>
      </c>
      <c r="K108" s="122"/>
      <c r="L108" s="122"/>
    </row>
    <row r="109" spans="2:12" ht="108" customHeight="1">
      <c r="B109" s="37" t="str">
        <f>IF($Q$36=0,"",IF(ISBLANK(INDEX('قاعدة البيانات'!$K$6:$K$305,$Q$36)),LEFT(INDEX('قاعدة البيانات'!$C$6:$C$305,$Q$36),1),INDEX('قاعدة البيانات'!$K$6:$K$305,$Q$36)))</f>
        <v/>
      </c>
      <c r="C109" s="123"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23"/>
      <c r="F109" s="37" t="str">
        <f>IF($Q$37=0,"",IF(ISBLANK(INDEX('قاعدة البيانات'!$K$6:$K$305,$Q$37)),LEFT(INDEX('قاعدة البيانات'!$C$6:$C$305,$Q$37),1),INDEX('قاعدة البيانات'!$K$6:$K$305,$Q$37)))</f>
        <v/>
      </c>
      <c r="G109" s="123"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23"/>
      <c r="J109" s="37" t="str">
        <f>IF($Q$38=0,"",IF(ISBLANK(INDEX('قاعدة البيانات'!$K$6:$K$305,$Q$38)),LEFT(INDEX('قاعدة البيانات'!$C$6:$C$305,$Q$38),1),INDEX('قاعدة البيانات'!$K$6:$K$305,$Q$38)))</f>
        <v/>
      </c>
      <c r="K109" s="123"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23"/>
    </row>
    <row r="110" spans="2:12" ht="24" customHeight="1">
      <c r="B110" s="38" t="str">
        <f>IF($Q$36=0,"","👩 ماما")</f>
        <v/>
      </c>
      <c r="C110" s="39" t="str">
        <f>IF($Q$36=0,"",IF(INDEX('قاعدة البيانات'!$H$6:$H$305,$Q$36)="","— مفيش رقم —",HYPERLINK("tel:"&amp;INDEX('قاعدة البيانات'!$H$6:$H$305,$Q$36),"📞 "&amp;INDEX('قاعدة البيانات'!$H$6:$H$305,$Q$36))))</f>
        <v/>
      </c>
      <c r="D110" s="40" t="str">
        <f>IF(OR($Q$36=0,INDEX('قاعدة البيانات'!$H$6:$H$305,$Q$36)=""),"",HYPERLINK("https://wa.me/20"&amp;RIGHT(INDEX('قاعدة البيانات'!$H$6:$H$305,$Q$36),10),"💬 واتساب"))</f>
        <v/>
      </c>
      <c r="F110" s="38" t="str">
        <f>IF($Q$37=0,"","👩 ماما")</f>
        <v/>
      </c>
      <c r="G110" s="39" t="str">
        <f>IF($Q$37=0,"",IF(INDEX('قاعدة البيانات'!$H$6:$H$305,$Q$37)="","— مفيش رقم —",HYPERLINK("tel:"&amp;INDEX('قاعدة البيانات'!$H$6:$H$305,$Q$37),"📞 "&amp;INDEX('قاعدة البيانات'!$H$6:$H$305,$Q$37))))</f>
        <v/>
      </c>
      <c r="H110" s="40" t="str">
        <f>IF(OR($Q$37=0,INDEX('قاعدة البيانات'!$H$6:$H$305,$Q$37)=""),"",HYPERLINK("https://wa.me/20"&amp;RIGHT(INDEX('قاعدة البيانات'!$H$6:$H$305,$Q$37),10),"💬 واتساب"))</f>
        <v/>
      </c>
      <c r="J110" s="38" t="str">
        <f>IF($Q$38=0,"","👩 ماما")</f>
        <v/>
      </c>
      <c r="K110" s="39" t="str">
        <f>IF($Q$38=0,"",IF(INDEX('قاعدة البيانات'!$H$6:$H$305,$Q$38)="","— مفيش رقم —",HYPERLINK("tel:"&amp;INDEX('قاعدة البيانات'!$H$6:$H$305,$Q$38),"📞 "&amp;INDEX('قاعدة البيانات'!$H$6:$H$305,$Q$38))))</f>
        <v/>
      </c>
      <c r="L110" s="40" t="str">
        <f>IF(OR($Q$38=0,INDEX('قاعدة البيانات'!$H$6:$H$305,$Q$38)=""),"",HYPERLINK("https://wa.me/20"&amp;RIGHT(INDEX('قاعدة البيانات'!$H$6:$H$305,$Q$38),10),"💬 واتساب"))</f>
        <v/>
      </c>
    </row>
    <row r="111" spans="2:12" ht="24" customHeight="1">
      <c r="B111" s="38" t="str">
        <f>IF($Q$36=0,"","👨 بابا")</f>
        <v/>
      </c>
      <c r="C111" s="39" t="str">
        <f>IF($Q$36=0,"",IF(INDEX('قاعدة البيانات'!$I$6:$I$305,$Q$36)="","— مفيش رقم —",HYPERLINK("tel:"&amp;INDEX('قاعدة البيانات'!$I$6:$I$305,$Q$36),"📞 "&amp;INDEX('قاعدة البيانات'!$I$6:$I$305,$Q$36))))</f>
        <v/>
      </c>
      <c r="D111" s="40" t="str">
        <f>IF(OR($Q$36=0,INDEX('قاعدة البيانات'!$I$6:$I$305,$Q$36)=""),"",HYPERLINK("https://wa.me/20"&amp;RIGHT(INDEX('قاعدة البيانات'!$I$6:$I$305,$Q$36),10),"💬 واتساب"))</f>
        <v/>
      </c>
      <c r="F111" s="38" t="str">
        <f>IF($Q$37=0,"","👨 بابا")</f>
        <v/>
      </c>
      <c r="G111" s="39" t="str">
        <f>IF($Q$37=0,"",IF(INDEX('قاعدة البيانات'!$I$6:$I$305,$Q$37)="","— مفيش رقم —",HYPERLINK("tel:"&amp;INDEX('قاعدة البيانات'!$I$6:$I$305,$Q$37),"📞 "&amp;INDEX('قاعدة البيانات'!$I$6:$I$305,$Q$37))))</f>
        <v/>
      </c>
      <c r="H111" s="40" t="str">
        <f>IF(OR($Q$37=0,INDEX('قاعدة البيانات'!$I$6:$I$305,$Q$37)=""),"",HYPERLINK("https://wa.me/20"&amp;RIGHT(INDEX('قاعدة البيانات'!$I$6:$I$305,$Q$37),10),"💬 واتساب"))</f>
        <v/>
      </c>
      <c r="J111" s="38" t="str">
        <f>IF($Q$38=0,"","👨 بابا")</f>
        <v/>
      </c>
      <c r="K111" s="39" t="str">
        <f>IF($Q$38=0,"",IF(INDEX('قاعدة البيانات'!$I$6:$I$305,$Q$38)="","— مفيش رقم —",HYPERLINK("tel:"&amp;INDEX('قاعدة البيانات'!$I$6:$I$305,$Q$38),"📞 "&amp;INDEX('قاعدة البيانات'!$I$6:$I$305,$Q$38))))</f>
        <v/>
      </c>
      <c r="L111" s="40" t="str">
        <f>IF(OR($Q$38=0,INDEX('قاعدة البيانات'!$I$6:$I$305,$Q$38)=""),"",HYPERLINK("https://wa.me/20"&amp;RIGHT(INDEX('قاعدة البيانات'!$I$6:$I$305,$Q$38),10),"💬 واتساب"))</f>
        <v/>
      </c>
    </row>
    <row r="112" spans="2:12" ht="37.5" customHeight="1">
      <c r="B112" s="124" t="str">
        <f>IF($Q$36=0,"","📍 "&amp;IF(INDEX('قاعدة البيانات'!$J$6:$J$305,$Q$36)="","— مفيش عنوان —",INDEX('قاعدة البيانات'!$J$6:$J$305,$Q$36)))</f>
        <v/>
      </c>
      <c r="C112" s="124"/>
      <c r="D112" s="124"/>
      <c r="F112" s="124" t="str">
        <f>IF($Q$37=0,"","📍 "&amp;IF(INDEX('قاعدة البيانات'!$J$6:$J$305,$Q$37)="","— مفيش عنوان —",INDEX('قاعدة البيانات'!$J$6:$J$305,$Q$37)))</f>
        <v/>
      </c>
      <c r="G112" s="124"/>
      <c r="H112" s="124"/>
      <c r="J112" s="124" t="str">
        <f>IF($Q$38=0,"","📍 "&amp;IF(INDEX('قاعدة البيانات'!$J$6:$J$305,$Q$38)="","— مفيش عنوان —",INDEX('قاعدة البيانات'!$J$6:$J$305,$Q$38)))</f>
        <v/>
      </c>
      <c r="K112" s="124"/>
      <c r="L112" s="124"/>
    </row>
    <row r="113" spans="2:12" ht="21.75" customHeight="1">
      <c r="B113" s="125" t="str">
        <f>IF($Q$36=0,"","📊 إحصائيات الحضور")</f>
        <v/>
      </c>
      <c r="C113" s="125"/>
      <c r="D113" s="125"/>
      <c r="F113" s="125" t="str">
        <f>IF($Q$37=0,"","📊 إحصائيات الحضور")</f>
        <v/>
      </c>
      <c r="G113" s="125"/>
      <c r="H113" s="125"/>
      <c r="J113" s="125" t="str">
        <f>IF($Q$38=0,"","📊 إحصائيات الحضور")</f>
        <v/>
      </c>
      <c r="K113" s="125"/>
      <c r="L113" s="125"/>
    </row>
    <row r="114" spans="2:12" ht="15.75" customHeight="1">
      <c r="B114" s="41" t="str">
        <f>IF($Q$36=0,"","✅ حضور")</f>
        <v/>
      </c>
      <c r="C114" s="41" t="str">
        <f>IF($Q$36=0,"","❌ غياب")</f>
        <v/>
      </c>
      <c r="D114" s="41" t="str">
        <f>IF($Q$36=0,"","📈 النسبة")</f>
        <v/>
      </c>
      <c r="F114" s="41" t="str">
        <f>IF($Q$37=0,"","✅ حضور")</f>
        <v/>
      </c>
      <c r="G114" s="41" t="str">
        <f>IF($Q$37=0,"","❌ غياب")</f>
        <v/>
      </c>
      <c r="H114" s="41" t="str">
        <f>IF($Q$37=0,"","📈 النسبة")</f>
        <v/>
      </c>
      <c r="J114" s="41" t="str">
        <f>IF($Q$38=0,"","✅ حضور")</f>
        <v/>
      </c>
      <c r="K114" s="41" t="str">
        <f>IF($Q$38=0,"","❌ غياب")</f>
        <v/>
      </c>
      <c r="L114" s="41" t="str">
        <f>IF($Q$38=0,"","📈 النسبة")</f>
        <v/>
      </c>
    </row>
    <row r="115" spans="2:12" ht="33.75" customHeight="1">
      <c r="B115" s="42" t="str">
        <f>'حضور رفائيل'!C34</f>
        <v/>
      </c>
      <c r="C115" s="43" t="str">
        <f>'حضور رفائيل'!D34</f>
        <v/>
      </c>
      <c r="D115" s="44" t="str">
        <f>'حضور رفائيل'!F34</f>
        <v/>
      </c>
      <c r="F115" s="42" t="str">
        <f>'حضور رفائيل'!C35</f>
        <v/>
      </c>
      <c r="G115" s="43" t="str">
        <f>'حضور رفائيل'!D35</f>
        <v/>
      </c>
      <c r="H115" s="44" t="str">
        <f>'حضور رفائيل'!F35</f>
        <v/>
      </c>
      <c r="J115" s="42" t="str">
        <f>'حضور رفائيل'!C36</f>
        <v/>
      </c>
      <c r="K115" s="43" t="str">
        <f>'حضور رفائيل'!D36</f>
        <v/>
      </c>
      <c r="L115" s="44" t="str">
        <f>'حضور رفائيل'!F36</f>
        <v/>
      </c>
    </row>
    <row r="116" spans="2:12" ht="24" customHeight="1">
      <c r="B116" s="126" t="str">
        <f>'حضور رفائيل'!I34</f>
        <v/>
      </c>
      <c r="C116" s="126"/>
      <c r="D116" s="126"/>
      <c r="F116" s="126" t="str">
        <f>'حضور رفائيل'!I35</f>
        <v/>
      </c>
      <c r="G116" s="126"/>
      <c r="H116" s="126"/>
      <c r="J116" s="126" t="str">
        <f>'حضور رفائيل'!I36</f>
        <v/>
      </c>
      <c r="K116" s="126"/>
      <c r="L116" s="126"/>
    </row>
    <row r="117" spans="2:12" ht="19.5" customHeight="1">
      <c r="B117" s="127" t="str">
        <f>IF($Q$36=0,"","🗓️ آخر حضور: "&amp;IF(ISNUMBER('حضور رفائيل'!H34),DAY('حضور رفائيل'!H34)&amp;"/"&amp;MONTH('حضور رفائيل'!H34)&amp;"/"&amp;YEAR('حضور رفائيل'!H34),"—")&amp;"   •   غياب متتالي: "&amp;'حضور رفائيل'!G34)</f>
        <v/>
      </c>
      <c r="C117" s="127"/>
      <c r="D117" s="127"/>
      <c r="F117" s="127" t="str">
        <f>IF($Q$37=0,"","🗓️ آخر حضور: "&amp;IF(ISNUMBER('حضور رفائيل'!H35),DAY('حضور رفائيل'!H35)&amp;"/"&amp;MONTH('حضور رفائيل'!H35)&amp;"/"&amp;YEAR('حضور رفائيل'!H35),"—")&amp;"   •   غياب متتالي: "&amp;'حضور رفائيل'!G35)</f>
        <v/>
      </c>
      <c r="G117" s="127"/>
      <c r="H117" s="127"/>
      <c r="J117" s="127" t="str">
        <f>IF($Q$38=0,"","🗓️ آخر حضور: "&amp;IF(ISNUMBER('حضور رفائيل'!H36),DAY('حضور رفائيل'!H36)&amp;"/"&amp;MONTH('حضور رفائيل'!H36)&amp;"/"&amp;YEAR('حضور رفائيل'!H36),"—")&amp;"   •   غياب متتالي: "&amp;'حضور رفائيل'!G36)</f>
        <v/>
      </c>
      <c r="K117" s="127"/>
      <c r="L117" s="127"/>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100" priority="4">
      <formula>INDEX($R$9:$R$38,(INT((ROW()-9)/11)*3+INT((COLUMN()-2)/4)+1))="ولد"</formula>
    </cfRule>
    <cfRule type="expression" dxfId="99"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98"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97" priority="2">
      <formula>INDEX($S$9:$S$38,(INT((ROW()-9)/11)*3+INT((COLUMN()-2)/4)+1))=5</formula>
    </cfRule>
    <cfRule type="expression" dxfId="96"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95"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94"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93"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92" priority="17">
      <formula>INDEX($S$9:$S$38,(INT((ROW()-9)/11)*3+INT((COLUMN()-2)/4)+1))=1</formula>
    </cfRule>
    <cfRule type="expression" dxfId="91" priority="18">
      <formula>INDEX($S$9:$S$38,(INT((ROW()-9)/11)*3+INT((COLUMN()-2)/4)+1))=2</formula>
    </cfRule>
    <cfRule type="expression" dxfId="90" priority="19">
      <formula>INDEX($S$9:$S$38,(INT((ROW()-9)/11)*3+INT((COLUMN()-2)/4)+1))=3</formula>
    </cfRule>
    <cfRule type="expression" dxfId="89" priority="20">
      <formula>INDEX($S$9:$S$38,(INT((ROW()-9)/11)*3+INT((COLUMN()-2)/4)+1))=4</formula>
    </cfRule>
    <cfRule type="expression" dxfId="88"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87"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86" priority="6">
      <formula>INDEX($Q$9:$Q$38,(INT((ROW()-9)/11)*3+INT((COLUMN()-2)/4)+1))&gt;0</formula>
    </cfRule>
  </conditionalFormatting>
  <conditionalFormatting sqref="D16 H16 L16 D27 H27 L27 D38 H38 L38 D49 H49 L49 D60 H60 L60 D71 H71 L71 D82 H82 L82 D93 H93 L93 D104 H104 L104 D115 H115 L115">
    <cfRule type="expression" dxfId="85" priority="13">
      <formula>INDEX($S$9:$S$38,(INT((ROW()-9)/11)*3+INT((COLUMN()-2)/4)+1))=1</formula>
    </cfRule>
    <cfRule type="expression" dxfId="84" priority="14">
      <formula>INDEX($S$9:$S$38,(INT((ROW()-9)/11)*3+INT((COLUMN()-2)/4)+1))=2</formula>
    </cfRule>
    <cfRule type="expression" dxfId="83" priority="15">
      <formula>OR(INDEX($S$9:$S$38,(INT((ROW()-9)/11)*3+INT((COLUMN()-2)/4)+1))=3,INDEX($S$9:$S$38,(INT((ROW()-9)/11)*3+INT((COLUMN()-2)/4)+1))=4)</formula>
    </cfRule>
    <cfRule type="expression" dxfId="82"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pageSetUpPr fitToPage="1"/>
  </sheetPr>
  <dimension ref="B1:S118"/>
  <sheetViews>
    <sheetView showGridLines="0" rightToLeft="1" zoomScale="90" zoomScaleNormal="90" workbookViewId="0">
      <pane ySplit="2" topLeftCell="A3" activePane="bottomLeft" state="frozen"/>
      <selection pane="bottomLeft"/>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40" t="str">
        <f>"🪪 كروت أطفال ملاك "&amp;الإعدادات!$B$7</f>
        <v>🪪 كروت أطفال ملاك ميخائيل</v>
      </c>
      <c r="C1" s="140"/>
      <c r="D1" s="140"/>
      <c r="E1" s="140"/>
      <c r="F1" s="140"/>
      <c r="G1" s="140"/>
      <c r="H1" s="140"/>
      <c r="I1" s="140"/>
      <c r="J1" s="140"/>
      <c r="K1" s="140"/>
      <c r="L1" s="140"/>
    </row>
    <row r="2" spans="2:19" ht="30" customHeight="1">
      <c r="B2" s="111" t="str">
        <f>HYPERLINK("#'الرئيسية'!A1","🏠 الرئيسية")</f>
        <v>🏠 الرئيسية</v>
      </c>
      <c r="C2" s="111"/>
      <c r="D2" s="115" t="str">
        <f>HYPERLINK("#'قاعدة البيانات'!C"&amp;MIN(305,6+COUNTA('قاعدة البيانات'!$C$6:$C$305)),"➕ إضافة طفل جديد")</f>
        <v>➕ إضافة طفل جديد</v>
      </c>
      <c r="E2" s="115"/>
      <c r="F2" s="115"/>
      <c r="G2" s="141" t="str">
        <f>HYPERLINK("#'حضور ميخائيل'!A1","📅 حضور الفصل")</f>
        <v>📅 حضور الفصل</v>
      </c>
      <c r="H2" s="141"/>
      <c r="J2" s="111" t="str">
        <f>HYPERLINK("#'الافتقاد'!A1","📞 الافتقاد")</f>
        <v>📞 الافتقاد</v>
      </c>
      <c r="K2" s="111"/>
      <c r="L2" s="18" t="str">
        <f>HYPERLINK("#'قاعدة البيانات'!A1","📋 القاعدة")</f>
        <v>📋 القاعدة</v>
      </c>
    </row>
    <row r="3" spans="2:19" ht="7.5" customHeight="1"/>
    <row r="4" spans="2:19" ht="19.5" customHeight="1">
      <c r="B4" s="142" t="s">
        <v>52</v>
      </c>
      <c r="C4" s="142"/>
      <c r="D4" s="142"/>
      <c r="F4" s="142" t="s">
        <v>53</v>
      </c>
      <c r="G4" s="142"/>
      <c r="H4" s="142"/>
      <c r="J4" s="142" t="s">
        <v>54</v>
      </c>
      <c r="K4" s="142"/>
      <c r="L4" s="142"/>
    </row>
    <row r="5" spans="2:19" ht="37.5" customHeight="1">
      <c r="B5" s="143">
        <f>COUNTIFS('قاعدة البيانات'!$F$6:$F$305,الإعدادات!$B$7,'قاعدة البيانات'!$C$6:$C$305,"&lt;&gt;",'قاعدة البيانات'!$M$6:$M$305,"&lt;&gt;غير نشط")</f>
        <v>0</v>
      </c>
      <c r="C5" s="143"/>
      <c r="D5" s="143"/>
      <c r="F5" s="144" t="str">
        <f>"👦 "&amp;COUNTIFS('قاعدة البيانات'!$F$6:$F$305,الإعدادات!$B$7,'قاعدة البيانات'!$D$6:$D$305,"ولد",'قاعدة البيانات'!$C$6:$C$305,"&lt;&gt;",'قاعدة البيانات'!$M$6:$M$305,"&lt;&gt;غير نشط")&amp;"    👧 "&amp;COUNTIFS('قاعدة البيانات'!$F$6:$F$305,الإعدادات!$B$7,'قاعدة البيانات'!$D$6:$D$305,"بنت",'قاعدة البيانات'!$C$6:$C$305,"&lt;&gt;",'قاعدة البيانات'!$M$6:$M$305,"&lt;&gt;غير نشط")</f>
        <v>👦 0    👧 0</v>
      </c>
      <c r="G5" s="144"/>
      <c r="H5" s="144"/>
      <c r="J5" s="145" t="str">
        <f>IFERROR(SUM('حضور ميخائيل'!C7:C36)/(SUM('حضور ميخائيل'!C7:C36)+SUM('حضور ميخائيل'!D7:D36)),"—")</f>
        <v>—</v>
      </c>
      <c r="K5" s="145"/>
      <c r="L5" s="145"/>
    </row>
    <row r="6" spans="2:19" ht="21.75" customHeight="1">
      <c r="B6" s="121" t="str">
        <f>"📅 جمع مسجلة: "&amp;COUNT('حضور ميخائيل'!J4:BJ4)&amp;"        ⚠️ محتاجين افتقاد: "&amp;(COUNTIFS('قاعدة البيانات'!$F$6:$F$305,الإعدادات!$B$7,'قاعدة البيانات'!$V$6:$V$305,3)+COUNTIFS('قاعدة البيانات'!$F$6:$F$305,الإعدادات!$B$7,'قاعدة البيانات'!$V$6:$V$305,4))&amp;"        🆓 أماكن فاضية: "&amp;(30-COUNTIFS('قاعدة البيانات'!$F$6:$F$305,الإعدادات!$B$7,'قاعدة البيانات'!$C$6:$C$305,"&lt;&gt;"))</f>
        <v>📅 جمع مسجلة: 0        ⚠️ محتاجين افتقاد: 0        🆓 أماكن فاضية: 30</v>
      </c>
      <c r="C6" s="121"/>
      <c r="D6" s="121"/>
      <c r="E6" s="121"/>
      <c r="F6" s="121"/>
      <c r="G6" s="121"/>
      <c r="H6" s="121"/>
      <c r="I6" s="121"/>
      <c r="J6" s="121"/>
      <c r="K6" s="121"/>
      <c r="L6" s="121"/>
    </row>
    <row r="7" spans="2:19" ht="7.5" customHeight="1"/>
    <row r="8" spans="2:19" ht="6" customHeight="1"/>
    <row r="9" spans="2:19" ht="30" customHeight="1">
      <c r="B9" s="122" t="str">
        <f>IF($Q$9=0,"",IF(INDEX('قاعدة البيانات'!$D$6:$D$305,$Q$9)="بنت","👧 ","👦 ")&amp;INDEX('قاعدة البيانات'!$C$6:$C$305,$Q$9))</f>
        <v/>
      </c>
      <c r="C9" s="122"/>
      <c r="D9" s="122"/>
      <c r="F9" s="122" t="str">
        <f>IF($Q$10=0,"",IF(INDEX('قاعدة البيانات'!$D$6:$D$305,$Q$10)="بنت","👧 ","👦 ")&amp;INDEX('قاعدة البيانات'!$C$6:$C$305,$Q$10))</f>
        <v/>
      </c>
      <c r="G9" s="122"/>
      <c r="H9" s="122"/>
      <c r="J9" s="122" t="str">
        <f>IF($Q$11=0,"",IF(INDEX('قاعدة البيانات'!$D$6:$D$305,$Q$11)="بنت","👧 ","👦 ")&amp;INDEX('قاعدة البيانات'!$C$6:$C$305,$Q$11))</f>
        <v/>
      </c>
      <c r="K9" s="122"/>
      <c r="L9" s="122"/>
      <c r="P9">
        <v>1</v>
      </c>
      <c r="Q9">
        <f>'حضور ميخائيل'!BL7</f>
        <v>0</v>
      </c>
      <c r="R9" t="str">
        <f>IF(Q9=0,"",INDEX('قاعدة البيانات'!$D$6:$D$305,Q9))</f>
        <v/>
      </c>
      <c r="S9">
        <f>'حضور ميخائيل'!BM7</f>
        <v>0</v>
      </c>
    </row>
    <row r="10" spans="2:19" ht="108" customHeight="1">
      <c r="B10" s="37" t="str">
        <f>IF($Q$9=0,"",IF(ISBLANK(INDEX('قاعدة البيانات'!$K$6:$K$305,$Q$9)),LEFT(INDEX('قاعدة البيانات'!$C$6:$C$305,$Q$9),1),INDEX('قاعدة البيانات'!$K$6:$K$305,$Q$9)))</f>
        <v/>
      </c>
      <c r="C10" s="123"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c>
      <c r="D10" s="123"/>
      <c r="F10" s="37" t="str">
        <f>IF($Q$10=0,"",IF(ISBLANK(INDEX('قاعدة البيانات'!$K$6:$K$305,$Q$10)),LEFT(INDEX('قاعدة البيانات'!$C$6:$C$305,$Q$10),1),INDEX('قاعدة البيانات'!$K$6:$K$305,$Q$10)))</f>
        <v/>
      </c>
      <c r="G10" s="123"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c>
      <c r="H10" s="123"/>
      <c r="J10" s="37" t="str">
        <f>IF($Q$11=0,"",IF(ISBLANK(INDEX('قاعدة البيانات'!$K$6:$K$305,$Q$11)),LEFT(INDEX('قاعدة البيانات'!$C$6:$C$305,$Q$11),1),INDEX('قاعدة البيانات'!$K$6:$K$305,$Q$11)))</f>
        <v/>
      </c>
      <c r="K10" s="123"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c>
      <c r="L10" s="123"/>
      <c r="P10">
        <v>2</v>
      </c>
      <c r="Q10">
        <f>'حضور ميخائيل'!BL8</f>
        <v>0</v>
      </c>
      <c r="R10" t="str">
        <f>IF(Q10=0,"",INDEX('قاعدة البيانات'!$D$6:$D$305,Q10))</f>
        <v/>
      </c>
      <c r="S10">
        <f>'حضور ميخائيل'!BM8</f>
        <v>0</v>
      </c>
    </row>
    <row r="11" spans="2:19" ht="24" customHeight="1">
      <c r="B11" s="38" t="str">
        <f>IF($Q$9=0,"","👩 ماما")</f>
        <v/>
      </c>
      <c r="C11" s="39" t="str">
        <f>IF($Q$9=0,"",IF(INDEX('قاعدة البيانات'!$H$6:$H$305,$Q$9)="","— مفيش رقم —",HYPERLINK("tel:"&amp;INDEX('قاعدة البيانات'!$H$6:$H$305,$Q$9),"📞 "&amp;INDEX('قاعدة البيانات'!$H$6:$H$305,$Q$9))))</f>
        <v/>
      </c>
      <c r="D11" s="40" t="str">
        <f>IF(OR($Q$9=0,INDEX('قاعدة البيانات'!$H$6:$H$305,$Q$9)=""),"",HYPERLINK("https://wa.me/20"&amp;RIGHT(INDEX('قاعدة البيانات'!$H$6:$H$305,$Q$9),10),"💬 واتساب"))</f>
        <v/>
      </c>
      <c r="F11" s="38" t="str">
        <f>IF($Q$10=0,"","👩 ماما")</f>
        <v/>
      </c>
      <c r="G11" s="39" t="str">
        <f>IF($Q$10=0,"",IF(INDEX('قاعدة البيانات'!$H$6:$H$305,$Q$10)="","— مفيش رقم —",HYPERLINK("tel:"&amp;INDEX('قاعدة البيانات'!$H$6:$H$305,$Q$10),"📞 "&amp;INDEX('قاعدة البيانات'!$H$6:$H$305,$Q$10))))</f>
        <v/>
      </c>
      <c r="H11" s="40" t="str">
        <f>IF(OR($Q$10=0,INDEX('قاعدة البيانات'!$H$6:$H$305,$Q$10)=""),"",HYPERLINK("https://wa.me/20"&amp;RIGHT(INDEX('قاعدة البيانات'!$H$6:$H$305,$Q$10),10),"💬 واتساب"))</f>
        <v/>
      </c>
      <c r="J11" s="38" t="str">
        <f>IF($Q$11=0,"","👩 ماما")</f>
        <v/>
      </c>
      <c r="K11" s="39" t="str">
        <f>IF($Q$11=0,"",IF(INDEX('قاعدة البيانات'!$H$6:$H$305,$Q$11)="","— مفيش رقم —",HYPERLINK("tel:"&amp;INDEX('قاعدة البيانات'!$H$6:$H$305,$Q$11),"📞 "&amp;INDEX('قاعدة البيانات'!$H$6:$H$305,$Q$11))))</f>
        <v/>
      </c>
      <c r="L11" s="40" t="str">
        <f>IF(OR($Q$11=0,INDEX('قاعدة البيانات'!$H$6:$H$305,$Q$11)=""),"",HYPERLINK("https://wa.me/20"&amp;RIGHT(INDEX('قاعدة البيانات'!$H$6:$H$305,$Q$11),10),"💬 واتساب"))</f>
        <v/>
      </c>
      <c r="P11">
        <v>3</v>
      </c>
      <c r="Q11">
        <f>'حضور ميخائيل'!BL9</f>
        <v>0</v>
      </c>
      <c r="R11" t="str">
        <f>IF(Q11=0,"",INDEX('قاعدة البيانات'!$D$6:$D$305,Q11))</f>
        <v/>
      </c>
      <c r="S11">
        <f>'حضور ميخائيل'!BM9</f>
        <v>0</v>
      </c>
    </row>
    <row r="12" spans="2:19" ht="24" customHeight="1">
      <c r="B12" s="38" t="str">
        <f>IF($Q$9=0,"","👨 بابا")</f>
        <v/>
      </c>
      <c r="C12" s="39" t="str">
        <f>IF($Q$9=0,"",IF(INDEX('قاعدة البيانات'!$I$6:$I$305,$Q$9)="","— مفيش رقم —",HYPERLINK("tel:"&amp;INDEX('قاعدة البيانات'!$I$6:$I$305,$Q$9),"📞 "&amp;INDEX('قاعدة البيانات'!$I$6:$I$305,$Q$9))))</f>
        <v/>
      </c>
      <c r="D12" s="40" t="str">
        <f>IF(OR($Q$9=0,INDEX('قاعدة البيانات'!$I$6:$I$305,$Q$9)=""),"",HYPERLINK("https://wa.me/20"&amp;RIGHT(INDEX('قاعدة البيانات'!$I$6:$I$305,$Q$9),10),"💬 واتساب"))</f>
        <v/>
      </c>
      <c r="F12" s="38" t="str">
        <f>IF($Q$10=0,"","👨 بابا")</f>
        <v/>
      </c>
      <c r="G12" s="39" t="str">
        <f>IF($Q$10=0,"",IF(INDEX('قاعدة البيانات'!$I$6:$I$305,$Q$10)="","— مفيش رقم —",HYPERLINK("tel:"&amp;INDEX('قاعدة البيانات'!$I$6:$I$305,$Q$10),"📞 "&amp;INDEX('قاعدة البيانات'!$I$6:$I$305,$Q$10))))</f>
        <v/>
      </c>
      <c r="H12" s="40" t="str">
        <f>IF(OR($Q$10=0,INDEX('قاعدة البيانات'!$I$6:$I$305,$Q$10)=""),"",HYPERLINK("https://wa.me/20"&amp;RIGHT(INDEX('قاعدة البيانات'!$I$6:$I$305,$Q$10),10),"💬 واتساب"))</f>
        <v/>
      </c>
      <c r="J12" s="38" t="str">
        <f>IF($Q$11=0,"","👨 بابا")</f>
        <v/>
      </c>
      <c r="K12" s="39" t="str">
        <f>IF($Q$11=0,"",IF(INDEX('قاعدة البيانات'!$I$6:$I$305,$Q$11)="","— مفيش رقم —",HYPERLINK("tel:"&amp;INDEX('قاعدة البيانات'!$I$6:$I$305,$Q$11),"📞 "&amp;INDEX('قاعدة البيانات'!$I$6:$I$305,$Q$11))))</f>
        <v/>
      </c>
      <c r="L12" s="40" t="str">
        <f>IF(OR($Q$11=0,INDEX('قاعدة البيانات'!$I$6:$I$305,$Q$11)=""),"",HYPERLINK("https://wa.me/20"&amp;RIGHT(INDEX('قاعدة البيانات'!$I$6:$I$305,$Q$11),10),"💬 واتساب"))</f>
        <v/>
      </c>
      <c r="P12">
        <v>4</v>
      </c>
      <c r="Q12">
        <f>'حضور ميخائيل'!BL10</f>
        <v>0</v>
      </c>
      <c r="R12" t="str">
        <f>IF(Q12=0,"",INDEX('قاعدة البيانات'!$D$6:$D$305,Q12))</f>
        <v/>
      </c>
      <c r="S12">
        <f>'حضور ميخائيل'!BM10</f>
        <v>0</v>
      </c>
    </row>
    <row r="13" spans="2:19" ht="37.5" customHeight="1">
      <c r="B13" s="124" t="str">
        <f>IF($Q$9=0,"","📍 "&amp;IF(INDEX('قاعدة البيانات'!$J$6:$J$305,$Q$9)="","— مفيش عنوان —",INDEX('قاعدة البيانات'!$J$6:$J$305,$Q$9)))</f>
        <v/>
      </c>
      <c r="C13" s="124"/>
      <c r="D13" s="124"/>
      <c r="F13" s="124" t="str">
        <f>IF($Q$10=0,"","📍 "&amp;IF(INDEX('قاعدة البيانات'!$J$6:$J$305,$Q$10)="","— مفيش عنوان —",INDEX('قاعدة البيانات'!$J$6:$J$305,$Q$10)))</f>
        <v/>
      </c>
      <c r="G13" s="124"/>
      <c r="H13" s="124"/>
      <c r="J13" s="124" t="str">
        <f>IF($Q$11=0,"","📍 "&amp;IF(INDEX('قاعدة البيانات'!$J$6:$J$305,$Q$11)="","— مفيش عنوان —",INDEX('قاعدة البيانات'!$J$6:$J$305,$Q$11)))</f>
        <v/>
      </c>
      <c r="K13" s="124"/>
      <c r="L13" s="124"/>
      <c r="P13">
        <v>5</v>
      </c>
      <c r="Q13">
        <f>'حضور ميخائيل'!BL11</f>
        <v>0</v>
      </c>
      <c r="R13" t="str">
        <f>IF(Q13=0,"",INDEX('قاعدة البيانات'!$D$6:$D$305,Q13))</f>
        <v/>
      </c>
      <c r="S13">
        <f>'حضور ميخائيل'!BM11</f>
        <v>0</v>
      </c>
    </row>
    <row r="14" spans="2:19" ht="21.75" customHeight="1">
      <c r="B14" s="125" t="str">
        <f>IF($Q$9=0,"","📊 إحصائيات الحضور")</f>
        <v/>
      </c>
      <c r="C14" s="125"/>
      <c r="D14" s="125"/>
      <c r="F14" s="125" t="str">
        <f>IF($Q$10=0,"","📊 إحصائيات الحضور")</f>
        <v/>
      </c>
      <c r="G14" s="125"/>
      <c r="H14" s="125"/>
      <c r="J14" s="125" t="str">
        <f>IF($Q$11=0,"","📊 إحصائيات الحضور")</f>
        <v/>
      </c>
      <c r="K14" s="125"/>
      <c r="L14" s="125"/>
      <c r="P14">
        <v>6</v>
      </c>
      <c r="Q14">
        <f>'حضور ميخائيل'!BL12</f>
        <v>0</v>
      </c>
      <c r="R14" t="str">
        <f>IF(Q14=0,"",INDEX('قاعدة البيانات'!$D$6:$D$305,Q14))</f>
        <v/>
      </c>
      <c r="S14">
        <f>'حضور ميخائيل'!BM12</f>
        <v>0</v>
      </c>
    </row>
    <row r="15" spans="2:19" ht="15.75" customHeight="1">
      <c r="B15" s="41" t="str">
        <f>IF($Q$9=0,"","✅ حضور")</f>
        <v/>
      </c>
      <c r="C15" s="41" t="str">
        <f>IF($Q$9=0,"","❌ غياب")</f>
        <v/>
      </c>
      <c r="D15" s="41" t="str">
        <f>IF($Q$9=0,"","📈 النسبة")</f>
        <v/>
      </c>
      <c r="F15" s="41" t="str">
        <f>IF($Q$10=0,"","✅ حضور")</f>
        <v/>
      </c>
      <c r="G15" s="41" t="str">
        <f>IF($Q$10=0,"","❌ غياب")</f>
        <v/>
      </c>
      <c r="H15" s="41" t="str">
        <f>IF($Q$10=0,"","📈 النسبة")</f>
        <v/>
      </c>
      <c r="J15" s="41" t="str">
        <f>IF($Q$11=0,"","✅ حضور")</f>
        <v/>
      </c>
      <c r="K15" s="41" t="str">
        <f>IF($Q$11=0,"","❌ غياب")</f>
        <v/>
      </c>
      <c r="L15" s="41" t="str">
        <f>IF($Q$11=0,"","📈 النسبة")</f>
        <v/>
      </c>
      <c r="P15">
        <v>7</v>
      </c>
      <c r="Q15">
        <f>'حضور ميخائيل'!BL13</f>
        <v>0</v>
      </c>
      <c r="R15" t="str">
        <f>IF(Q15=0,"",INDEX('قاعدة البيانات'!$D$6:$D$305,Q15))</f>
        <v/>
      </c>
      <c r="S15">
        <f>'حضور ميخائيل'!BM13</f>
        <v>0</v>
      </c>
    </row>
    <row r="16" spans="2:19" ht="33.75" customHeight="1">
      <c r="B16" s="42" t="str">
        <f>'حضور ميخائيل'!C7</f>
        <v/>
      </c>
      <c r="C16" s="43" t="str">
        <f>'حضور ميخائيل'!D7</f>
        <v/>
      </c>
      <c r="D16" s="44" t="str">
        <f>'حضور ميخائيل'!F7</f>
        <v/>
      </c>
      <c r="F16" s="42" t="str">
        <f>'حضور ميخائيل'!C8</f>
        <v/>
      </c>
      <c r="G16" s="43" t="str">
        <f>'حضور ميخائيل'!D8</f>
        <v/>
      </c>
      <c r="H16" s="44" t="str">
        <f>'حضور ميخائيل'!F8</f>
        <v/>
      </c>
      <c r="J16" s="42" t="str">
        <f>'حضور ميخائيل'!C9</f>
        <v/>
      </c>
      <c r="K16" s="43" t="str">
        <f>'حضور ميخائيل'!D9</f>
        <v/>
      </c>
      <c r="L16" s="44" t="str">
        <f>'حضور ميخائيل'!F9</f>
        <v/>
      </c>
      <c r="P16">
        <v>8</v>
      </c>
      <c r="Q16">
        <f>'حضور ميخائيل'!BL14</f>
        <v>0</v>
      </c>
      <c r="R16" t="str">
        <f>IF(Q16=0,"",INDEX('قاعدة البيانات'!$D$6:$D$305,Q16))</f>
        <v/>
      </c>
      <c r="S16">
        <f>'حضور ميخائيل'!BM14</f>
        <v>0</v>
      </c>
    </row>
    <row r="17" spans="2:19" ht="24" customHeight="1">
      <c r="B17" s="126" t="str">
        <f>'حضور ميخائيل'!I7</f>
        <v/>
      </c>
      <c r="C17" s="126"/>
      <c r="D17" s="126"/>
      <c r="F17" s="126" t="str">
        <f>'حضور ميخائيل'!I8</f>
        <v/>
      </c>
      <c r="G17" s="126"/>
      <c r="H17" s="126"/>
      <c r="J17" s="126" t="str">
        <f>'حضور ميخائيل'!I9</f>
        <v/>
      </c>
      <c r="K17" s="126"/>
      <c r="L17" s="126"/>
      <c r="P17">
        <v>9</v>
      </c>
      <c r="Q17">
        <f>'حضور ميخائيل'!BL15</f>
        <v>0</v>
      </c>
      <c r="R17" t="str">
        <f>IF(Q17=0,"",INDEX('قاعدة البيانات'!$D$6:$D$305,Q17))</f>
        <v/>
      </c>
      <c r="S17">
        <f>'حضور ميخائيل'!BM15</f>
        <v>0</v>
      </c>
    </row>
    <row r="18" spans="2:19" ht="19.5" customHeight="1">
      <c r="B18" s="127" t="str">
        <f>IF($Q$9=0,"","🗓️ آخر حضور: "&amp;IF(ISNUMBER('حضور ميخائيل'!H7),DAY('حضور ميخائيل'!H7)&amp;"/"&amp;MONTH('حضور ميخائيل'!H7)&amp;"/"&amp;YEAR('حضور ميخائيل'!H7),"—")&amp;"   •   غياب متتالي: "&amp;'حضور ميخائيل'!G7)</f>
        <v/>
      </c>
      <c r="C18" s="127"/>
      <c r="D18" s="127"/>
      <c r="F18" s="127" t="str">
        <f>IF($Q$10=0,"","🗓️ آخر حضور: "&amp;IF(ISNUMBER('حضور ميخائيل'!H8),DAY('حضور ميخائيل'!H8)&amp;"/"&amp;MONTH('حضور ميخائيل'!H8)&amp;"/"&amp;YEAR('حضور ميخائيل'!H8),"—")&amp;"   •   غياب متتالي: "&amp;'حضور ميخائيل'!G8)</f>
        <v/>
      </c>
      <c r="G18" s="127"/>
      <c r="H18" s="127"/>
      <c r="J18" s="127" t="str">
        <f>IF($Q$11=0,"","🗓️ آخر حضور: "&amp;IF(ISNUMBER('حضور ميخائيل'!H9),DAY('حضور ميخائيل'!H9)&amp;"/"&amp;MONTH('حضور ميخائيل'!H9)&amp;"/"&amp;YEAR('حضور ميخائيل'!H9),"—")&amp;"   •   غياب متتالي: "&amp;'حضور ميخائيل'!G9)</f>
        <v/>
      </c>
      <c r="K18" s="127"/>
      <c r="L18" s="127"/>
      <c r="P18">
        <v>10</v>
      </c>
      <c r="Q18">
        <f>'حضور ميخائيل'!BL16</f>
        <v>0</v>
      </c>
      <c r="R18" t="str">
        <f>IF(Q18=0,"",INDEX('قاعدة البيانات'!$D$6:$D$305,Q18))</f>
        <v/>
      </c>
      <c r="S18">
        <f>'حضور ميخائيل'!BM16</f>
        <v>0</v>
      </c>
    </row>
    <row r="19" spans="2:19" ht="13.5" customHeight="1">
      <c r="P19">
        <v>11</v>
      </c>
      <c r="Q19">
        <f>'حضور ميخائيل'!BL17</f>
        <v>0</v>
      </c>
      <c r="R19" t="str">
        <f>IF(Q19=0,"",INDEX('قاعدة البيانات'!$D$6:$D$305,Q19))</f>
        <v/>
      </c>
      <c r="S19">
        <f>'حضور ميخائيل'!BM17</f>
        <v>0</v>
      </c>
    </row>
    <row r="20" spans="2:19" ht="30" customHeight="1">
      <c r="B20" s="122" t="str">
        <f>IF($Q$12=0,"",IF(INDEX('قاعدة البيانات'!$D$6:$D$305,$Q$12)="بنت","👧 ","👦 ")&amp;INDEX('قاعدة البيانات'!$C$6:$C$305,$Q$12))</f>
        <v/>
      </c>
      <c r="C20" s="122"/>
      <c r="D20" s="122"/>
      <c r="F20" s="122" t="str">
        <f>IF($Q$13=0,"",IF(INDEX('قاعدة البيانات'!$D$6:$D$305,$Q$13)="بنت","👧 ","👦 ")&amp;INDEX('قاعدة البيانات'!$C$6:$C$305,$Q$13))</f>
        <v/>
      </c>
      <c r="G20" s="122"/>
      <c r="H20" s="122"/>
      <c r="J20" s="122" t="str">
        <f>IF($Q$14=0,"",IF(INDEX('قاعدة البيانات'!$D$6:$D$305,$Q$14)="بنت","👧 ","👦 ")&amp;INDEX('قاعدة البيانات'!$C$6:$C$305,$Q$14))</f>
        <v/>
      </c>
      <c r="K20" s="122"/>
      <c r="L20" s="122"/>
      <c r="P20">
        <v>12</v>
      </c>
      <c r="Q20">
        <f>'حضور ميخائيل'!BL18</f>
        <v>0</v>
      </c>
      <c r="R20" t="str">
        <f>IF(Q20=0,"",INDEX('قاعدة البيانات'!$D$6:$D$305,Q20))</f>
        <v/>
      </c>
      <c r="S20">
        <f>'حضور ميخائيل'!BM18</f>
        <v>0</v>
      </c>
    </row>
    <row r="21" spans="2:19" ht="108" customHeight="1">
      <c r="B21" s="37" t="str">
        <f>IF($Q$12=0,"",IF(ISBLANK(INDEX('قاعدة البيانات'!$K$6:$K$305,$Q$12)),LEFT(INDEX('قاعدة البيانات'!$C$6:$C$305,$Q$12),1),INDEX('قاعدة البيانات'!$K$6:$K$305,$Q$12)))</f>
        <v/>
      </c>
      <c r="C21" s="123"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c>
      <c r="D21" s="123"/>
      <c r="F21" s="37" t="str">
        <f>IF($Q$13=0,"",IF(ISBLANK(INDEX('قاعدة البيانات'!$K$6:$K$305,$Q$13)),LEFT(INDEX('قاعدة البيانات'!$C$6:$C$305,$Q$13),1),INDEX('قاعدة البيانات'!$K$6:$K$305,$Q$13)))</f>
        <v/>
      </c>
      <c r="G21" s="123"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c>
      <c r="H21" s="123"/>
      <c r="J21" s="37" t="str">
        <f>IF($Q$14=0,"",IF(ISBLANK(INDEX('قاعدة البيانات'!$K$6:$K$305,$Q$14)),LEFT(INDEX('قاعدة البيانات'!$C$6:$C$305,$Q$14),1),INDEX('قاعدة البيانات'!$K$6:$K$305,$Q$14)))</f>
        <v/>
      </c>
      <c r="K21" s="123"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c>
      <c r="L21" s="123"/>
      <c r="P21">
        <v>13</v>
      </c>
      <c r="Q21">
        <f>'حضور ميخائيل'!BL19</f>
        <v>0</v>
      </c>
      <c r="R21" t="str">
        <f>IF(Q21=0,"",INDEX('قاعدة البيانات'!$D$6:$D$305,Q21))</f>
        <v/>
      </c>
      <c r="S21">
        <f>'حضور ميخائيل'!BM19</f>
        <v>0</v>
      </c>
    </row>
    <row r="22" spans="2:19" ht="24" customHeight="1">
      <c r="B22" s="38" t="str">
        <f>IF($Q$12=0,"","👩 ماما")</f>
        <v/>
      </c>
      <c r="C22" s="39" t="str">
        <f>IF($Q$12=0,"",IF(INDEX('قاعدة البيانات'!$H$6:$H$305,$Q$12)="","— مفيش رقم —",HYPERLINK("tel:"&amp;INDEX('قاعدة البيانات'!$H$6:$H$305,$Q$12),"📞 "&amp;INDEX('قاعدة البيانات'!$H$6:$H$305,$Q$12))))</f>
        <v/>
      </c>
      <c r="D22" s="40" t="str">
        <f>IF(OR($Q$12=0,INDEX('قاعدة البيانات'!$H$6:$H$305,$Q$12)=""),"",HYPERLINK("https://wa.me/20"&amp;RIGHT(INDEX('قاعدة البيانات'!$H$6:$H$305,$Q$12),10),"💬 واتساب"))</f>
        <v/>
      </c>
      <c r="F22" s="38" t="str">
        <f>IF($Q$13=0,"","👩 ماما")</f>
        <v/>
      </c>
      <c r="G22" s="39" t="str">
        <f>IF($Q$13=0,"",IF(INDEX('قاعدة البيانات'!$H$6:$H$305,$Q$13)="","— مفيش رقم —",HYPERLINK("tel:"&amp;INDEX('قاعدة البيانات'!$H$6:$H$305,$Q$13),"📞 "&amp;INDEX('قاعدة البيانات'!$H$6:$H$305,$Q$13))))</f>
        <v/>
      </c>
      <c r="H22" s="40" t="str">
        <f>IF(OR($Q$13=0,INDEX('قاعدة البيانات'!$H$6:$H$305,$Q$13)=""),"",HYPERLINK("https://wa.me/20"&amp;RIGHT(INDEX('قاعدة البيانات'!$H$6:$H$305,$Q$13),10),"💬 واتساب"))</f>
        <v/>
      </c>
      <c r="J22" s="38" t="str">
        <f>IF($Q$14=0,"","👩 ماما")</f>
        <v/>
      </c>
      <c r="K22" s="39" t="str">
        <f>IF($Q$14=0,"",IF(INDEX('قاعدة البيانات'!$H$6:$H$305,$Q$14)="","— مفيش رقم —",HYPERLINK("tel:"&amp;INDEX('قاعدة البيانات'!$H$6:$H$305,$Q$14),"📞 "&amp;INDEX('قاعدة البيانات'!$H$6:$H$305,$Q$14))))</f>
        <v/>
      </c>
      <c r="L22" s="40" t="str">
        <f>IF(OR($Q$14=0,INDEX('قاعدة البيانات'!$H$6:$H$305,$Q$14)=""),"",HYPERLINK("https://wa.me/20"&amp;RIGHT(INDEX('قاعدة البيانات'!$H$6:$H$305,$Q$14),10),"💬 واتساب"))</f>
        <v/>
      </c>
      <c r="P22">
        <v>14</v>
      </c>
      <c r="Q22">
        <f>'حضور ميخائيل'!BL20</f>
        <v>0</v>
      </c>
      <c r="R22" t="str">
        <f>IF(Q22=0,"",INDEX('قاعدة البيانات'!$D$6:$D$305,Q22))</f>
        <v/>
      </c>
      <c r="S22">
        <f>'حضور ميخائيل'!BM20</f>
        <v>0</v>
      </c>
    </row>
    <row r="23" spans="2:19" ht="24" customHeight="1">
      <c r="B23" s="38" t="str">
        <f>IF($Q$12=0,"","👨 بابا")</f>
        <v/>
      </c>
      <c r="C23" s="39" t="str">
        <f>IF($Q$12=0,"",IF(INDEX('قاعدة البيانات'!$I$6:$I$305,$Q$12)="","— مفيش رقم —",HYPERLINK("tel:"&amp;INDEX('قاعدة البيانات'!$I$6:$I$305,$Q$12),"📞 "&amp;INDEX('قاعدة البيانات'!$I$6:$I$305,$Q$12))))</f>
        <v/>
      </c>
      <c r="D23" s="40" t="str">
        <f>IF(OR($Q$12=0,INDEX('قاعدة البيانات'!$I$6:$I$305,$Q$12)=""),"",HYPERLINK("https://wa.me/20"&amp;RIGHT(INDEX('قاعدة البيانات'!$I$6:$I$305,$Q$12),10),"💬 واتساب"))</f>
        <v/>
      </c>
      <c r="F23" s="38" t="str">
        <f>IF($Q$13=0,"","👨 بابا")</f>
        <v/>
      </c>
      <c r="G23" s="39" t="str">
        <f>IF($Q$13=0,"",IF(INDEX('قاعدة البيانات'!$I$6:$I$305,$Q$13)="","— مفيش رقم —",HYPERLINK("tel:"&amp;INDEX('قاعدة البيانات'!$I$6:$I$305,$Q$13),"📞 "&amp;INDEX('قاعدة البيانات'!$I$6:$I$305,$Q$13))))</f>
        <v/>
      </c>
      <c r="H23" s="40" t="str">
        <f>IF(OR($Q$13=0,INDEX('قاعدة البيانات'!$I$6:$I$305,$Q$13)=""),"",HYPERLINK("https://wa.me/20"&amp;RIGHT(INDEX('قاعدة البيانات'!$I$6:$I$305,$Q$13),10),"💬 واتساب"))</f>
        <v/>
      </c>
      <c r="J23" s="38" t="str">
        <f>IF($Q$14=0,"","👨 بابا")</f>
        <v/>
      </c>
      <c r="K23" s="39" t="str">
        <f>IF($Q$14=0,"",IF(INDEX('قاعدة البيانات'!$I$6:$I$305,$Q$14)="","— مفيش رقم —",HYPERLINK("tel:"&amp;INDEX('قاعدة البيانات'!$I$6:$I$305,$Q$14),"📞 "&amp;INDEX('قاعدة البيانات'!$I$6:$I$305,$Q$14))))</f>
        <v/>
      </c>
      <c r="L23" s="40" t="str">
        <f>IF(OR($Q$14=0,INDEX('قاعدة البيانات'!$I$6:$I$305,$Q$14)=""),"",HYPERLINK("https://wa.me/20"&amp;RIGHT(INDEX('قاعدة البيانات'!$I$6:$I$305,$Q$14),10),"💬 واتساب"))</f>
        <v/>
      </c>
      <c r="P23">
        <v>15</v>
      </c>
      <c r="Q23">
        <f>'حضور ميخائيل'!BL21</f>
        <v>0</v>
      </c>
      <c r="R23" t="str">
        <f>IF(Q23=0,"",INDEX('قاعدة البيانات'!$D$6:$D$305,Q23))</f>
        <v/>
      </c>
      <c r="S23">
        <f>'حضور ميخائيل'!BM21</f>
        <v>0</v>
      </c>
    </row>
    <row r="24" spans="2:19" ht="37.5" customHeight="1">
      <c r="B24" s="124" t="str">
        <f>IF($Q$12=0,"","📍 "&amp;IF(INDEX('قاعدة البيانات'!$J$6:$J$305,$Q$12)="","— مفيش عنوان —",INDEX('قاعدة البيانات'!$J$6:$J$305,$Q$12)))</f>
        <v/>
      </c>
      <c r="C24" s="124"/>
      <c r="D24" s="124"/>
      <c r="F24" s="124" t="str">
        <f>IF($Q$13=0,"","📍 "&amp;IF(INDEX('قاعدة البيانات'!$J$6:$J$305,$Q$13)="","— مفيش عنوان —",INDEX('قاعدة البيانات'!$J$6:$J$305,$Q$13)))</f>
        <v/>
      </c>
      <c r="G24" s="124"/>
      <c r="H24" s="124"/>
      <c r="J24" s="124" t="str">
        <f>IF($Q$14=0,"","📍 "&amp;IF(INDEX('قاعدة البيانات'!$J$6:$J$305,$Q$14)="","— مفيش عنوان —",INDEX('قاعدة البيانات'!$J$6:$J$305,$Q$14)))</f>
        <v/>
      </c>
      <c r="K24" s="124"/>
      <c r="L24" s="124"/>
      <c r="P24">
        <v>16</v>
      </c>
      <c r="Q24">
        <f>'حضور ميخائيل'!BL22</f>
        <v>0</v>
      </c>
      <c r="R24" t="str">
        <f>IF(Q24=0,"",INDEX('قاعدة البيانات'!$D$6:$D$305,Q24))</f>
        <v/>
      </c>
      <c r="S24">
        <f>'حضور ميخائيل'!BM22</f>
        <v>0</v>
      </c>
    </row>
    <row r="25" spans="2:19" ht="21.75" customHeight="1">
      <c r="B25" s="125" t="str">
        <f>IF($Q$12=0,"","📊 إحصائيات الحضور")</f>
        <v/>
      </c>
      <c r="C25" s="125"/>
      <c r="D25" s="125"/>
      <c r="F25" s="125" t="str">
        <f>IF($Q$13=0,"","📊 إحصائيات الحضور")</f>
        <v/>
      </c>
      <c r="G25" s="125"/>
      <c r="H25" s="125"/>
      <c r="J25" s="125" t="str">
        <f>IF($Q$14=0,"","📊 إحصائيات الحضور")</f>
        <v/>
      </c>
      <c r="K25" s="125"/>
      <c r="L25" s="125"/>
      <c r="P25">
        <v>17</v>
      </c>
      <c r="Q25">
        <f>'حضور ميخائيل'!BL23</f>
        <v>0</v>
      </c>
      <c r="R25" t="str">
        <f>IF(Q25=0,"",INDEX('قاعدة البيانات'!$D$6:$D$305,Q25))</f>
        <v/>
      </c>
      <c r="S25">
        <f>'حضور ميخائيل'!BM23</f>
        <v>0</v>
      </c>
    </row>
    <row r="26" spans="2:19" ht="15.75" customHeight="1">
      <c r="B26" s="41" t="str">
        <f>IF($Q$12=0,"","✅ حضور")</f>
        <v/>
      </c>
      <c r="C26" s="41" t="str">
        <f>IF($Q$12=0,"","❌ غياب")</f>
        <v/>
      </c>
      <c r="D26" s="41" t="str">
        <f>IF($Q$12=0,"","📈 النسبة")</f>
        <v/>
      </c>
      <c r="F26" s="41" t="str">
        <f>IF($Q$13=0,"","✅ حضور")</f>
        <v/>
      </c>
      <c r="G26" s="41" t="str">
        <f>IF($Q$13=0,"","❌ غياب")</f>
        <v/>
      </c>
      <c r="H26" s="41" t="str">
        <f>IF($Q$13=0,"","📈 النسبة")</f>
        <v/>
      </c>
      <c r="J26" s="41" t="str">
        <f>IF($Q$14=0,"","✅ حضور")</f>
        <v/>
      </c>
      <c r="K26" s="41" t="str">
        <f>IF($Q$14=0,"","❌ غياب")</f>
        <v/>
      </c>
      <c r="L26" s="41" t="str">
        <f>IF($Q$14=0,"","📈 النسبة")</f>
        <v/>
      </c>
      <c r="P26">
        <v>18</v>
      </c>
      <c r="Q26">
        <f>'حضور ميخائيل'!BL24</f>
        <v>0</v>
      </c>
      <c r="R26" t="str">
        <f>IF(Q26=0,"",INDEX('قاعدة البيانات'!$D$6:$D$305,Q26))</f>
        <v/>
      </c>
      <c r="S26">
        <f>'حضور ميخائيل'!BM24</f>
        <v>0</v>
      </c>
    </row>
    <row r="27" spans="2:19" ht="33.75" customHeight="1">
      <c r="B27" s="42" t="str">
        <f>'حضور ميخائيل'!C10</f>
        <v/>
      </c>
      <c r="C27" s="43" t="str">
        <f>'حضور ميخائيل'!D10</f>
        <v/>
      </c>
      <c r="D27" s="44" t="str">
        <f>'حضور ميخائيل'!F10</f>
        <v/>
      </c>
      <c r="F27" s="42" t="str">
        <f>'حضور ميخائيل'!C11</f>
        <v/>
      </c>
      <c r="G27" s="43" t="str">
        <f>'حضور ميخائيل'!D11</f>
        <v/>
      </c>
      <c r="H27" s="44" t="str">
        <f>'حضور ميخائيل'!F11</f>
        <v/>
      </c>
      <c r="J27" s="42" t="str">
        <f>'حضور ميخائيل'!C12</f>
        <v/>
      </c>
      <c r="K27" s="43" t="str">
        <f>'حضور ميخائيل'!D12</f>
        <v/>
      </c>
      <c r="L27" s="44" t="str">
        <f>'حضور ميخائيل'!F12</f>
        <v/>
      </c>
      <c r="P27">
        <v>19</v>
      </c>
      <c r="Q27">
        <f>'حضور ميخائيل'!BL25</f>
        <v>0</v>
      </c>
      <c r="R27" t="str">
        <f>IF(Q27=0,"",INDEX('قاعدة البيانات'!$D$6:$D$305,Q27))</f>
        <v/>
      </c>
      <c r="S27">
        <f>'حضور ميخائيل'!BM25</f>
        <v>0</v>
      </c>
    </row>
    <row r="28" spans="2:19" ht="24" customHeight="1">
      <c r="B28" s="126" t="str">
        <f>'حضور ميخائيل'!I10</f>
        <v/>
      </c>
      <c r="C28" s="126"/>
      <c r="D28" s="126"/>
      <c r="F28" s="126" t="str">
        <f>'حضور ميخائيل'!I11</f>
        <v/>
      </c>
      <c r="G28" s="126"/>
      <c r="H28" s="126"/>
      <c r="J28" s="126" t="str">
        <f>'حضور ميخائيل'!I12</f>
        <v/>
      </c>
      <c r="K28" s="126"/>
      <c r="L28" s="126"/>
      <c r="P28">
        <v>20</v>
      </c>
      <c r="Q28">
        <f>'حضور ميخائيل'!BL26</f>
        <v>0</v>
      </c>
      <c r="R28" t="str">
        <f>IF(Q28=0,"",INDEX('قاعدة البيانات'!$D$6:$D$305,Q28))</f>
        <v/>
      </c>
      <c r="S28">
        <f>'حضور ميخائيل'!BM26</f>
        <v>0</v>
      </c>
    </row>
    <row r="29" spans="2:19" ht="19.5" customHeight="1">
      <c r="B29" s="127" t="str">
        <f>IF($Q$12=0,"","🗓️ آخر حضور: "&amp;IF(ISNUMBER('حضور ميخائيل'!H10),DAY('حضور ميخائيل'!H10)&amp;"/"&amp;MONTH('حضور ميخائيل'!H10)&amp;"/"&amp;YEAR('حضور ميخائيل'!H10),"—")&amp;"   •   غياب متتالي: "&amp;'حضور ميخائيل'!G10)</f>
        <v/>
      </c>
      <c r="C29" s="127"/>
      <c r="D29" s="127"/>
      <c r="F29" s="127" t="str">
        <f>IF($Q$13=0,"","🗓️ آخر حضور: "&amp;IF(ISNUMBER('حضور ميخائيل'!H11),DAY('حضور ميخائيل'!H11)&amp;"/"&amp;MONTH('حضور ميخائيل'!H11)&amp;"/"&amp;YEAR('حضور ميخائيل'!H11),"—")&amp;"   •   غياب متتالي: "&amp;'حضور ميخائيل'!G11)</f>
        <v/>
      </c>
      <c r="G29" s="127"/>
      <c r="H29" s="127"/>
      <c r="J29" s="127" t="str">
        <f>IF($Q$14=0,"","🗓️ آخر حضور: "&amp;IF(ISNUMBER('حضور ميخائيل'!H12),DAY('حضور ميخائيل'!H12)&amp;"/"&amp;MONTH('حضور ميخائيل'!H12)&amp;"/"&amp;YEAR('حضور ميخائيل'!H12),"—")&amp;"   •   غياب متتالي: "&amp;'حضور ميخائيل'!G12)</f>
        <v/>
      </c>
      <c r="K29" s="127"/>
      <c r="L29" s="127"/>
      <c r="P29">
        <v>21</v>
      </c>
      <c r="Q29">
        <f>'حضور ميخائيل'!BL27</f>
        <v>0</v>
      </c>
      <c r="R29" t="str">
        <f>IF(Q29=0,"",INDEX('قاعدة البيانات'!$D$6:$D$305,Q29))</f>
        <v/>
      </c>
      <c r="S29">
        <f>'حضور ميخائيل'!BM27</f>
        <v>0</v>
      </c>
    </row>
    <row r="30" spans="2:19" ht="13.5" customHeight="1">
      <c r="P30">
        <v>22</v>
      </c>
      <c r="Q30">
        <f>'حضور ميخائيل'!BL28</f>
        <v>0</v>
      </c>
      <c r="R30" t="str">
        <f>IF(Q30=0,"",INDEX('قاعدة البيانات'!$D$6:$D$305,Q30))</f>
        <v/>
      </c>
      <c r="S30">
        <f>'حضور ميخائيل'!BM28</f>
        <v>0</v>
      </c>
    </row>
    <row r="31" spans="2:19" ht="30" customHeight="1">
      <c r="B31" s="122" t="str">
        <f>IF($Q$15=0,"",IF(INDEX('قاعدة البيانات'!$D$6:$D$305,$Q$15)="بنت","👧 ","👦 ")&amp;INDEX('قاعدة البيانات'!$C$6:$C$305,$Q$15))</f>
        <v/>
      </c>
      <c r="C31" s="122"/>
      <c r="D31" s="122"/>
      <c r="F31" s="122" t="str">
        <f>IF($Q$16=0,"",IF(INDEX('قاعدة البيانات'!$D$6:$D$305,$Q$16)="بنت","👧 ","👦 ")&amp;INDEX('قاعدة البيانات'!$C$6:$C$305,$Q$16))</f>
        <v/>
      </c>
      <c r="G31" s="122"/>
      <c r="H31" s="122"/>
      <c r="J31" s="122" t="str">
        <f>IF($Q$17=0,"",IF(INDEX('قاعدة البيانات'!$D$6:$D$305,$Q$17)="بنت","👧 ","👦 ")&amp;INDEX('قاعدة البيانات'!$C$6:$C$305,$Q$17))</f>
        <v/>
      </c>
      <c r="K31" s="122"/>
      <c r="L31" s="122"/>
      <c r="P31">
        <v>23</v>
      </c>
      <c r="Q31">
        <f>'حضور ميخائيل'!BL29</f>
        <v>0</v>
      </c>
      <c r="R31" t="str">
        <f>IF(Q31=0,"",INDEX('قاعدة البيانات'!$D$6:$D$305,Q31))</f>
        <v/>
      </c>
      <c r="S31">
        <f>'حضور ميخائيل'!BM29</f>
        <v>0</v>
      </c>
    </row>
    <row r="32" spans="2:19" ht="108" customHeight="1">
      <c r="B32" s="37" t="str">
        <f>IF($Q$15=0,"",IF(ISBLANK(INDEX('قاعدة البيانات'!$K$6:$K$305,$Q$15)),LEFT(INDEX('قاعدة البيانات'!$C$6:$C$305,$Q$15),1),INDEX('قاعدة البيانات'!$K$6:$K$305,$Q$15)))</f>
        <v/>
      </c>
      <c r="C32" s="123"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c>
      <c r="D32" s="123"/>
      <c r="F32" s="37" t="str">
        <f>IF($Q$16=0,"",IF(ISBLANK(INDEX('قاعدة البيانات'!$K$6:$K$305,$Q$16)),LEFT(INDEX('قاعدة البيانات'!$C$6:$C$305,$Q$16),1),INDEX('قاعدة البيانات'!$K$6:$K$305,$Q$16)))</f>
        <v/>
      </c>
      <c r="G32" s="123"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c>
      <c r="H32" s="123"/>
      <c r="J32" s="37" t="str">
        <f>IF($Q$17=0,"",IF(ISBLANK(INDEX('قاعدة البيانات'!$K$6:$K$305,$Q$17)),LEFT(INDEX('قاعدة البيانات'!$C$6:$C$305,$Q$17),1),INDEX('قاعدة البيانات'!$K$6:$K$305,$Q$17)))</f>
        <v/>
      </c>
      <c r="K32" s="123"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c>
      <c r="L32" s="123"/>
      <c r="P32">
        <v>24</v>
      </c>
      <c r="Q32">
        <f>'حضور ميخائيل'!BL30</f>
        <v>0</v>
      </c>
      <c r="R32" t="str">
        <f>IF(Q32=0,"",INDEX('قاعدة البيانات'!$D$6:$D$305,Q32))</f>
        <v/>
      </c>
      <c r="S32">
        <f>'حضور ميخائيل'!BM30</f>
        <v>0</v>
      </c>
    </row>
    <row r="33" spans="2:19" ht="24" customHeight="1">
      <c r="B33" s="38" t="str">
        <f>IF($Q$15=0,"","👩 ماما")</f>
        <v/>
      </c>
      <c r="C33" s="39" t="str">
        <f>IF($Q$15=0,"",IF(INDEX('قاعدة البيانات'!$H$6:$H$305,$Q$15)="","— مفيش رقم —",HYPERLINK("tel:"&amp;INDEX('قاعدة البيانات'!$H$6:$H$305,$Q$15),"📞 "&amp;INDEX('قاعدة البيانات'!$H$6:$H$305,$Q$15))))</f>
        <v/>
      </c>
      <c r="D33" s="40" t="str">
        <f>IF(OR($Q$15=0,INDEX('قاعدة البيانات'!$H$6:$H$305,$Q$15)=""),"",HYPERLINK("https://wa.me/20"&amp;RIGHT(INDEX('قاعدة البيانات'!$H$6:$H$305,$Q$15),10),"💬 واتساب"))</f>
        <v/>
      </c>
      <c r="F33" s="38" t="str">
        <f>IF($Q$16=0,"","👩 ماما")</f>
        <v/>
      </c>
      <c r="G33" s="39" t="str">
        <f>IF($Q$16=0,"",IF(INDEX('قاعدة البيانات'!$H$6:$H$305,$Q$16)="","— مفيش رقم —",HYPERLINK("tel:"&amp;INDEX('قاعدة البيانات'!$H$6:$H$305,$Q$16),"📞 "&amp;INDEX('قاعدة البيانات'!$H$6:$H$305,$Q$16))))</f>
        <v/>
      </c>
      <c r="H33" s="40" t="str">
        <f>IF(OR($Q$16=0,INDEX('قاعدة البيانات'!$H$6:$H$305,$Q$16)=""),"",HYPERLINK("https://wa.me/20"&amp;RIGHT(INDEX('قاعدة البيانات'!$H$6:$H$305,$Q$16),10),"💬 واتساب"))</f>
        <v/>
      </c>
      <c r="J33" s="38" t="str">
        <f>IF($Q$17=0,"","👩 ماما")</f>
        <v/>
      </c>
      <c r="K33" s="39" t="str">
        <f>IF($Q$17=0,"",IF(INDEX('قاعدة البيانات'!$H$6:$H$305,$Q$17)="","— مفيش رقم —",HYPERLINK("tel:"&amp;INDEX('قاعدة البيانات'!$H$6:$H$305,$Q$17),"📞 "&amp;INDEX('قاعدة البيانات'!$H$6:$H$305,$Q$17))))</f>
        <v/>
      </c>
      <c r="L33" s="40" t="str">
        <f>IF(OR($Q$17=0,INDEX('قاعدة البيانات'!$H$6:$H$305,$Q$17)=""),"",HYPERLINK("https://wa.me/20"&amp;RIGHT(INDEX('قاعدة البيانات'!$H$6:$H$305,$Q$17),10),"💬 واتساب"))</f>
        <v/>
      </c>
      <c r="P33">
        <v>25</v>
      </c>
      <c r="Q33">
        <f>'حضور ميخائيل'!BL31</f>
        <v>0</v>
      </c>
      <c r="R33" t="str">
        <f>IF(Q33=0,"",INDEX('قاعدة البيانات'!$D$6:$D$305,Q33))</f>
        <v/>
      </c>
      <c r="S33">
        <f>'حضور ميخائيل'!BM31</f>
        <v>0</v>
      </c>
    </row>
    <row r="34" spans="2:19" ht="24" customHeight="1">
      <c r="B34" s="38" t="str">
        <f>IF($Q$15=0,"","👨 بابا")</f>
        <v/>
      </c>
      <c r="C34" s="39" t="str">
        <f>IF($Q$15=0,"",IF(INDEX('قاعدة البيانات'!$I$6:$I$305,$Q$15)="","— مفيش رقم —",HYPERLINK("tel:"&amp;INDEX('قاعدة البيانات'!$I$6:$I$305,$Q$15),"📞 "&amp;INDEX('قاعدة البيانات'!$I$6:$I$305,$Q$15))))</f>
        <v/>
      </c>
      <c r="D34" s="40" t="str">
        <f>IF(OR($Q$15=0,INDEX('قاعدة البيانات'!$I$6:$I$305,$Q$15)=""),"",HYPERLINK("https://wa.me/20"&amp;RIGHT(INDEX('قاعدة البيانات'!$I$6:$I$305,$Q$15),10),"💬 واتساب"))</f>
        <v/>
      </c>
      <c r="F34" s="38" t="str">
        <f>IF($Q$16=0,"","👨 بابا")</f>
        <v/>
      </c>
      <c r="G34" s="39" t="str">
        <f>IF($Q$16=0,"",IF(INDEX('قاعدة البيانات'!$I$6:$I$305,$Q$16)="","— مفيش رقم —",HYPERLINK("tel:"&amp;INDEX('قاعدة البيانات'!$I$6:$I$305,$Q$16),"📞 "&amp;INDEX('قاعدة البيانات'!$I$6:$I$305,$Q$16))))</f>
        <v/>
      </c>
      <c r="H34" s="40" t="str">
        <f>IF(OR($Q$16=0,INDEX('قاعدة البيانات'!$I$6:$I$305,$Q$16)=""),"",HYPERLINK("https://wa.me/20"&amp;RIGHT(INDEX('قاعدة البيانات'!$I$6:$I$305,$Q$16),10),"💬 واتساب"))</f>
        <v/>
      </c>
      <c r="J34" s="38" t="str">
        <f>IF($Q$17=0,"","👨 بابا")</f>
        <v/>
      </c>
      <c r="K34" s="39" t="str">
        <f>IF($Q$17=0,"",IF(INDEX('قاعدة البيانات'!$I$6:$I$305,$Q$17)="","— مفيش رقم —",HYPERLINK("tel:"&amp;INDEX('قاعدة البيانات'!$I$6:$I$305,$Q$17),"📞 "&amp;INDEX('قاعدة البيانات'!$I$6:$I$305,$Q$17))))</f>
        <v/>
      </c>
      <c r="L34" s="40" t="str">
        <f>IF(OR($Q$17=0,INDEX('قاعدة البيانات'!$I$6:$I$305,$Q$17)=""),"",HYPERLINK("https://wa.me/20"&amp;RIGHT(INDEX('قاعدة البيانات'!$I$6:$I$305,$Q$17),10),"💬 واتساب"))</f>
        <v/>
      </c>
      <c r="P34">
        <v>26</v>
      </c>
      <c r="Q34">
        <f>'حضور ميخائيل'!BL32</f>
        <v>0</v>
      </c>
      <c r="R34" t="str">
        <f>IF(Q34=0,"",INDEX('قاعدة البيانات'!$D$6:$D$305,Q34))</f>
        <v/>
      </c>
      <c r="S34">
        <f>'حضور ميخائيل'!BM32</f>
        <v>0</v>
      </c>
    </row>
    <row r="35" spans="2:19" ht="37.5" customHeight="1">
      <c r="B35" s="124" t="str">
        <f>IF($Q$15=0,"","📍 "&amp;IF(INDEX('قاعدة البيانات'!$J$6:$J$305,$Q$15)="","— مفيش عنوان —",INDEX('قاعدة البيانات'!$J$6:$J$305,$Q$15)))</f>
        <v/>
      </c>
      <c r="C35" s="124"/>
      <c r="D35" s="124"/>
      <c r="F35" s="124" t="str">
        <f>IF($Q$16=0,"","📍 "&amp;IF(INDEX('قاعدة البيانات'!$J$6:$J$305,$Q$16)="","— مفيش عنوان —",INDEX('قاعدة البيانات'!$J$6:$J$305,$Q$16)))</f>
        <v/>
      </c>
      <c r="G35" s="124"/>
      <c r="H35" s="124"/>
      <c r="J35" s="124" t="str">
        <f>IF($Q$17=0,"","📍 "&amp;IF(INDEX('قاعدة البيانات'!$J$6:$J$305,$Q$17)="","— مفيش عنوان —",INDEX('قاعدة البيانات'!$J$6:$J$305,$Q$17)))</f>
        <v/>
      </c>
      <c r="K35" s="124"/>
      <c r="L35" s="124"/>
      <c r="P35">
        <v>27</v>
      </c>
      <c r="Q35">
        <f>'حضور ميخائيل'!BL33</f>
        <v>0</v>
      </c>
      <c r="R35" t="str">
        <f>IF(Q35=0,"",INDEX('قاعدة البيانات'!$D$6:$D$305,Q35))</f>
        <v/>
      </c>
      <c r="S35">
        <f>'حضور ميخائيل'!BM33</f>
        <v>0</v>
      </c>
    </row>
    <row r="36" spans="2:19" ht="21.75" customHeight="1">
      <c r="B36" s="125" t="str">
        <f>IF($Q$15=0,"","📊 إحصائيات الحضور")</f>
        <v/>
      </c>
      <c r="C36" s="125"/>
      <c r="D36" s="125"/>
      <c r="F36" s="125" t="str">
        <f>IF($Q$16=0,"","📊 إحصائيات الحضور")</f>
        <v/>
      </c>
      <c r="G36" s="125"/>
      <c r="H36" s="125"/>
      <c r="J36" s="125" t="str">
        <f>IF($Q$17=0,"","📊 إحصائيات الحضور")</f>
        <v/>
      </c>
      <c r="K36" s="125"/>
      <c r="L36" s="125"/>
      <c r="P36">
        <v>28</v>
      </c>
      <c r="Q36">
        <f>'حضور ميخائيل'!BL34</f>
        <v>0</v>
      </c>
      <c r="R36" t="str">
        <f>IF(Q36=0,"",INDEX('قاعدة البيانات'!$D$6:$D$305,Q36))</f>
        <v/>
      </c>
      <c r="S36">
        <f>'حضور ميخائيل'!BM34</f>
        <v>0</v>
      </c>
    </row>
    <row r="37" spans="2:19" ht="15.75" customHeight="1">
      <c r="B37" s="41" t="str">
        <f>IF($Q$15=0,"","✅ حضور")</f>
        <v/>
      </c>
      <c r="C37" s="41" t="str">
        <f>IF($Q$15=0,"","❌ غياب")</f>
        <v/>
      </c>
      <c r="D37" s="41" t="str">
        <f>IF($Q$15=0,"","📈 النسبة")</f>
        <v/>
      </c>
      <c r="F37" s="41" t="str">
        <f>IF($Q$16=0,"","✅ حضور")</f>
        <v/>
      </c>
      <c r="G37" s="41" t="str">
        <f>IF($Q$16=0,"","❌ غياب")</f>
        <v/>
      </c>
      <c r="H37" s="41" t="str">
        <f>IF($Q$16=0,"","📈 النسبة")</f>
        <v/>
      </c>
      <c r="J37" s="41" t="str">
        <f>IF($Q$17=0,"","✅ حضور")</f>
        <v/>
      </c>
      <c r="K37" s="41" t="str">
        <f>IF($Q$17=0,"","❌ غياب")</f>
        <v/>
      </c>
      <c r="L37" s="41" t="str">
        <f>IF($Q$17=0,"","📈 النسبة")</f>
        <v/>
      </c>
      <c r="P37">
        <v>29</v>
      </c>
      <c r="Q37">
        <f>'حضور ميخائيل'!BL35</f>
        <v>0</v>
      </c>
      <c r="R37" t="str">
        <f>IF(Q37=0,"",INDEX('قاعدة البيانات'!$D$6:$D$305,Q37))</f>
        <v/>
      </c>
      <c r="S37">
        <f>'حضور ميخائيل'!BM35</f>
        <v>0</v>
      </c>
    </row>
    <row r="38" spans="2:19" ht="33.75" customHeight="1">
      <c r="B38" s="42" t="str">
        <f>'حضور ميخائيل'!C13</f>
        <v/>
      </c>
      <c r="C38" s="43" t="str">
        <f>'حضور ميخائيل'!D13</f>
        <v/>
      </c>
      <c r="D38" s="44" t="str">
        <f>'حضور ميخائيل'!F13</f>
        <v/>
      </c>
      <c r="F38" s="42" t="str">
        <f>'حضور ميخائيل'!C14</f>
        <v/>
      </c>
      <c r="G38" s="43" t="str">
        <f>'حضور ميخائيل'!D14</f>
        <v/>
      </c>
      <c r="H38" s="44" t="str">
        <f>'حضور ميخائيل'!F14</f>
        <v/>
      </c>
      <c r="J38" s="42" t="str">
        <f>'حضور ميخائيل'!C15</f>
        <v/>
      </c>
      <c r="K38" s="43" t="str">
        <f>'حضور ميخائيل'!D15</f>
        <v/>
      </c>
      <c r="L38" s="44" t="str">
        <f>'حضور ميخائيل'!F15</f>
        <v/>
      </c>
      <c r="P38">
        <v>30</v>
      </c>
      <c r="Q38">
        <f>'حضور ميخائيل'!BL36</f>
        <v>0</v>
      </c>
      <c r="R38" t="str">
        <f>IF(Q38=0,"",INDEX('قاعدة البيانات'!$D$6:$D$305,Q38))</f>
        <v/>
      </c>
      <c r="S38">
        <f>'حضور ميخائيل'!BM36</f>
        <v>0</v>
      </c>
    </row>
    <row r="39" spans="2:19" ht="24" customHeight="1">
      <c r="B39" s="126" t="str">
        <f>'حضور ميخائيل'!I13</f>
        <v/>
      </c>
      <c r="C39" s="126"/>
      <c r="D39" s="126"/>
      <c r="F39" s="126" t="str">
        <f>'حضور ميخائيل'!I14</f>
        <v/>
      </c>
      <c r="G39" s="126"/>
      <c r="H39" s="126"/>
      <c r="J39" s="126" t="str">
        <f>'حضور ميخائيل'!I15</f>
        <v/>
      </c>
      <c r="K39" s="126"/>
      <c r="L39" s="126"/>
    </row>
    <row r="40" spans="2:19" ht="19.5" customHeight="1">
      <c r="B40" s="127" t="str">
        <f>IF($Q$15=0,"","🗓️ آخر حضور: "&amp;IF(ISNUMBER('حضور ميخائيل'!H13),DAY('حضور ميخائيل'!H13)&amp;"/"&amp;MONTH('حضور ميخائيل'!H13)&amp;"/"&amp;YEAR('حضور ميخائيل'!H13),"—")&amp;"   •   غياب متتالي: "&amp;'حضور ميخائيل'!G13)</f>
        <v/>
      </c>
      <c r="C40" s="127"/>
      <c r="D40" s="127"/>
      <c r="F40" s="127" t="str">
        <f>IF($Q$16=0,"","🗓️ آخر حضور: "&amp;IF(ISNUMBER('حضور ميخائيل'!H14),DAY('حضور ميخائيل'!H14)&amp;"/"&amp;MONTH('حضور ميخائيل'!H14)&amp;"/"&amp;YEAR('حضور ميخائيل'!H14),"—")&amp;"   •   غياب متتالي: "&amp;'حضور ميخائيل'!G14)</f>
        <v/>
      </c>
      <c r="G40" s="127"/>
      <c r="H40" s="127"/>
      <c r="J40" s="127" t="str">
        <f>IF($Q$17=0,"","🗓️ آخر حضور: "&amp;IF(ISNUMBER('حضور ميخائيل'!H15),DAY('حضور ميخائيل'!H15)&amp;"/"&amp;MONTH('حضور ميخائيل'!H15)&amp;"/"&amp;YEAR('حضور ميخائيل'!H15),"—")&amp;"   •   غياب متتالي: "&amp;'حضور ميخائيل'!G15)</f>
        <v/>
      </c>
      <c r="K40" s="127"/>
      <c r="L40" s="127"/>
    </row>
    <row r="41" spans="2:19" ht="13.5" customHeight="1"/>
    <row r="42" spans="2:19" ht="30" customHeight="1">
      <c r="B42" s="122" t="str">
        <f>IF($Q$18=0,"",IF(INDEX('قاعدة البيانات'!$D$6:$D$305,$Q$18)="بنت","👧 ","👦 ")&amp;INDEX('قاعدة البيانات'!$C$6:$C$305,$Q$18))</f>
        <v/>
      </c>
      <c r="C42" s="122"/>
      <c r="D42" s="122"/>
      <c r="F42" s="122" t="str">
        <f>IF($Q$19=0,"",IF(INDEX('قاعدة البيانات'!$D$6:$D$305,$Q$19)="بنت","👧 ","👦 ")&amp;INDEX('قاعدة البيانات'!$C$6:$C$305,$Q$19))</f>
        <v/>
      </c>
      <c r="G42" s="122"/>
      <c r="H42" s="122"/>
      <c r="J42" s="122" t="str">
        <f>IF($Q$20=0,"",IF(INDEX('قاعدة البيانات'!$D$6:$D$305,$Q$20)="بنت","👧 ","👦 ")&amp;INDEX('قاعدة البيانات'!$C$6:$C$305,$Q$20))</f>
        <v/>
      </c>
      <c r="K42" s="122"/>
      <c r="L42" s="122"/>
    </row>
    <row r="43" spans="2:19" ht="108" customHeight="1">
      <c r="B43" s="37" t="str">
        <f>IF($Q$18=0,"",IF(ISBLANK(INDEX('قاعدة البيانات'!$K$6:$K$305,$Q$18)),LEFT(INDEX('قاعدة البيانات'!$C$6:$C$305,$Q$18),1),INDEX('قاعدة البيانات'!$K$6:$K$305,$Q$18)))</f>
        <v/>
      </c>
      <c r="C43" s="123"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c>
      <c r="D43" s="123"/>
      <c r="F43" s="37" t="str">
        <f>IF($Q$19=0,"",IF(ISBLANK(INDEX('قاعدة البيانات'!$K$6:$K$305,$Q$19)),LEFT(INDEX('قاعدة البيانات'!$C$6:$C$305,$Q$19),1),INDEX('قاعدة البيانات'!$K$6:$K$305,$Q$19)))</f>
        <v/>
      </c>
      <c r="G43" s="123"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c>
      <c r="H43" s="123"/>
      <c r="J43" s="37" t="str">
        <f>IF($Q$20=0,"",IF(ISBLANK(INDEX('قاعدة البيانات'!$K$6:$K$305,$Q$20)),LEFT(INDEX('قاعدة البيانات'!$C$6:$C$305,$Q$20),1),INDEX('قاعدة البيانات'!$K$6:$K$305,$Q$20)))</f>
        <v/>
      </c>
      <c r="K43" s="123"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c>
      <c r="L43" s="123"/>
    </row>
    <row r="44" spans="2:19" ht="24" customHeight="1">
      <c r="B44" s="38" t="str">
        <f>IF($Q$18=0,"","👩 ماما")</f>
        <v/>
      </c>
      <c r="C44" s="39" t="str">
        <f>IF($Q$18=0,"",IF(INDEX('قاعدة البيانات'!$H$6:$H$305,$Q$18)="","— مفيش رقم —",HYPERLINK("tel:"&amp;INDEX('قاعدة البيانات'!$H$6:$H$305,$Q$18),"📞 "&amp;INDEX('قاعدة البيانات'!$H$6:$H$305,$Q$18))))</f>
        <v/>
      </c>
      <c r="D44" s="40" t="str">
        <f>IF(OR($Q$18=0,INDEX('قاعدة البيانات'!$H$6:$H$305,$Q$18)=""),"",HYPERLINK("https://wa.me/20"&amp;RIGHT(INDEX('قاعدة البيانات'!$H$6:$H$305,$Q$18),10),"💬 واتساب"))</f>
        <v/>
      </c>
      <c r="F44" s="38" t="str">
        <f>IF($Q$19=0,"","👩 ماما")</f>
        <v/>
      </c>
      <c r="G44" s="39" t="str">
        <f>IF($Q$19=0,"",IF(INDEX('قاعدة البيانات'!$H$6:$H$305,$Q$19)="","— مفيش رقم —",HYPERLINK("tel:"&amp;INDEX('قاعدة البيانات'!$H$6:$H$305,$Q$19),"📞 "&amp;INDEX('قاعدة البيانات'!$H$6:$H$305,$Q$19))))</f>
        <v/>
      </c>
      <c r="H44" s="40" t="str">
        <f>IF(OR($Q$19=0,INDEX('قاعدة البيانات'!$H$6:$H$305,$Q$19)=""),"",HYPERLINK("https://wa.me/20"&amp;RIGHT(INDEX('قاعدة البيانات'!$H$6:$H$305,$Q$19),10),"💬 واتساب"))</f>
        <v/>
      </c>
      <c r="J44" s="38" t="str">
        <f>IF($Q$20=0,"","👩 ماما")</f>
        <v/>
      </c>
      <c r="K44" s="39" t="str">
        <f>IF($Q$20=0,"",IF(INDEX('قاعدة البيانات'!$H$6:$H$305,$Q$20)="","— مفيش رقم —",HYPERLINK("tel:"&amp;INDEX('قاعدة البيانات'!$H$6:$H$305,$Q$20),"📞 "&amp;INDEX('قاعدة البيانات'!$H$6:$H$305,$Q$20))))</f>
        <v/>
      </c>
      <c r="L44" s="40" t="str">
        <f>IF(OR($Q$20=0,INDEX('قاعدة البيانات'!$H$6:$H$305,$Q$20)=""),"",HYPERLINK("https://wa.me/20"&amp;RIGHT(INDEX('قاعدة البيانات'!$H$6:$H$305,$Q$20),10),"💬 واتساب"))</f>
        <v/>
      </c>
    </row>
    <row r="45" spans="2:19" ht="24" customHeight="1">
      <c r="B45" s="38" t="str">
        <f>IF($Q$18=0,"","👨 بابا")</f>
        <v/>
      </c>
      <c r="C45" s="39" t="str">
        <f>IF($Q$18=0,"",IF(INDEX('قاعدة البيانات'!$I$6:$I$305,$Q$18)="","— مفيش رقم —",HYPERLINK("tel:"&amp;INDEX('قاعدة البيانات'!$I$6:$I$305,$Q$18),"📞 "&amp;INDEX('قاعدة البيانات'!$I$6:$I$305,$Q$18))))</f>
        <v/>
      </c>
      <c r="D45" s="40" t="str">
        <f>IF(OR($Q$18=0,INDEX('قاعدة البيانات'!$I$6:$I$305,$Q$18)=""),"",HYPERLINK("https://wa.me/20"&amp;RIGHT(INDEX('قاعدة البيانات'!$I$6:$I$305,$Q$18),10),"💬 واتساب"))</f>
        <v/>
      </c>
      <c r="F45" s="38" t="str">
        <f>IF($Q$19=0,"","👨 بابا")</f>
        <v/>
      </c>
      <c r="G45" s="39" t="str">
        <f>IF($Q$19=0,"",IF(INDEX('قاعدة البيانات'!$I$6:$I$305,$Q$19)="","— مفيش رقم —",HYPERLINK("tel:"&amp;INDEX('قاعدة البيانات'!$I$6:$I$305,$Q$19),"📞 "&amp;INDEX('قاعدة البيانات'!$I$6:$I$305,$Q$19))))</f>
        <v/>
      </c>
      <c r="H45" s="40" t="str">
        <f>IF(OR($Q$19=0,INDEX('قاعدة البيانات'!$I$6:$I$305,$Q$19)=""),"",HYPERLINK("https://wa.me/20"&amp;RIGHT(INDEX('قاعدة البيانات'!$I$6:$I$305,$Q$19),10),"💬 واتساب"))</f>
        <v/>
      </c>
      <c r="J45" s="38" t="str">
        <f>IF($Q$20=0,"","👨 بابا")</f>
        <v/>
      </c>
      <c r="K45" s="39" t="str">
        <f>IF($Q$20=0,"",IF(INDEX('قاعدة البيانات'!$I$6:$I$305,$Q$20)="","— مفيش رقم —",HYPERLINK("tel:"&amp;INDEX('قاعدة البيانات'!$I$6:$I$305,$Q$20),"📞 "&amp;INDEX('قاعدة البيانات'!$I$6:$I$305,$Q$20))))</f>
        <v/>
      </c>
      <c r="L45" s="40" t="str">
        <f>IF(OR($Q$20=0,INDEX('قاعدة البيانات'!$I$6:$I$305,$Q$20)=""),"",HYPERLINK("https://wa.me/20"&amp;RIGHT(INDEX('قاعدة البيانات'!$I$6:$I$305,$Q$20),10),"💬 واتساب"))</f>
        <v/>
      </c>
    </row>
    <row r="46" spans="2:19" ht="37.5" customHeight="1">
      <c r="B46" s="124" t="str">
        <f>IF($Q$18=0,"","📍 "&amp;IF(INDEX('قاعدة البيانات'!$J$6:$J$305,$Q$18)="","— مفيش عنوان —",INDEX('قاعدة البيانات'!$J$6:$J$305,$Q$18)))</f>
        <v/>
      </c>
      <c r="C46" s="124"/>
      <c r="D46" s="124"/>
      <c r="F46" s="124" t="str">
        <f>IF($Q$19=0,"","📍 "&amp;IF(INDEX('قاعدة البيانات'!$J$6:$J$305,$Q$19)="","— مفيش عنوان —",INDEX('قاعدة البيانات'!$J$6:$J$305,$Q$19)))</f>
        <v/>
      </c>
      <c r="G46" s="124"/>
      <c r="H46" s="124"/>
      <c r="J46" s="124" t="str">
        <f>IF($Q$20=0,"","📍 "&amp;IF(INDEX('قاعدة البيانات'!$J$6:$J$305,$Q$20)="","— مفيش عنوان —",INDEX('قاعدة البيانات'!$J$6:$J$305,$Q$20)))</f>
        <v/>
      </c>
      <c r="K46" s="124"/>
      <c r="L46" s="124"/>
    </row>
    <row r="47" spans="2:19" ht="21.75" customHeight="1">
      <c r="B47" s="125" t="str">
        <f>IF($Q$18=0,"","📊 إحصائيات الحضور")</f>
        <v/>
      </c>
      <c r="C47" s="125"/>
      <c r="D47" s="125"/>
      <c r="F47" s="125" t="str">
        <f>IF($Q$19=0,"","📊 إحصائيات الحضور")</f>
        <v/>
      </c>
      <c r="G47" s="125"/>
      <c r="H47" s="125"/>
      <c r="J47" s="125" t="str">
        <f>IF($Q$20=0,"","📊 إحصائيات الحضور")</f>
        <v/>
      </c>
      <c r="K47" s="125"/>
      <c r="L47" s="125"/>
    </row>
    <row r="48" spans="2:19" ht="15.75" customHeight="1">
      <c r="B48" s="41" t="str">
        <f>IF($Q$18=0,"","✅ حضور")</f>
        <v/>
      </c>
      <c r="C48" s="41" t="str">
        <f>IF($Q$18=0,"","❌ غياب")</f>
        <v/>
      </c>
      <c r="D48" s="41" t="str">
        <f>IF($Q$18=0,"","📈 النسبة")</f>
        <v/>
      </c>
      <c r="F48" s="41" t="str">
        <f>IF($Q$19=0,"","✅ حضور")</f>
        <v/>
      </c>
      <c r="G48" s="41" t="str">
        <f>IF($Q$19=0,"","❌ غياب")</f>
        <v/>
      </c>
      <c r="H48" s="41" t="str">
        <f>IF($Q$19=0,"","📈 النسبة")</f>
        <v/>
      </c>
      <c r="J48" s="41" t="str">
        <f>IF($Q$20=0,"","✅ حضور")</f>
        <v/>
      </c>
      <c r="K48" s="41" t="str">
        <f>IF($Q$20=0,"","❌ غياب")</f>
        <v/>
      </c>
      <c r="L48" s="41" t="str">
        <f>IF($Q$20=0,"","📈 النسبة")</f>
        <v/>
      </c>
    </row>
    <row r="49" spans="2:12" ht="33.75" customHeight="1">
      <c r="B49" s="42" t="str">
        <f>'حضور ميخائيل'!C16</f>
        <v/>
      </c>
      <c r="C49" s="43" t="str">
        <f>'حضور ميخائيل'!D16</f>
        <v/>
      </c>
      <c r="D49" s="44" t="str">
        <f>'حضور ميخائيل'!F16</f>
        <v/>
      </c>
      <c r="F49" s="42" t="str">
        <f>'حضور ميخائيل'!C17</f>
        <v/>
      </c>
      <c r="G49" s="43" t="str">
        <f>'حضور ميخائيل'!D17</f>
        <v/>
      </c>
      <c r="H49" s="44" t="str">
        <f>'حضور ميخائيل'!F17</f>
        <v/>
      </c>
      <c r="J49" s="42" t="str">
        <f>'حضور ميخائيل'!C18</f>
        <v/>
      </c>
      <c r="K49" s="43" t="str">
        <f>'حضور ميخائيل'!D18</f>
        <v/>
      </c>
      <c r="L49" s="44" t="str">
        <f>'حضور ميخائيل'!F18</f>
        <v/>
      </c>
    </row>
    <row r="50" spans="2:12" ht="24" customHeight="1">
      <c r="B50" s="126" t="str">
        <f>'حضور ميخائيل'!I16</f>
        <v/>
      </c>
      <c r="C50" s="126"/>
      <c r="D50" s="126"/>
      <c r="F50" s="126" t="str">
        <f>'حضور ميخائيل'!I17</f>
        <v/>
      </c>
      <c r="G50" s="126"/>
      <c r="H50" s="126"/>
      <c r="J50" s="126" t="str">
        <f>'حضور ميخائيل'!I18</f>
        <v/>
      </c>
      <c r="K50" s="126"/>
      <c r="L50" s="126"/>
    </row>
    <row r="51" spans="2:12" ht="19.5" customHeight="1">
      <c r="B51" s="127" t="str">
        <f>IF($Q$18=0,"","🗓️ آخر حضور: "&amp;IF(ISNUMBER('حضور ميخائيل'!H16),DAY('حضور ميخائيل'!H16)&amp;"/"&amp;MONTH('حضور ميخائيل'!H16)&amp;"/"&amp;YEAR('حضور ميخائيل'!H16),"—")&amp;"   •   غياب متتالي: "&amp;'حضور ميخائيل'!G16)</f>
        <v/>
      </c>
      <c r="C51" s="127"/>
      <c r="D51" s="127"/>
      <c r="F51" s="127" t="str">
        <f>IF($Q$19=0,"","🗓️ آخر حضور: "&amp;IF(ISNUMBER('حضور ميخائيل'!H17),DAY('حضور ميخائيل'!H17)&amp;"/"&amp;MONTH('حضور ميخائيل'!H17)&amp;"/"&amp;YEAR('حضور ميخائيل'!H17),"—")&amp;"   •   غياب متتالي: "&amp;'حضور ميخائيل'!G17)</f>
        <v/>
      </c>
      <c r="G51" s="127"/>
      <c r="H51" s="127"/>
      <c r="J51" s="127" t="str">
        <f>IF($Q$20=0,"","🗓️ آخر حضور: "&amp;IF(ISNUMBER('حضور ميخائيل'!H18),DAY('حضور ميخائيل'!H18)&amp;"/"&amp;MONTH('حضور ميخائيل'!H18)&amp;"/"&amp;YEAR('حضور ميخائيل'!H18),"—")&amp;"   •   غياب متتالي: "&amp;'حضور ميخائيل'!G18)</f>
        <v/>
      </c>
      <c r="K51" s="127"/>
      <c r="L51" s="127"/>
    </row>
    <row r="52" spans="2:12" ht="13.5" customHeight="1"/>
    <row r="53" spans="2:12" ht="30" customHeight="1">
      <c r="B53" s="122" t="str">
        <f>IF($Q$21=0,"",IF(INDEX('قاعدة البيانات'!$D$6:$D$305,$Q$21)="بنت","👧 ","👦 ")&amp;INDEX('قاعدة البيانات'!$C$6:$C$305,$Q$21))</f>
        <v/>
      </c>
      <c r="C53" s="122"/>
      <c r="D53" s="122"/>
      <c r="F53" s="122" t="str">
        <f>IF($Q$22=0,"",IF(INDEX('قاعدة البيانات'!$D$6:$D$305,$Q$22)="بنت","👧 ","👦 ")&amp;INDEX('قاعدة البيانات'!$C$6:$C$305,$Q$22))</f>
        <v/>
      </c>
      <c r="G53" s="122"/>
      <c r="H53" s="122"/>
      <c r="J53" s="122" t="str">
        <f>IF($Q$23=0,"",IF(INDEX('قاعدة البيانات'!$D$6:$D$305,$Q$23)="بنت","👧 ","👦 ")&amp;INDEX('قاعدة البيانات'!$C$6:$C$305,$Q$23))</f>
        <v/>
      </c>
      <c r="K53" s="122"/>
      <c r="L53" s="122"/>
    </row>
    <row r="54" spans="2:12" ht="108" customHeight="1">
      <c r="B54" s="37" t="str">
        <f>IF($Q$21=0,"",IF(ISBLANK(INDEX('قاعدة البيانات'!$K$6:$K$305,$Q$21)),LEFT(INDEX('قاعدة البيانات'!$C$6:$C$305,$Q$21),1),INDEX('قاعدة البيانات'!$K$6:$K$305,$Q$21)))</f>
        <v/>
      </c>
      <c r="C54" s="123"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c>
      <c r="D54" s="123"/>
      <c r="F54" s="37" t="str">
        <f>IF($Q$22=0,"",IF(ISBLANK(INDEX('قاعدة البيانات'!$K$6:$K$305,$Q$22)),LEFT(INDEX('قاعدة البيانات'!$C$6:$C$305,$Q$22),1),INDEX('قاعدة البيانات'!$K$6:$K$305,$Q$22)))</f>
        <v/>
      </c>
      <c r="G54" s="123"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c>
      <c r="H54" s="123"/>
      <c r="J54" s="37" t="str">
        <f>IF($Q$23=0,"",IF(ISBLANK(INDEX('قاعدة البيانات'!$K$6:$K$305,$Q$23)),LEFT(INDEX('قاعدة البيانات'!$C$6:$C$305,$Q$23),1),INDEX('قاعدة البيانات'!$K$6:$K$305,$Q$23)))</f>
        <v/>
      </c>
      <c r="K54" s="123"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c>
      <c r="L54" s="123"/>
    </row>
    <row r="55" spans="2:12" ht="24" customHeight="1">
      <c r="B55" s="38" t="str">
        <f>IF($Q$21=0,"","👩 ماما")</f>
        <v/>
      </c>
      <c r="C55" s="39" t="str">
        <f>IF($Q$21=0,"",IF(INDEX('قاعدة البيانات'!$H$6:$H$305,$Q$21)="","— مفيش رقم —",HYPERLINK("tel:"&amp;INDEX('قاعدة البيانات'!$H$6:$H$305,$Q$21),"📞 "&amp;INDEX('قاعدة البيانات'!$H$6:$H$305,$Q$21))))</f>
        <v/>
      </c>
      <c r="D55" s="40" t="str">
        <f>IF(OR($Q$21=0,INDEX('قاعدة البيانات'!$H$6:$H$305,$Q$21)=""),"",HYPERLINK("https://wa.me/20"&amp;RIGHT(INDEX('قاعدة البيانات'!$H$6:$H$305,$Q$21),10),"💬 واتساب"))</f>
        <v/>
      </c>
      <c r="F55" s="38" t="str">
        <f>IF($Q$22=0,"","👩 ماما")</f>
        <v/>
      </c>
      <c r="G55" s="39" t="str">
        <f>IF($Q$22=0,"",IF(INDEX('قاعدة البيانات'!$H$6:$H$305,$Q$22)="","— مفيش رقم —",HYPERLINK("tel:"&amp;INDEX('قاعدة البيانات'!$H$6:$H$305,$Q$22),"📞 "&amp;INDEX('قاعدة البيانات'!$H$6:$H$305,$Q$22))))</f>
        <v/>
      </c>
      <c r="H55" s="40" t="str">
        <f>IF(OR($Q$22=0,INDEX('قاعدة البيانات'!$H$6:$H$305,$Q$22)=""),"",HYPERLINK("https://wa.me/20"&amp;RIGHT(INDEX('قاعدة البيانات'!$H$6:$H$305,$Q$22),10),"💬 واتساب"))</f>
        <v/>
      </c>
      <c r="J55" s="38" t="str">
        <f>IF($Q$23=0,"","👩 ماما")</f>
        <v/>
      </c>
      <c r="K55" s="39" t="str">
        <f>IF($Q$23=0,"",IF(INDEX('قاعدة البيانات'!$H$6:$H$305,$Q$23)="","— مفيش رقم —",HYPERLINK("tel:"&amp;INDEX('قاعدة البيانات'!$H$6:$H$305,$Q$23),"📞 "&amp;INDEX('قاعدة البيانات'!$H$6:$H$305,$Q$23))))</f>
        <v/>
      </c>
      <c r="L55" s="40" t="str">
        <f>IF(OR($Q$23=0,INDEX('قاعدة البيانات'!$H$6:$H$305,$Q$23)=""),"",HYPERLINK("https://wa.me/20"&amp;RIGHT(INDEX('قاعدة البيانات'!$H$6:$H$305,$Q$23),10),"💬 واتساب"))</f>
        <v/>
      </c>
    </row>
    <row r="56" spans="2:12" ht="24" customHeight="1">
      <c r="B56" s="38" t="str">
        <f>IF($Q$21=0,"","👨 بابا")</f>
        <v/>
      </c>
      <c r="C56" s="39" t="str">
        <f>IF($Q$21=0,"",IF(INDEX('قاعدة البيانات'!$I$6:$I$305,$Q$21)="","— مفيش رقم —",HYPERLINK("tel:"&amp;INDEX('قاعدة البيانات'!$I$6:$I$305,$Q$21),"📞 "&amp;INDEX('قاعدة البيانات'!$I$6:$I$305,$Q$21))))</f>
        <v/>
      </c>
      <c r="D56" s="40" t="str">
        <f>IF(OR($Q$21=0,INDEX('قاعدة البيانات'!$I$6:$I$305,$Q$21)=""),"",HYPERLINK("https://wa.me/20"&amp;RIGHT(INDEX('قاعدة البيانات'!$I$6:$I$305,$Q$21),10),"💬 واتساب"))</f>
        <v/>
      </c>
      <c r="F56" s="38" t="str">
        <f>IF($Q$22=0,"","👨 بابا")</f>
        <v/>
      </c>
      <c r="G56" s="39" t="str">
        <f>IF($Q$22=0,"",IF(INDEX('قاعدة البيانات'!$I$6:$I$305,$Q$22)="","— مفيش رقم —",HYPERLINK("tel:"&amp;INDEX('قاعدة البيانات'!$I$6:$I$305,$Q$22),"📞 "&amp;INDEX('قاعدة البيانات'!$I$6:$I$305,$Q$22))))</f>
        <v/>
      </c>
      <c r="H56" s="40" t="str">
        <f>IF(OR($Q$22=0,INDEX('قاعدة البيانات'!$I$6:$I$305,$Q$22)=""),"",HYPERLINK("https://wa.me/20"&amp;RIGHT(INDEX('قاعدة البيانات'!$I$6:$I$305,$Q$22),10),"💬 واتساب"))</f>
        <v/>
      </c>
      <c r="J56" s="38" t="str">
        <f>IF($Q$23=0,"","👨 بابا")</f>
        <v/>
      </c>
      <c r="K56" s="39" t="str">
        <f>IF($Q$23=0,"",IF(INDEX('قاعدة البيانات'!$I$6:$I$305,$Q$23)="","— مفيش رقم —",HYPERLINK("tel:"&amp;INDEX('قاعدة البيانات'!$I$6:$I$305,$Q$23),"📞 "&amp;INDEX('قاعدة البيانات'!$I$6:$I$305,$Q$23))))</f>
        <v/>
      </c>
      <c r="L56" s="40" t="str">
        <f>IF(OR($Q$23=0,INDEX('قاعدة البيانات'!$I$6:$I$305,$Q$23)=""),"",HYPERLINK("https://wa.me/20"&amp;RIGHT(INDEX('قاعدة البيانات'!$I$6:$I$305,$Q$23),10),"💬 واتساب"))</f>
        <v/>
      </c>
    </row>
    <row r="57" spans="2:12" ht="37.5" customHeight="1">
      <c r="B57" s="124" t="str">
        <f>IF($Q$21=0,"","📍 "&amp;IF(INDEX('قاعدة البيانات'!$J$6:$J$305,$Q$21)="","— مفيش عنوان —",INDEX('قاعدة البيانات'!$J$6:$J$305,$Q$21)))</f>
        <v/>
      </c>
      <c r="C57" s="124"/>
      <c r="D57" s="124"/>
      <c r="F57" s="124" t="str">
        <f>IF($Q$22=0,"","📍 "&amp;IF(INDEX('قاعدة البيانات'!$J$6:$J$305,$Q$22)="","— مفيش عنوان —",INDEX('قاعدة البيانات'!$J$6:$J$305,$Q$22)))</f>
        <v/>
      </c>
      <c r="G57" s="124"/>
      <c r="H57" s="124"/>
      <c r="J57" s="124" t="str">
        <f>IF($Q$23=0,"","📍 "&amp;IF(INDEX('قاعدة البيانات'!$J$6:$J$305,$Q$23)="","— مفيش عنوان —",INDEX('قاعدة البيانات'!$J$6:$J$305,$Q$23)))</f>
        <v/>
      </c>
      <c r="K57" s="124"/>
      <c r="L57" s="124"/>
    </row>
    <row r="58" spans="2:12" ht="21.75" customHeight="1">
      <c r="B58" s="125" t="str">
        <f>IF($Q$21=0,"","📊 إحصائيات الحضور")</f>
        <v/>
      </c>
      <c r="C58" s="125"/>
      <c r="D58" s="125"/>
      <c r="F58" s="125" t="str">
        <f>IF($Q$22=0,"","📊 إحصائيات الحضور")</f>
        <v/>
      </c>
      <c r="G58" s="125"/>
      <c r="H58" s="125"/>
      <c r="J58" s="125" t="str">
        <f>IF($Q$23=0,"","📊 إحصائيات الحضور")</f>
        <v/>
      </c>
      <c r="K58" s="125"/>
      <c r="L58" s="125"/>
    </row>
    <row r="59" spans="2:12" ht="15.75" customHeight="1">
      <c r="B59" s="41" t="str">
        <f>IF($Q$21=0,"","✅ حضور")</f>
        <v/>
      </c>
      <c r="C59" s="41" t="str">
        <f>IF($Q$21=0,"","❌ غياب")</f>
        <v/>
      </c>
      <c r="D59" s="41" t="str">
        <f>IF($Q$21=0,"","📈 النسبة")</f>
        <v/>
      </c>
      <c r="F59" s="41" t="str">
        <f>IF($Q$22=0,"","✅ حضور")</f>
        <v/>
      </c>
      <c r="G59" s="41" t="str">
        <f>IF($Q$22=0,"","❌ غياب")</f>
        <v/>
      </c>
      <c r="H59" s="41" t="str">
        <f>IF($Q$22=0,"","📈 النسبة")</f>
        <v/>
      </c>
      <c r="J59" s="41" t="str">
        <f>IF($Q$23=0,"","✅ حضور")</f>
        <v/>
      </c>
      <c r="K59" s="41" t="str">
        <f>IF($Q$23=0,"","❌ غياب")</f>
        <v/>
      </c>
      <c r="L59" s="41" t="str">
        <f>IF($Q$23=0,"","📈 النسبة")</f>
        <v/>
      </c>
    </row>
    <row r="60" spans="2:12" ht="33.75" customHeight="1">
      <c r="B60" s="42" t="str">
        <f>'حضور ميخائيل'!C19</f>
        <v/>
      </c>
      <c r="C60" s="43" t="str">
        <f>'حضور ميخائيل'!D19</f>
        <v/>
      </c>
      <c r="D60" s="44" t="str">
        <f>'حضور ميخائيل'!F19</f>
        <v/>
      </c>
      <c r="F60" s="42" t="str">
        <f>'حضور ميخائيل'!C20</f>
        <v/>
      </c>
      <c r="G60" s="43" t="str">
        <f>'حضور ميخائيل'!D20</f>
        <v/>
      </c>
      <c r="H60" s="44" t="str">
        <f>'حضور ميخائيل'!F20</f>
        <v/>
      </c>
      <c r="J60" s="42" t="str">
        <f>'حضور ميخائيل'!C21</f>
        <v/>
      </c>
      <c r="K60" s="43" t="str">
        <f>'حضور ميخائيل'!D21</f>
        <v/>
      </c>
      <c r="L60" s="44" t="str">
        <f>'حضور ميخائيل'!F21</f>
        <v/>
      </c>
    </row>
    <row r="61" spans="2:12" ht="24" customHeight="1">
      <c r="B61" s="126" t="str">
        <f>'حضور ميخائيل'!I19</f>
        <v/>
      </c>
      <c r="C61" s="126"/>
      <c r="D61" s="126"/>
      <c r="F61" s="126" t="str">
        <f>'حضور ميخائيل'!I20</f>
        <v/>
      </c>
      <c r="G61" s="126"/>
      <c r="H61" s="126"/>
      <c r="J61" s="126" t="str">
        <f>'حضور ميخائيل'!I21</f>
        <v/>
      </c>
      <c r="K61" s="126"/>
      <c r="L61" s="126"/>
    </row>
    <row r="62" spans="2:12" ht="19.5" customHeight="1">
      <c r="B62" s="127" t="str">
        <f>IF($Q$21=0,"","🗓️ آخر حضور: "&amp;IF(ISNUMBER('حضور ميخائيل'!H19),DAY('حضور ميخائيل'!H19)&amp;"/"&amp;MONTH('حضور ميخائيل'!H19)&amp;"/"&amp;YEAR('حضور ميخائيل'!H19),"—")&amp;"   •   غياب متتالي: "&amp;'حضور ميخائيل'!G19)</f>
        <v/>
      </c>
      <c r="C62" s="127"/>
      <c r="D62" s="127"/>
      <c r="F62" s="127" t="str">
        <f>IF($Q$22=0,"","🗓️ آخر حضور: "&amp;IF(ISNUMBER('حضور ميخائيل'!H20),DAY('حضور ميخائيل'!H20)&amp;"/"&amp;MONTH('حضور ميخائيل'!H20)&amp;"/"&amp;YEAR('حضور ميخائيل'!H20),"—")&amp;"   •   غياب متتالي: "&amp;'حضور ميخائيل'!G20)</f>
        <v/>
      </c>
      <c r="G62" s="127"/>
      <c r="H62" s="127"/>
      <c r="J62" s="127" t="str">
        <f>IF($Q$23=0,"","🗓️ آخر حضور: "&amp;IF(ISNUMBER('حضور ميخائيل'!H21),DAY('حضور ميخائيل'!H21)&amp;"/"&amp;MONTH('حضور ميخائيل'!H21)&amp;"/"&amp;YEAR('حضور ميخائيل'!H21),"—")&amp;"   •   غياب متتالي: "&amp;'حضور ميخائيل'!G21)</f>
        <v/>
      </c>
      <c r="K62" s="127"/>
      <c r="L62" s="127"/>
    </row>
    <row r="63" spans="2:12" ht="13.5" customHeight="1"/>
    <row r="64" spans="2:12" ht="30" customHeight="1">
      <c r="B64" s="122" t="str">
        <f>IF($Q$24=0,"",IF(INDEX('قاعدة البيانات'!$D$6:$D$305,$Q$24)="بنت","👧 ","👦 ")&amp;INDEX('قاعدة البيانات'!$C$6:$C$305,$Q$24))</f>
        <v/>
      </c>
      <c r="C64" s="122"/>
      <c r="D64" s="122"/>
      <c r="F64" s="122" t="str">
        <f>IF($Q$25=0,"",IF(INDEX('قاعدة البيانات'!$D$6:$D$305,$Q$25)="بنت","👧 ","👦 ")&amp;INDEX('قاعدة البيانات'!$C$6:$C$305,$Q$25))</f>
        <v/>
      </c>
      <c r="G64" s="122"/>
      <c r="H64" s="122"/>
      <c r="J64" s="122" t="str">
        <f>IF($Q$26=0,"",IF(INDEX('قاعدة البيانات'!$D$6:$D$305,$Q$26)="بنت","👧 ","👦 ")&amp;INDEX('قاعدة البيانات'!$C$6:$C$305,$Q$26))</f>
        <v/>
      </c>
      <c r="K64" s="122"/>
      <c r="L64" s="122"/>
    </row>
    <row r="65" spans="2:12" ht="108" customHeight="1">
      <c r="B65" s="37" t="str">
        <f>IF($Q$24=0,"",IF(ISBLANK(INDEX('قاعدة البيانات'!$K$6:$K$305,$Q$24)),LEFT(INDEX('قاعدة البيانات'!$C$6:$C$305,$Q$24),1),INDEX('قاعدة البيانات'!$K$6:$K$305,$Q$24)))</f>
        <v/>
      </c>
      <c r="C65" s="123"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c>
      <c r="D65" s="123"/>
      <c r="F65" s="37" t="str">
        <f>IF($Q$25=0,"",IF(ISBLANK(INDEX('قاعدة البيانات'!$K$6:$K$305,$Q$25)),LEFT(INDEX('قاعدة البيانات'!$C$6:$C$305,$Q$25),1),INDEX('قاعدة البيانات'!$K$6:$K$305,$Q$25)))</f>
        <v/>
      </c>
      <c r="G65" s="123"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c>
      <c r="H65" s="123"/>
      <c r="J65" s="37" t="str">
        <f>IF($Q$26=0,"",IF(ISBLANK(INDEX('قاعدة البيانات'!$K$6:$K$305,$Q$26)),LEFT(INDEX('قاعدة البيانات'!$C$6:$C$305,$Q$26),1),INDEX('قاعدة البيانات'!$K$6:$K$305,$Q$26)))</f>
        <v/>
      </c>
      <c r="K65" s="123"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c>
      <c r="L65" s="123"/>
    </row>
    <row r="66" spans="2:12" ht="24" customHeight="1">
      <c r="B66" s="38" t="str">
        <f>IF($Q$24=0,"","👩 ماما")</f>
        <v/>
      </c>
      <c r="C66" s="39" t="str">
        <f>IF($Q$24=0,"",IF(INDEX('قاعدة البيانات'!$H$6:$H$305,$Q$24)="","— مفيش رقم —",HYPERLINK("tel:"&amp;INDEX('قاعدة البيانات'!$H$6:$H$305,$Q$24),"📞 "&amp;INDEX('قاعدة البيانات'!$H$6:$H$305,$Q$24))))</f>
        <v/>
      </c>
      <c r="D66" s="40" t="str">
        <f>IF(OR($Q$24=0,INDEX('قاعدة البيانات'!$H$6:$H$305,$Q$24)=""),"",HYPERLINK("https://wa.me/20"&amp;RIGHT(INDEX('قاعدة البيانات'!$H$6:$H$305,$Q$24),10),"💬 واتساب"))</f>
        <v/>
      </c>
      <c r="F66" s="38" t="str">
        <f>IF($Q$25=0,"","👩 ماما")</f>
        <v/>
      </c>
      <c r="G66" s="39" t="str">
        <f>IF($Q$25=0,"",IF(INDEX('قاعدة البيانات'!$H$6:$H$305,$Q$25)="","— مفيش رقم —",HYPERLINK("tel:"&amp;INDEX('قاعدة البيانات'!$H$6:$H$305,$Q$25),"📞 "&amp;INDEX('قاعدة البيانات'!$H$6:$H$305,$Q$25))))</f>
        <v/>
      </c>
      <c r="H66" s="40" t="str">
        <f>IF(OR($Q$25=0,INDEX('قاعدة البيانات'!$H$6:$H$305,$Q$25)=""),"",HYPERLINK("https://wa.me/20"&amp;RIGHT(INDEX('قاعدة البيانات'!$H$6:$H$305,$Q$25),10),"💬 واتساب"))</f>
        <v/>
      </c>
      <c r="J66" s="38" t="str">
        <f>IF($Q$26=0,"","👩 ماما")</f>
        <v/>
      </c>
      <c r="K66" s="39" t="str">
        <f>IF($Q$26=0,"",IF(INDEX('قاعدة البيانات'!$H$6:$H$305,$Q$26)="","— مفيش رقم —",HYPERLINK("tel:"&amp;INDEX('قاعدة البيانات'!$H$6:$H$305,$Q$26),"📞 "&amp;INDEX('قاعدة البيانات'!$H$6:$H$305,$Q$26))))</f>
        <v/>
      </c>
      <c r="L66" s="40" t="str">
        <f>IF(OR($Q$26=0,INDEX('قاعدة البيانات'!$H$6:$H$305,$Q$26)=""),"",HYPERLINK("https://wa.me/20"&amp;RIGHT(INDEX('قاعدة البيانات'!$H$6:$H$305,$Q$26),10),"💬 واتساب"))</f>
        <v/>
      </c>
    </row>
    <row r="67" spans="2:12" ht="24" customHeight="1">
      <c r="B67" s="38" t="str">
        <f>IF($Q$24=0,"","👨 بابا")</f>
        <v/>
      </c>
      <c r="C67" s="39" t="str">
        <f>IF($Q$24=0,"",IF(INDEX('قاعدة البيانات'!$I$6:$I$305,$Q$24)="","— مفيش رقم —",HYPERLINK("tel:"&amp;INDEX('قاعدة البيانات'!$I$6:$I$305,$Q$24),"📞 "&amp;INDEX('قاعدة البيانات'!$I$6:$I$305,$Q$24))))</f>
        <v/>
      </c>
      <c r="D67" s="40" t="str">
        <f>IF(OR($Q$24=0,INDEX('قاعدة البيانات'!$I$6:$I$305,$Q$24)=""),"",HYPERLINK("https://wa.me/20"&amp;RIGHT(INDEX('قاعدة البيانات'!$I$6:$I$305,$Q$24),10),"💬 واتساب"))</f>
        <v/>
      </c>
      <c r="F67" s="38" t="str">
        <f>IF($Q$25=0,"","👨 بابا")</f>
        <v/>
      </c>
      <c r="G67" s="39" t="str">
        <f>IF($Q$25=0,"",IF(INDEX('قاعدة البيانات'!$I$6:$I$305,$Q$25)="","— مفيش رقم —",HYPERLINK("tel:"&amp;INDEX('قاعدة البيانات'!$I$6:$I$305,$Q$25),"📞 "&amp;INDEX('قاعدة البيانات'!$I$6:$I$305,$Q$25))))</f>
        <v/>
      </c>
      <c r="H67" s="40" t="str">
        <f>IF(OR($Q$25=0,INDEX('قاعدة البيانات'!$I$6:$I$305,$Q$25)=""),"",HYPERLINK("https://wa.me/20"&amp;RIGHT(INDEX('قاعدة البيانات'!$I$6:$I$305,$Q$25),10),"💬 واتساب"))</f>
        <v/>
      </c>
      <c r="J67" s="38" t="str">
        <f>IF($Q$26=0,"","👨 بابا")</f>
        <v/>
      </c>
      <c r="K67" s="39" t="str">
        <f>IF($Q$26=0,"",IF(INDEX('قاعدة البيانات'!$I$6:$I$305,$Q$26)="","— مفيش رقم —",HYPERLINK("tel:"&amp;INDEX('قاعدة البيانات'!$I$6:$I$305,$Q$26),"📞 "&amp;INDEX('قاعدة البيانات'!$I$6:$I$305,$Q$26))))</f>
        <v/>
      </c>
      <c r="L67" s="40" t="str">
        <f>IF(OR($Q$26=0,INDEX('قاعدة البيانات'!$I$6:$I$305,$Q$26)=""),"",HYPERLINK("https://wa.me/20"&amp;RIGHT(INDEX('قاعدة البيانات'!$I$6:$I$305,$Q$26),10),"💬 واتساب"))</f>
        <v/>
      </c>
    </row>
    <row r="68" spans="2:12" ht="37.5" customHeight="1">
      <c r="B68" s="124" t="str">
        <f>IF($Q$24=0,"","📍 "&amp;IF(INDEX('قاعدة البيانات'!$J$6:$J$305,$Q$24)="","— مفيش عنوان —",INDEX('قاعدة البيانات'!$J$6:$J$305,$Q$24)))</f>
        <v/>
      </c>
      <c r="C68" s="124"/>
      <c r="D68" s="124"/>
      <c r="F68" s="124" t="str">
        <f>IF($Q$25=0,"","📍 "&amp;IF(INDEX('قاعدة البيانات'!$J$6:$J$305,$Q$25)="","— مفيش عنوان —",INDEX('قاعدة البيانات'!$J$6:$J$305,$Q$25)))</f>
        <v/>
      </c>
      <c r="G68" s="124"/>
      <c r="H68" s="124"/>
      <c r="J68" s="124" t="str">
        <f>IF($Q$26=0,"","📍 "&amp;IF(INDEX('قاعدة البيانات'!$J$6:$J$305,$Q$26)="","— مفيش عنوان —",INDEX('قاعدة البيانات'!$J$6:$J$305,$Q$26)))</f>
        <v/>
      </c>
      <c r="K68" s="124"/>
      <c r="L68" s="124"/>
    </row>
    <row r="69" spans="2:12" ht="21.75" customHeight="1">
      <c r="B69" s="125" t="str">
        <f>IF($Q$24=0,"","📊 إحصائيات الحضور")</f>
        <v/>
      </c>
      <c r="C69" s="125"/>
      <c r="D69" s="125"/>
      <c r="F69" s="125" t="str">
        <f>IF($Q$25=0,"","📊 إحصائيات الحضور")</f>
        <v/>
      </c>
      <c r="G69" s="125"/>
      <c r="H69" s="125"/>
      <c r="J69" s="125" t="str">
        <f>IF($Q$26=0,"","📊 إحصائيات الحضور")</f>
        <v/>
      </c>
      <c r="K69" s="125"/>
      <c r="L69" s="125"/>
    </row>
    <row r="70" spans="2:12" ht="15.75" customHeight="1">
      <c r="B70" s="41" t="str">
        <f>IF($Q$24=0,"","✅ حضور")</f>
        <v/>
      </c>
      <c r="C70" s="41" t="str">
        <f>IF($Q$24=0,"","❌ غياب")</f>
        <v/>
      </c>
      <c r="D70" s="41" t="str">
        <f>IF($Q$24=0,"","📈 النسبة")</f>
        <v/>
      </c>
      <c r="F70" s="41" t="str">
        <f>IF($Q$25=0,"","✅ حضور")</f>
        <v/>
      </c>
      <c r="G70" s="41" t="str">
        <f>IF($Q$25=0,"","❌ غياب")</f>
        <v/>
      </c>
      <c r="H70" s="41" t="str">
        <f>IF($Q$25=0,"","📈 النسبة")</f>
        <v/>
      </c>
      <c r="J70" s="41" t="str">
        <f>IF($Q$26=0,"","✅ حضور")</f>
        <v/>
      </c>
      <c r="K70" s="41" t="str">
        <f>IF($Q$26=0,"","❌ غياب")</f>
        <v/>
      </c>
      <c r="L70" s="41" t="str">
        <f>IF($Q$26=0,"","📈 النسبة")</f>
        <v/>
      </c>
    </row>
    <row r="71" spans="2:12" ht="33.75" customHeight="1">
      <c r="B71" s="42" t="str">
        <f>'حضور ميخائيل'!C22</f>
        <v/>
      </c>
      <c r="C71" s="43" t="str">
        <f>'حضور ميخائيل'!D22</f>
        <v/>
      </c>
      <c r="D71" s="44" t="str">
        <f>'حضور ميخائيل'!F22</f>
        <v/>
      </c>
      <c r="F71" s="42" t="str">
        <f>'حضور ميخائيل'!C23</f>
        <v/>
      </c>
      <c r="G71" s="43" t="str">
        <f>'حضور ميخائيل'!D23</f>
        <v/>
      </c>
      <c r="H71" s="44" t="str">
        <f>'حضور ميخائيل'!F23</f>
        <v/>
      </c>
      <c r="J71" s="42" t="str">
        <f>'حضور ميخائيل'!C24</f>
        <v/>
      </c>
      <c r="K71" s="43" t="str">
        <f>'حضور ميخائيل'!D24</f>
        <v/>
      </c>
      <c r="L71" s="44" t="str">
        <f>'حضور ميخائيل'!F24</f>
        <v/>
      </c>
    </row>
    <row r="72" spans="2:12" ht="24" customHeight="1">
      <c r="B72" s="126" t="str">
        <f>'حضور ميخائيل'!I22</f>
        <v/>
      </c>
      <c r="C72" s="126"/>
      <c r="D72" s="126"/>
      <c r="F72" s="126" t="str">
        <f>'حضور ميخائيل'!I23</f>
        <v/>
      </c>
      <c r="G72" s="126"/>
      <c r="H72" s="126"/>
      <c r="J72" s="126" t="str">
        <f>'حضور ميخائيل'!I24</f>
        <v/>
      </c>
      <c r="K72" s="126"/>
      <c r="L72" s="126"/>
    </row>
    <row r="73" spans="2:12" ht="19.5" customHeight="1">
      <c r="B73" s="127" t="str">
        <f>IF($Q$24=0,"","🗓️ آخر حضور: "&amp;IF(ISNUMBER('حضور ميخائيل'!H22),DAY('حضور ميخائيل'!H22)&amp;"/"&amp;MONTH('حضور ميخائيل'!H22)&amp;"/"&amp;YEAR('حضور ميخائيل'!H22),"—")&amp;"   •   غياب متتالي: "&amp;'حضور ميخائيل'!G22)</f>
        <v/>
      </c>
      <c r="C73" s="127"/>
      <c r="D73" s="127"/>
      <c r="F73" s="127" t="str">
        <f>IF($Q$25=0,"","🗓️ آخر حضور: "&amp;IF(ISNUMBER('حضور ميخائيل'!H23),DAY('حضور ميخائيل'!H23)&amp;"/"&amp;MONTH('حضور ميخائيل'!H23)&amp;"/"&amp;YEAR('حضور ميخائيل'!H23),"—")&amp;"   •   غياب متتالي: "&amp;'حضور ميخائيل'!G23)</f>
        <v/>
      </c>
      <c r="G73" s="127"/>
      <c r="H73" s="127"/>
      <c r="J73" s="127" t="str">
        <f>IF($Q$26=0,"","🗓️ آخر حضور: "&amp;IF(ISNUMBER('حضور ميخائيل'!H24),DAY('حضور ميخائيل'!H24)&amp;"/"&amp;MONTH('حضور ميخائيل'!H24)&amp;"/"&amp;YEAR('حضور ميخائيل'!H24),"—")&amp;"   •   غياب متتالي: "&amp;'حضور ميخائيل'!G24)</f>
        <v/>
      </c>
      <c r="K73" s="127"/>
      <c r="L73" s="127"/>
    </row>
    <row r="74" spans="2:12" ht="13.5" customHeight="1"/>
    <row r="75" spans="2:12" ht="30" customHeight="1">
      <c r="B75" s="122" t="str">
        <f>IF($Q$27=0,"",IF(INDEX('قاعدة البيانات'!$D$6:$D$305,$Q$27)="بنت","👧 ","👦 ")&amp;INDEX('قاعدة البيانات'!$C$6:$C$305,$Q$27))</f>
        <v/>
      </c>
      <c r="C75" s="122"/>
      <c r="D75" s="122"/>
      <c r="F75" s="122" t="str">
        <f>IF($Q$28=0,"",IF(INDEX('قاعدة البيانات'!$D$6:$D$305,$Q$28)="بنت","👧 ","👦 ")&amp;INDEX('قاعدة البيانات'!$C$6:$C$305,$Q$28))</f>
        <v/>
      </c>
      <c r="G75" s="122"/>
      <c r="H75" s="122"/>
      <c r="J75" s="122" t="str">
        <f>IF($Q$29=0,"",IF(INDEX('قاعدة البيانات'!$D$6:$D$305,$Q$29)="بنت","👧 ","👦 ")&amp;INDEX('قاعدة البيانات'!$C$6:$C$305,$Q$29))</f>
        <v/>
      </c>
      <c r="K75" s="122"/>
      <c r="L75" s="122"/>
    </row>
    <row r="76" spans="2:12" ht="108" customHeight="1">
      <c r="B76" s="37" t="str">
        <f>IF($Q$27=0,"",IF(ISBLANK(INDEX('قاعدة البيانات'!$K$6:$K$305,$Q$27)),LEFT(INDEX('قاعدة البيانات'!$C$6:$C$305,$Q$27),1),INDEX('قاعدة البيانات'!$K$6:$K$305,$Q$27)))</f>
        <v/>
      </c>
      <c r="C76" s="123"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c>
      <c r="D76" s="123"/>
      <c r="F76" s="37" t="str">
        <f>IF($Q$28=0,"",IF(ISBLANK(INDEX('قاعدة البيانات'!$K$6:$K$305,$Q$28)),LEFT(INDEX('قاعدة البيانات'!$C$6:$C$305,$Q$28),1),INDEX('قاعدة البيانات'!$K$6:$K$305,$Q$28)))</f>
        <v/>
      </c>
      <c r="G76" s="123"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c>
      <c r="H76" s="123"/>
      <c r="J76" s="37" t="str">
        <f>IF($Q$29=0,"",IF(ISBLANK(INDEX('قاعدة البيانات'!$K$6:$K$305,$Q$29)),LEFT(INDEX('قاعدة البيانات'!$C$6:$C$305,$Q$29),1),INDEX('قاعدة البيانات'!$K$6:$K$305,$Q$29)))</f>
        <v/>
      </c>
      <c r="K76" s="123"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c>
      <c r="L76" s="123"/>
    </row>
    <row r="77" spans="2:12" ht="24" customHeight="1">
      <c r="B77" s="38" t="str">
        <f>IF($Q$27=0,"","👩 ماما")</f>
        <v/>
      </c>
      <c r="C77" s="39" t="str">
        <f>IF($Q$27=0,"",IF(INDEX('قاعدة البيانات'!$H$6:$H$305,$Q$27)="","— مفيش رقم —",HYPERLINK("tel:"&amp;INDEX('قاعدة البيانات'!$H$6:$H$305,$Q$27),"📞 "&amp;INDEX('قاعدة البيانات'!$H$6:$H$305,$Q$27))))</f>
        <v/>
      </c>
      <c r="D77" s="40" t="str">
        <f>IF(OR($Q$27=0,INDEX('قاعدة البيانات'!$H$6:$H$305,$Q$27)=""),"",HYPERLINK("https://wa.me/20"&amp;RIGHT(INDEX('قاعدة البيانات'!$H$6:$H$305,$Q$27),10),"💬 واتساب"))</f>
        <v/>
      </c>
      <c r="F77" s="38" t="str">
        <f>IF($Q$28=0,"","👩 ماما")</f>
        <v/>
      </c>
      <c r="G77" s="39" t="str">
        <f>IF($Q$28=0,"",IF(INDEX('قاعدة البيانات'!$H$6:$H$305,$Q$28)="","— مفيش رقم —",HYPERLINK("tel:"&amp;INDEX('قاعدة البيانات'!$H$6:$H$305,$Q$28),"📞 "&amp;INDEX('قاعدة البيانات'!$H$6:$H$305,$Q$28))))</f>
        <v/>
      </c>
      <c r="H77" s="40" t="str">
        <f>IF(OR($Q$28=0,INDEX('قاعدة البيانات'!$H$6:$H$305,$Q$28)=""),"",HYPERLINK("https://wa.me/20"&amp;RIGHT(INDEX('قاعدة البيانات'!$H$6:$H$305,$Q$28),10),"💬 واتساب"))</f>
        <v/>
      </c>
      <c r="J77" s="38" t="str">
        <f>IF($Q$29=0,"","👩 ماما")</f>
        <v/>
      </c>
      <c r="K77" s="39" t="str">
        <f>IF($Q$29=0,"",IF(INDEX('قاعدة البيانات'!$H$6:$H$305,$Q$29)="","— مفيش رقم —",HYPERLINK("tel:"&amp;INDEX('قاعدة البيانات'!$H$6:$H$305,$Q$29),"📞 "&amp;INDEX('قاعدة البيانات'!$H$6:$H$305,$Q$29))))</f>
        <v/>
      </c>
      <c r="L77" s="40" t="str">
        <f>IF(OR($Q$29=0,INDEX('قاعدة البيانات'!$H$6:$H$305,$Q$29)=""),"",HYPERLINK("https://wa.me/20"&amp;RIGHT(INDEX('قاعدة البيانات'!$H$6:$H$305,$Q$29),10),"💬 واتساب"))</f>
        <v/>
      </c>
    </row>
    <row r="78" spans="2:12" ht="24" customHeight="1">
      <c r="B78" s="38" t="str">
        <f>IF($Q$27=0,"","👨 بابا")</f>
        <v/>
      </c>
      <c r="C78" s="39" t="str">
        <f>IF($Q$27=0,"",IF(INDEX('قاعدة البيانات'!$I$6:$I$305,$Q$27)="","— مفيش رقم —",HYPERLINK("tel:"&amp;INDEX('قاعدة البيانات'!$I$6:$I$305,$Q$27),"📞 "&amp;INDEX('قاعدة البيانات'!$I$6:$I$305,$Q$27))))</f>
        <v/>
      </c>
      <c r="D78" s="40" t="str">
        <f>IF(OR($Q$27=0,INDEX('قاعدة البيانات'!$I$6:$I$305,$Q$27)=""),"",HYPERLINK("https://wa.me/20"&amp;RIGHT(INDEX('قاعدة البيانات'!$I$6:$I$305,$Q$27),10),"💬 واتساب"))</f>
        <v/>
      </c>
      <c r="F78" s="38" t="str">
        <f>IF($Q$28=0,"","👨 بابا")</f>
        <v/>
      </c>
      <c r="G78" s="39" t="str">
        <f>IF($Q$28=0,"",IF(INDEX('قاعدة البيانات'!$I$6:$I$305,$Q$28)="","— مفيش رقم —",HYPERLINK("tel:"&amp;INDEX('قاعدة البيانات'!$I$6:$I$305,$Q$28),"📞 "&amp;INDEX('قاعدة البيانات'!$I$6:$I$305,$Q$28))))</f>
        <v/>
      </c>
      <c r="H78" s="40" t="str">
        <f>IF(OR($Q$28=0,INDEX('قاعدة البيانات'!$I$6:$I$305,$Q$28)=""),"",HYPERLINK("https://wa.me/20"&amp;RIGHT(INDEX('قاعدة البيانات'!$I$6:$I$305,$Q$28),10),"💬 واتساب"))</f>
        <v/>
      </c>
      <c r="J78" s="38" t="str">
        <f>IF($Q$29=0,"","👨 بابا")</f>
        <v/>
      </c>
      <c r="K78" s="39" t="str">
        <f>IF($Q$29=0,"",IF(INDEX('قاعدة البيانات'!$I$6:$I$305,$Q$29)="","— مفيش رقم —",HYPERLINK("tel:"&amp;INDEX('قاعدة البيانات'!$I$6:$I$305,$Q$29),"📞 "&amp;INDEX('قاعدة البيانات'!$I$6:$I$305,$Q$29))))</f>
        <v/>
      </c>
      <c r="L78" s="40" t="str">
        <f>IF(OR($Q$29=0,INDEX('قاعدة البيانات'!$I$6:$I$305,$Q$29)=""),"",HYPERLINK("https://wa.me/20"&amp;RIGHT(INDEX('قاعدة البيانات'!$I$6:$I$305,$Q$29),10),"💬 واتساب"))</f>
        <v/>
      </c>
    </row>
    <row r="79" spans="2:12" ht="37.5" customHeight="1">
      <c r="B79" s="124" t="str">
        <f>IF($Q$27=0,"","📍 "&amp;IF(INDEX('قاعدة البيانات'!$J$6:$J$305,$Q$27)="","— مفيش عنوان —",INDEX('قاعدة البيانات'!$J$6:$J$305,$Q$27)))</f>
        <v/>
      </c>
      <c r="C79" s="124"/>
      <c r="D79" s="124"/>
      <c r="F79" s="124" t="str">
        <f>IF($Q$28=0,"","📍 "&amp;IF(INDEX('قاعدة البيانات'!$J$6:$J$305,$Q$28)="","— مفيش عنوان —",INDEX('قاعدة البيانات'!$J$6:$J$305,$Q$28)))</f>
        <v/>
      </c>
      <c r="G79" s="124"/>
      <c r="H79" s="124"/>
      <c r="J79" s="124" t="str">
        <f>IF($Q$29=0,"","📍 "&amp;IF(INDEX('قاعدة البيانات'!$J$6:$J$305,$Q$29)="","— مفيش عنوان —",INDEX('قاعدة البيانات'!$J$6:$J$305,$Q$29)))</f>
        <v/>
      </c>
      <c r="K79" s="124"/>
      <c r="L79" s="124"/>
    </row>
    <row r="80" spans="2:12" ht="21.75" customHeight="1">
      <c r="B80" s="125" t="str">
        <f>IF($Q$27=0,"","📊 إحصائيات الحضور")</f>
        <v/>
      </c>
      <c r="C80" s="125"/>
      <c r="D80" s="125"/>
      <c r="F80" s="125" t="str">
        <f>IF($Q$28=0,"","📊 إحصائيات الحضور")</f>
        <v/>
      </c>
      <c r="G80" s="125"/>
      <c r="H80" s="125"/>
      <c r="J80" s="125" t="str">
        <f>IF($Q$29=0,"","📊 إحصائيات الحضور")</f>
        <v/>
      </c>
      <c r="K80" s="125"/>
      <c r="L80" s="125"/>
    </row>
    <row r="81" spans="2:12" ht="15.75" customHeight="1">
      <c r="B81" s="41" t="str">
        <f>IF($Q$27=0,"","✅ حضور")</f>
        <v/>
      </c>
      <c r="C81" s="41" t="str">
        <f>IF($Q$27=0,"","❌ غياب")</f>
        <v/>
      </c>
      <c r="D81" s="41" t="str">
        <f>IF($Q$27=0,"","📈 النسبة")</f>
        <v/>
      </c>
      <c r="F81" s="41" t="str">
        <f>IF($Q$28=0,"","✅ حضور")</f>
        <v/>
      </c>
      <c r="G81" s="41" t="str">
        <f>IF($Q$28=0,"","❌ غياب")</f>
        <v/>
      </c>
      <c r="H81" s="41" t="str">
        <f>IF($Q$28=0,"","📈 النسبة")</f>
        <v/>
      </c>
      <c r="J81" s="41" t="str">
        <f>IF($Q$29=0,"","✅ حضور")</f>
        <v/>
      </c>
      <c r="K81" s="41" t="str">
        <f>IF($Q$29=0,"","❌ غياب")</f>
        <v/>
      </c>
      <c r="L81" s="41" t="str">
        <f>IF($Q$29=0,"","📈 النسبة")</f>
        <v/>
      </c>
    </row>
    <row r="82" spans="2:12" ht="33.75" customHeight="1">
      <c r="B82" s="42" t="str">
        <f>'حضور ميخائيل'!C25</f>
        <v/>
      </c>
      <c r="C82" s="43" t="str">
        <f>'حضور ميخائيل'!D25</f>
        <v/>
      </c>
      <c r="D82" s="44" t="str">
        <f>'حضور ميخائيل'!F25</f>
        <v/>
      </c>
      <c r="F82" s="42" t="str">
        <f>'حضور ميخائيل'!C26</f>
        <v/>
      </c>
      <c r="G82" s="43" t="str">
        <f>'حضور ميخائيل'!D26</f>
        <v/>
      </c>
      <c r="H82" s="44" t="str">
        <f>'حضور ميخائيل'!F26</f>
        <v/>
      </c>
      <c r="J82" s="42" t="str">
        <f>'حضور ميخائيل'!C27</f>
        <v/>
      </c>
      <c r="K82" s="43" t="str">
        <f>'حضور ميخائيل'!D27</f>
        <v/>
      </c>
      <c r="L82" s="44" t="str">
        <f>'حضور ميخائيل'!F27</f>
        <v/>
      </c>
    </row>
    <row r="83" spans="2:12" ht="24" customHeight="1">
      <c r="B83" s="126" t="str">
        <f>'حضور ميخائيل'!I25</f>
        <v/>
      </c>
      <c r="C83" s="126"/>
      <c r="D83" s="126"/>
      <c r="F83" s="126" t="str">
        <f>'حضور ميخائيل'!I26</f>
        <v/>
      </c>
      <c r="G83" s="126"/>
      <c r="H83" s="126"/>
      <c r="J83" s="126" t="str">
        <f>'حضور ميخائيل'!I27</f>
        <v/>
      </c>
      <c r="K83" s="126"/>
      <c r="L83" s="126"/>
    </row>
    <row r="84" spans="2:12" ht="19.5" customHeight="1">
      <c r="B84" s="127" t="str">
        <f>IF($Q$27=0,"","🗓️ آخر حضور: "&amp;IF(ISNUMBER('حضور ميخائيل'!H25),DAY('حضور ميخائيل'!H25)&amp;"/"&amp;MONTH('حضور ميخائيل'!H25)&amp;"/"&amp;YEAR('حضور ميخائيل'!H25),"—")&amp;"   •   غياب متتالي: "&amp;'حضور ميخائيل'!G25)</f>
        <v/>
      </c>
      <c r="C84" s="127"/>
      <c r="D84" s="127"/>
      <c r="F84" s="127" t="str">
        <f>IF($Q$28=0,"","🗓️ آخر حضور: "&amp;IF(ISNUMBER('حضور ميخائيل'!H26),DAY('حضور ميخائيل'!H26)&amp;"/"&amp;MONTH('حضور ميخائيل'!H26)&amp;"/"&amp;YEAR('حضور ميخائيل'!H26),"—")&amp;"   •   غياب متتالي: "&amp;'حضور ميخائيل'!G26)</f>
        <v/>
      </c>
      <c r="G84" s="127"/>
      <c r="H84" s="127"/>
      <c r="J84" s="127" t="str">
        <f>IF($Q$29=0,"","🗓️ آخر حضور: "&amp;IF(ISNUMBER('حضور ميخائيل'!H27),DAY('حضور ميخائيل'!H27)&amp;"/"&amp;MONTH('حضور ميخائيل'!H27)&amp;"/"&amp;YEAR('حضور ميخائيل'!H27),"—")&amp;"   •   غياب متتالي: "&amp;'حضور ميخائيل'!G27)</f>
        <v/>
      </c>
      <c r="K84" s="127"/>
      <c r="L84" s="127"/>
    </row>
    <row r="85" spans="2:12" ht="13.5" customHeight="1"/>
    <row r="86" spans="2:12" ht="30" customHeight="1">
      <c r="B86" s="122" t="str">
        <f>IF($Q$30=0,"",IF(INDEX('قاعدة البيانات'!$D$6:$D$305,$Q$30)="بنت","👧 ","👦 ")&amp;INDEX('قاعدة البيانات'!$C$6:$C$305,$Q$30))</f>
        <v/>
      </c>
      <c r="C86" s="122"/>
      <c r="D86" s="122"/>
      <c r="F86" s="122" t="str">
        <f>IF($Q$31=0,"",IF(INDEX('قاعدة البيانات'!$D$6:$D$305,$Q$31)="بنت","👧 ","👦 ")&amp;INDEX('قاعدة البيانات'!$C$6:$C$305,$Q$31))</f>
        <v/>
      </c>
      <c r="G86" s="122"/>
      <c r="H86" s="122"/>
      <c r="J86" s="122" t="str">
        <f>IF($Q$32=0,"",IF(INDEX('قاعدة البيانات'!$D$6:$D$305,$Q$32)="بنت","👧 ","👦 ")&amp;INDEX('قاعدة البيانات'!$C$6:$C$305,$Q$32))</f>
        <v/>
      </c>
      <c r="K86" s="122"/>
      <c r="L86" s="122"/>
    </row>
    <row r="87" spans="2:12" ht="108" customHeight="1">
      <c r="B87" s="37" t="str">
        <f>IF($Q$30=0,"",IF(ISBLANK(INDEX('قاعدة البيانات'!$K$6:$K$305,$Q$30)),LEFT(INDEX('قاعدة البيانات'!$C$6:$C$305,$Q$30),1),INDEX('قاعدة البيانات'!$K$6:$K$305,$Q$30)))</f>
        <v/>
      </c>
      <c r="C87" s="123"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c>
      <c r="D87" s="123"/>
      <c r="F87" s="37" t="str">
        <f>IF($Q$31=0,"",IF(ISBLANK(INDEX('قاعدة البيانات'!$K$6:$K$305,$Q$31)),LEFT(INDEX('قاعدة البيانات'!$C$6:$C$305,$Q$31),1),INDEX('قاعدة البيانات'!$K$6:$K$305,$Q$31)))</f>
        <v/>
      </c>
      <c r="G87" s="123"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c>
      <c r="H87" s="123"/>
      <c r="J87" s="37" t="str">
        <f>IF($Q$32=0,"",IF(ISBLANK(INDEX('قاعدة البيانات'!$K$6:$K$305,$Q$32)),LEFT(INDEX('قاعدة البيانات'!$C$6:$C$305,$Q$32),1),INDEX('قاعدة البيانات'!$K$6:$K$305,$Q$32)))</f>
        <v/>
      </c>
      <c r="K87" s="123"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c>
      <c r="L87" s="123"/>
    </row>
    <row r="88" spans="2:12" ht="24" customHeight="1">
      <c r="B88" s="38" t="str">
        <f>IF($Q$30=0,"","👩 ماما")</f>
        <v/>
      </c>
      <c r="C88" s="39" t="str">
        <f>IF($Q$30=0,"",IF(INDEX('قاعدة البيانات'!$H$6:$H$305,$Q$30)="","— مفيش رقم —",HYPERLINK("tel:"&amp;INDEX('قاعدة البيانات'!$H$6:$H$305,$Q$30),"📞 "&amp;INDEX('قاعدة البيانات'!$H$6:$H$305,$Q$30))))</f>
        <v/>
      </c>
      <c r="D88" s="40" t="str">
        <f>IF(OR($Q$30=0,INDEX('قاعدة البيانات'!$H$6:$H$305,$Q$30)=""),"",HYPERLINK("https://wa.me/20"&amp;RIGHT(INDEX('قاعدة البيانات'!$H$6:$H$305,$Q$30),10),"💬 واتساب"))</f>
        <v/>
      </c>
      <c r="F88" s="38" t="str">
        <f>IF($Q$31=0,"","👩 ماما")</f>
        <v/>
      </c>
      <c r="G88" s="39" t="str">
        <f>IF($Q$31=0,"",IF(INDEX('قاعدة البيانات'!$H$6:$H$305,$Q$31)="","— مفيش رقم —",HYPERLINK("tel:"&amp;INDEX('قاعدة البيانات'!$H$6:$H$305,$Q$31),"📞 "&amp;INDEX('قاعدة البيانات'!$H$6:$H$305,$Q$31))))</f>
        <v/>
      </c>
      <c r="H88" s="40" t="str">
        <f>IF(OR($Q$31=0,INDEX('قاعدة البيانات'!$H$6:$H$305,$Q$31)=""),"",HYPERLINK("https://wa.me/20"&amp;RIGHT(INDEX('قاعدة البيانات'!$H$6:$H$305,$Q$31),10),"💬 واتساب"))</f>
        <v/>
      </c>
      <c r="J88" s="38" t="str">
        <f>IF($Q$32=0,"","👩 ماما")</f>
        <v/>
      </c>
      <c r="K88" s="39" t="str">
        <f>IF($Q$32=0,"",IF(INDEX('قاعدة البيانات'!$H$6:$H$305,$Q$32)="","— مفيش رقم —",HYPERLINK("tel:"&amp;INDEX('قاعدة البيانات'!$H$6:$H$305,$Q$32),"📞 "&amp;INDEX('قاعدة البيانات'!$H$6:$H$305,$Q$32))))</f>
        <v/>
      </c>
      <c r="L88" s="40" t="str">
        <f>IF(OR($Q$32=0,INDEX('قاعدة البيانات'!$H$6:$H$305,$Q$32)=""),"",HYPERLINK("https://wa.me/20"&amp;RIGHT(INDEX('قاعدة البيانات'!$H$6:$H$305,$Q$32),10),"💬 واتساب"))</f>
        <v/>
      </c>
    </row>
    <row r="89" spans="2:12" ht="24" customHeight="1">
      <c r="B89" s="38" t="str">
        <f>IF($Q$30=0,"","👨 بابا")</f>
        <v/>
      </c>
      <c r="C89" s="39" t="str">
        <f>IF($Q$30=0,"",IF(INDEX('قاعدة البيانات'!$I$6:$I$305,$Q$30)="","— مفيش رقم —",HYPERLINK("tel:"&amp;INDEX('قاعدة البيانات'!$I$6:$I$305,$Q$30),"📞 "&amp;INDEX('قاعدة البيانات'!$I$6:$I$305,$Q$30))))</f>
        <v/>
      </c>
      <c r="D89" s="40" t="str">
        <f>IF(OR($Q$30=0,INDEX('قاعدة البيانات'!$I$6:$I$305,$Q$30)=""),"",HYPERLINK("https://wa.me/20"&amp;RIGHT(INDEX('قاعدة البيانات'!$I$6:$I$305,$Q$30),10),"💬 واتساب"))</f>
        <v/>
      </c>
      <c r="F89" s="38" t="str">
        <f>IF($Q$31=0,"","👨 بابا")</f>
        <v/>
      </c>
      <c r="G89" s="39" t="str">
        <f>IF($Q$31=0,"",IF(INDEX('قاعدة البيانات'!$I$6:$I$305,$Q$31)="","— مفيش رقم —",HYPERLINK("tel:"&amp;INDEX('قاعدة البيانات'!$I$6:$I$305,$Q$31),"📞 "&amp;INDEX('قاعدة البيانات'!$I$6:$I$305,$Q$31))))</f>
        <v/>
      </c>
      <c r="H89" s="40" t="str">
        <f>IF(OR($Q$31=0,INDEX('قاعدة البيانات'!$I$6:$I$305,$Q$31)=""),"",HYPERLINK("https://wa.me/20"&amp;RIGHT(INDEX('قاعدة البيانات'!$I$6:$I$305,$Q$31),10),"💬 واتساب"))</f>
        <v/>
      </c>
      <c r="J89" s="38" t="str">
        <f>IF($Q$32=0,"","👨 بابا")</f>
        <v/>
      </c>
      <c r="K89" s="39" t="str">
        <f>IF($Q$32=0,"",IF(INDEX('قاعدة البيانات'!$I$6:$I$305,$Q$32)="","— مفيش رقم —",HYPERLINK("tel:"&amp;INDEX('قاعدة البيانات'!$I$6:$I$305,$Q$32),"📞 "&amp;INDEX('قاعدة البيانات'!$I$6:$I$305,$Q$32))))</f>
        <v/>
      </c>
      <c r="L89" s="40" t="str">
        <f>IF(OR($Q$32=0,INDEX('قاعدة البيانات'!$I$6:$I$305,$Q$32)=""),"",HYPERLINK("https://wa.me/20"&amp;RIGHT(INDEX('قاعدة البيانات'!$I$6:$I$305,$Q$32),10),"💬 واتساب"))</f>
        <v/>
      </c>
    </row>
    <row r="90" spans="2:12" ht="37.5" customHeight="1">
      <c r="B90" s="124" t="str">
        <f>IF($Q$30=0,"","📍 "&amp;IF(INDEX('قاعدة البيانات'!$J$6:$J$305,$Q$30)="","— مفيش عنوان —",INDEX('قاعدة البيانات'!$J$6:$J$305,$Q$30)))</f>
        <v/>
      </c>
      <c r="C90" s="124"/>
      <c r="D90" s="124"/>
      <c r="F90" s="124" t="str">
        <f>IF($Q$31=0,"","📍 "&amp;IF(INDEX('قاعدة البيانات'!$J$6:$J$305,$Q$31)="","— مفيش عنوان —",INDEX('قاعدة البيانات'!$J$6:$J$305,$Q$31)))</f>
        <v/>
      </c>
      <c r="G90" s="124"/>
      <c r="H90" s="124"/>
      <c r="J90" s="124" t="str">
        <f>IF($Q$32=0,"","📍 "&amp;IF(INDEX('قاعدة البيانات'!$J$6:$J$305,$Q$32)="","— مفيش عنوان —",INDEX('قاعدة البيانات'!$J$6:$J$305,$Q$32)))</f>
        <v/>
      </c>
      <c r="K90" s="124"/>
      <c r="L90" s="124"/>
    </row>
    <row r="91" spans="2:12" ht="21.75" customHeight="1">
      <c r="B91" s="125" t="str">
        <f>IF($Q$30=0,"","📊 إحصائيات الحضور")</f>
        <v/>
      </c>
      <c r="C91" s="125"/>
      <c r="D91" s="125"/>
      <c r="F91" s="125" t="str">
        <f>IF($Q$31=0,"","📊 إحصائيات الحضور")</f>
        <v/>
      </c>
      <c r="G91" s="125"/>
      <c r="H91" s="125"/>
      <c r="J91" s="125" t="str">
        <f>IF($Q$32=0,"","📊 إحصائيات الحضور")</f>
        <v/>
      </c>
      <c r="K91" s="125"/>
      <c r="L91" s="125"/>
    </row>
    <row r="92" spans="2:12" ht="15.75" customHeight="1">
      <c r="B92" s="41" t="str">
        <f>IF($Q$30=0,"","✅ حضور")</f>
        <v/>
      </c>
      <c r="C92" s="41" t="str">
        <f>IF($Q$30=0,"","❌ غياب")</f>
        <v/>
      </c>
      <c r="D92" s="41" t="str">
        <f>IF($Q$30=0,"","📈 النسبة")</f>
        <v/>
      </c>
      <c r="F92" s="41" t="str">
        <f>IF($Q$31=0,"","✅ حضور")</f>
        <v/>
      </c>
      <c r="G92" s="41" t="str">
        <f>IF($Q$31=0,"","❌ غياب")</f>
        <v/>
      </c>
      <c r="H92" s="41" t="str">
        <f>IF($Q$31=0,"","📈 النسبة")</f>
        <v/>
      </c>
      <c r="J92" s="41" t="str">
        <f>IF($Q$32=0,"","✅ حضور")</f>
        <v/>
      </c>
      <c r="K92" s="41" t="str">
        <f>IF($Q$32=0,"","❌ غياب")</f>
        <v/>
      </c>
      <c r="L92" s="41" t="str">
        <f>IF($Q$32=0,"","📈 النسبة")</f>
        <v/>
      </c>
    </row>
    <row r="93" spans="2:12" ht="33.75" customHeight="1">
      <c r="B93" s="42" t="str">
        <f>'حضور ميخائيل'!C28</f>
        <v/>
      </c>
      <c r="C93" s="43" t="str">
        <f>'حضور ميخائيل'!D28</f>
        <v/>
      </c>
      <c r="D93" s="44" t="str">
        <f>'حضور ميخائيل'!F28</f>
        <v/>
      </c>
      <c r="F93" s="42" t="str">
        <f>'حضور ميخائيل'!C29</f>
        <v/>
      </c>
      <c r="G93" s="43" t="str">
        <f>'حضور ميخائيل'!D29</f>
        <v/>
      </c>
      <c r="H93" s="44" t="str">
        <f>'حضور ميخائيل'!F29</f>
        <v/>
      </c>
      <c r="J93" s="42" t="str">
        <f>'حضور ميخائيل'!C30</f>
        <v/>
      </c>
      <c r="K93" s="43" t="str">
        <f>'حضور ميخائيل'!D30</f>
        <v/>
      </c>
      <c r="L93" s="44" t="str">
        <f>'حضور ميخائيل'!F30</f>
        <v/>
      </c>
    </row>
    <row r="94" spans="2:12" ht="24" customHeight="1">
      <c r="B94" s="126" t="str">
        <f>'حضور ميخائيل'!I28</f>
        <v/>
      </c>
      <c r="C94" s="126"/>
      <c r="D94" s="126"/>
      <c r="F94" s="126" t="str">
        <f>'حضور ميخائيل'!I29</f>
        <v/>
      </c>
      <c r="G94" s="126"/>
      <c r="H94" s="126"/>
      <c r="J94" s="126" t="str">
        <f>'حضور ميخائيل'!I30</f>
        <v/>
      </c>
      <c r="K94" s="126"/>
      <c r="L94" s="126"/>
    </row>
    <row r="95" spans="2:12" ht="19.5" customHeight="1">
      <c r="B95" s="127" t="str">
        <f>IF($Q$30=0,"","🗓️ آخر حضور: "&amp;IF(ISNUMBER('حضور ميخائيل'!H28),DAY('حضور ميخائيل'!H28)&amp;"/"&amp;MONTH('حضور ميخائيل'!H28)&amp;"/"&amp;YEAR('حضور ميخائيل'!H28),"—")&amp;"   •   غياب متتالي: "&amp;'حضور ميخائيل'!G28)</f>
        <v/>
      </c>
      <c r="C95" s="127"/>
      <c r="D95" s="127"/>
      <c r="F95" s="127" t="str">
        <f>IF($Q$31=0,"","🗓️ آخر حضور: "&amp;IF(ISNUMBER('حضور ميخائيل'!H29),DAY('حضور ميخائيل'!H29)&amp;"/"&amp;MONTH('حضور ميخائيل'!H29)&amp;"/"&amp;YEAR('حضور ميخائيل'!H29),"—")&amp;"   •   غياب متتالي: "&amp;'حضور ميخائيل'!G29)</f>
        <v/>
      </c>
      <c r="G95" s="127"/>
      <c r="H95" s="127"/>
      <c r="J95" s="127" t="str">
        <f>IF($Q$32=0,"","🗓️ آخر حضور: "&amp;IF(ISNUMBER('حضور ميخائيل'!H30),DAY('حضور ميخائيل'!H30)&amp;"/"&amp;MONTH('حضور ميخائيل'!H30)&amp;"/"&amp;YEAR('حضور ميخائيل'!H30),"—")&amp;"   •   غياب متتالي: "&amp;'حضور ميخائيل'!G30)</f>
        <v/>
      </c>
      <c r="K95" s="127"/>
      <c r="L95" s="127"/>
    </row>
    <row r="96" spans="2:12" ht="13.5" customHeight="1"/>
    <row r="97" spans="2:12" ht="30" customHeight="1">
      <c r="B97" s="122" t="str">
        <f>IF($Q$33=0,"",IF(INDEX('قاعدة البيانات'!$D$6:$D$305,$Q$33)="بنت","👧 ","👦 ")&amp;INDEX('قاعدة البيانات'!$C$6:$C$305,$Q$33))</f>
        <v/>
      </c>
      <c r="C97" s="122"/>
      <c r="D97" s="122"/>
      <c r="F97" s="122" t="str">
        <f>IF($Q$34=0,"",IF(INDEX('قاعدة البيانات'!$D$6:$D$305,$Q$34)="بنت","👧 ","👦 ")&amp;INDEX('قاعدة البيانات'!$C$6:$C$305,$Q$34))</f>
        <v/>
      </c>
      <c r="G97" s="122"/>
      <c r="H97" s="122"/>
      <c r="J97" s="122" t="str">
        <f>IF($Q$35=0,"",IF(INDEX('قاعدة البيانات'!$D$6:$D$305,$Q$35)="بنت","👧 ","👦 ")&amp;INDEX('قاعدة البيانات'!$C$6:$C$305,$Q$35))</f>
        <v/>
      </c>
      <c r="K97" s="122"/>
      <c r="L97" s="122"/>
    </row>
    <row r="98" spans="2:12" ht="108" customHeight="1">
      <c r="B98" s="37" t="str">
        <f>IF($Q$33=0,"",IF(ISBLANK(INDEX('قاعدة البيانات'!$K$6:$K$305,$Q$33)),LEFT(INDEX('قاعدة البيانات'!$C$6:$C$305,$Q$33),1),INDEX('قاعدة البيانات'!$K$6:$K$305,$Q$33)))</f>
        <v/>
      </c>
      <c r="C98" s="123"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23"/>
      <c r="F98" s="37" t="str">
        <f>IF($Q$34=0,"",IF(ISBLANK(INDEX('قاعدة البيانات'!$K$6:$K$305,$Q$34)),LEFT(INDEX('قاعدة البيانات'!$C$6:$C$305,$Q$34),1),INDEX('قاعدة البيانات'!$K$6:$K$305,$Q$34)))</f>
        <v/>
      </c>
      <c r="G98" s="123"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23"/>
      <c r="J98" s="37" t="str">
        <f>IF($Q$35=0,"",IF(ISBLANK(INDEX('قاعدة البيانات'!$K$6:$K$305,$Q$35)),LEFT(INDEX('قاعدة البيانات'!$C$6:$C$305,$Q$35),1),INDEX('قاعدة البيانات'!$K$6:$K$305,$Q$35)))</f>
        <v/>
      </c>
      <c r="K98" s="123"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23"/>
    </row>
    <row r="99" spans="2:12" ht="24" customHeight="1">
      <c r="B99" s="38" t="str">
        <f>IF($Q$33=0,"","👩 ماما")</f>
        <v/>
      </c>
      <c r="C99" s="39" t="str">
        <f>IF($Q$33=0,"",IF(INDEX('قاعدة البيانات'!$H$6:$H$305,$Q$33)="","— مفيش رقم —",HYPERLINK("tel:"&amp;INDEX('قاعدة البيانات'!$H$6:$H$305,$Q$33),"📞 "&amp;INDEX('قاعدة البيانات'!$H$6:$H$305,$Q$33))))</f>
        <v/>
      </c>
      <c r="D99" s="40" t="str">
        <f>IF(OR($Q$33=0,INDEX('قاعدة البيانات'!$H$6:$H$305,$Q$33)=""),"",HYPERLINK("https://wa.me/20"&amp;RIGHT(INDEX('قاعدة البيانات'!$H$6:$H$305,$Q$33),10),"💬 واتساب"))</f>
        <v/>
      </c>
      <c r="F99" s="38" t="str">
        <f>IF($Q$34=0,"","👩 ماما")</f>
        <v/>
      </c>
      <c r="G99" s="39" t="str">
        <f>IF($Q$34=0,"",IF(INDEX('قاعدة البيانات'!$H$6:$H$305,$Q$34)="","— مفيش رقم —",HYPERLINK("tel:"&amp;INDEX('قاعدة البيانات'!$H$6:$H$305,$Q$34),"📞 "&amp;INDEX('قاعدة البيانات'!$H$6:$H$305,$Q$34))))</f>
        <v/>
      </c>
      <c r="H99" s="40" t="str">
        <f>IF(OR($Q$34=0,INDEX('قاعدة البيانات'!$H$6:$H$305,$Q$34)=""),"",HYPERLINK("https://wa.me/20"&amp;RIGHT(INDEX('قاعدة البيانات'!$H$6:$H$305,$Q$34),10),"💬 واتساب"))</f>
        <v/>
      </c>
      <c r="J99" s="38" t="str">
        <f>IF($Q$35=0,"","👩 ماما")</f>
        <v/>
      </c>
      <c r="K99" s="39" t="str">
        <f>IF($Q$35=0,"",IF(INDEX('قاعدة البيانات'!$H$6:$H$305,$Q$35)="","— مفيش رقم —",HYPERLINK("tel:"&amp;INDEX('قاعدة البيانات'!$H$6:$H$305,$Q$35),"📞 "&amp;INDEX('قاعدة البيانات'!$H$6:$H$305,$Q$35))))</f>
        <v/>
      </c>
      <c r="L99" s="40" t="str">
        <f>IF(OR($Q$35=0,INDEX('قاعدة البيانات'!$H$6:$H$305,$Q$35)=""),"",HYPERLINK("https://wa.me/20"&amp;RIGHT(INDEX('قاعدة البيانات'!$H$6:$H$305,$Q$35),10),"💬 واتساب"))</f>
        <v/>
      </c>
    </row>
    <row r="100" spans="2:12" ht="24" customHeight="1">
      <c r="B100" s="38" t="str">
        <f>IF($Q$33=0,"","👨 بابا")</f>
        <v/>
      </c>
      <c r="C100" s="39" t="str">
        <f>IF($Q$33=0,"",IF(INDEX('قاعدة البيانات'!$I$6:$I$305,$Q$33)="","— مفيش رقم —",HYPERLINK("tel:"&amp;INDEX('قاعدة البيانات'!$I$6:$I$305,$Q$33),"📞 "&amp;INDEX('قاعدة البيانات'!$I$6:$I$305,$Q$33))))</f>
        <v/>
      </c>
      <c r="D100" s="40" t="str">
        <f>IF(OR($Q$33=0,INDEX('قاعدة البيانات'!$I$6:$I$305,$Q$33)=""),"",HYPERLINK("https://wa.me/20"&amp;RIGHT(INDEX('قاعدة البيانات'!$I$6:$I$305,$Q$33),10),"💬 واتساب"))</f>
        <v/>
      </c>
      <c r="F100" s="38" t="str">
        <f>IF($Q$34=0,"","👨 بابا")</f>
        <v/>
      </c>
      <c r="G100" s="39" t="str">
        <f>IF($Q$34=0,"",IF(INDEX('قاعدة البيانات'!$I$6:$I$305,$Q$34)="","— مفيش رقم —",HYPERLINK("tel:"&amp;INDEX('قاعدة البيانات'!$I$6:$I$305,$Q$34),"📞 "&amp;INDEX('قاعدة البيانات'!$I$6:$I$305,$Q$34))))</f>
        <v/>
      </c>
      <c r="H100" s="40" t="str">
        <f>IF(OR($Q$34=0,INDEX('قاعدة البيانات'!$I$6:$I$305,$Q$34)=""),"",HYPERLINK("https://wa.me/20"&amp;RIGHT(INDEX('قاعدة البيانات'!$I$6:$I$305,$Q$34),10),"💬 واتساب"))</f>
        <v/>
      </c>
      <c r="J100" s="38" t="str">
        <f>IF($Q$35=0,"","👨 بابا")</f>
        <v/>
      </c>
      <c r="K100" s="39" t="str">
        <f>IF($Q$35=0,"",IF(INDEX('قاعدة البيانات'!$I$6:$I$305,$Q$35)="","— مفيش رقم —",HYPERLINK("tel:"&amp;INDEX('قاعدة البيانات'!$I$6:$I$305,$Q$35),"📞 "&amp;INDEX('قاعدة البيانات'!$I$6:$I$305,$Q$35))))</f>
        <v/>
      </c>
      <c r="L100" s="40" t="str">
        <f>IF(OR($Q$35=0,INDEX('قاعدة البيانات'!$I$6:$I$305,$Q$35)=""),"",HYPERLINK("https://wa.me/20"&amp;RIGHT(INDEX('قاعدة البيانات'!$I$6:$I$305,$Q$35),10),"💬 واتساب"))</f>
        <v/>
      </c>
    </row>
    <row r="101" spans="2:12" ht="37.5" customHeight="1">
      <c r="B101" s="124" t="str">
        <f>IF($Q$33=0,"","📍 "&amp;IF(INDEX('قاعدة البيانات'!$J$6:$J$305,$Q$33)="","— مفيش عنوان —",INDEX('قاعدة البيانات'!$J$6:$J$305,$Q$33)))</f>
        <v/>
      </c>
      <c r="C101" s="124"/>
      <c r="D101" s="124"/>
      <c r="F101" s="124" t="str">
        <f>IF($Q$34=0,"","📍 "&amp;IF(INDEX('قاعدة البيانات'!$J$6:$J$305,$Q$34)="","— مفيش عنوان —",INDEX('قاعدة البيانات'!$J$6:$J$305,$Q$34)))</f>
        <v/>
      </c>
      <c r="G101" s="124"/>
      <c r="H101" s="124"/>
      <c r="J101" s="124" t="str">
        <f>IF($Q$35=0,"","📍 "&amp;IF(INDEX('قاعدة البيانات'!$J$6:$J$305,$Q$35)="","— مفيش عنوان —",INDEX('قاعدة البيانات'!$J$6:$J$305,$Q$35)))</f>
        <v/>
      </c>
      <c r="K101" s="124"/>
      <c r="L101" s="124"/>
    </row>
    <row r="102" spans="2:12" ht="21.75" customHeight="1">
      <c r="B102" s="125" t="str">
        <f>IF($Q$33=0,"","📊 إحصائيات الحضور")</f>
        <v/>
      </c>
      <c r="C102" s="125"/>
      <c r="D102" s="125"/>
      <c r="F102" s="125" t="str">
        <f>IF($Q$34=0,"","📊 إحصائيات الحضور")</f>
        <v/>
      </c>
      <c r="G102" s="125"/>
      <c r="H102" s="125"/>
      <c r="J102" s="125" t="str">
        <f>IF($Q$35=0,"","📊 إحصائيات الحضور")</f>
        <v/>
      </c>
      <c r="K102" s="125"/>
      <c r="L102" s="125"/>
    </row>
    <row r="103" spans="2:12" ht="15.75" customHeight="1">
      <c r="B103" s="41" t="str">
        <f>IF($Q$33=0,"","✅ حضور")</f>
        <v/>
      </c>
      <c r="C103" s="41" t="str">
        <f>IF($Q$33=0,"","❌ غياب")</f>
        <v/>
      </c>
      <c r="D103" s="41" t="str">
        <f>IF($Q$33=0,"","📈 النسبة")</f>
        <v/>
      </c>
      <c r="F103" s="41" t="str">
        <f>IF($Q$34=0,"","✅ حضور")</f>
        <v/>
      </c>
      <c r="G103" s="41" t="str">
        <f>IF($Q$34=0,"","❌ غياب")</f>
        <v/>
      </c>
      <c r="H103" s="41" t="str">
        <f>IF($Q$34=0,"","📈 النسبة")</f>
        <v/>
      </c>
      <c r="J103" s="41" t="str">
        <f>IF($Q$35=0,"","✅ حضور")</f>
        <v/>
      </c>
      <c r="K103" s="41" t="str">
        <f>IF($Q$35=0,"","❌ غياب")</f>
        <v/>
      </c>
      <c r="L103" s="41" t="str">
        <f>IF($Q$35=0,"","📈 النسبة")</f>
        <v/>
      </c>
    </row>
    <row r="104" spans="2:12" ht="33.75" customHeight="1">
      <c r="B104" s="42" t="str">
        <f>'حضور ميخائيل'!C31</f>
        <v/>
      </c>
      <c r="C104" s="43" t="str">
        <f>'حضور ميخائيل'!D31</f>
        <v/>
      </c>
      <c r="D104" s="44" t="str">
        <f>'حضور ميخائيل'!F31</f>
        <v/>
      </c>
      <c r="F104" s="42" t="str">
        <f>'حضور ميخائيل'!C32</f>
        <v/>
      </c>
      <c r="G104" s="43" t="str">
        <f>'حضور ميخائيل'!D32</f>
        <v/>
      </c>
      <c r="H104" s="44" t="str">
        <f>'حضور ميخائيل'!F32</f>
        <v/>
      </c>
      <c r="J104" s="42" t="str">
        <f>'حضور ميخائيل'!C33</f>
        <v/>
      </c>
      <c r="K104" s="43" t="str">
        <f>'حضور ميخائيل'!D33</f>
        <v/>
      </c>
      <c r="L104" s="44" t="str">
        <f>'حضور ميخائيل'!F33</f>
        <v/>
      </c>
    </row>
    <row r="105" spans="2:12" ht="24" customHeight="1">
      <c r="B105" s="126" t="str">
        <f>'حضور ميخائيل'!I31</f>
        <v/>
      </c>
      <c r="C105" s="126"/>
      <c r="D105" s="126"/>
      <c r="F105" s="126" t="str">
        <f>'حضور ميخائيل'!I32</f>
        <v/>
      </c>
      <c r="G105" s="126"/>
      <c r="H105" s="126"/>
      <c r="J105" s="126" t="str">
        <f>'حضور ميخائيل'!I33</f>
        <v/>
      </c>
      <c r="K105" s="126"/>
      <c r="L105" s="126"/>
    </row>
    <row r="106" spans="2:12" ht="19.5" customHeight="1">
      <c r="B106" s="127" t="str">
        <f>IF($Q$33=0,"","🗓️ آخر حضور: "&amp;IF(ISNUMBER('حضور ميخائيل'!H31),DAY('حضور ميخائيل'!H31)&amp;"/"&amp;MONTH('حضور ميخائيل'!H31)&amp;"/"&amp;YEAR('حضور ميخائيل'!H31),"—")&amp;"   •   غياب متتالي: "&amp;'حضور ميخائيل'!G31)</f>
        <v/>
      </c>
      <c r="C106" s="127"/>
      <c r="D106" s="127"/>
      <c r="F106" s="127" t="str">
        <f>IF($Q$34=0,"","🗓️ آخر حضور: "&amp;IF(ISNUMBER('حضور ميخائيل'!H32),DAY('حضور ميخائيل'!H32)&amp;"/"&amp;MONTH('حضور ميخائيل'!H32)&amp;"/"&amp;YEAR('حضور ميخائيل'!H32),"—")&amp;"   •   غياب متتالي: "&amp;'حضور ميخائيل'!G32)</f>
        <v/>
      </c>
      <c r="G106" s="127"/>
      <c r="H106" s="127"/>
      <c r="J106" s="127" t="str">
        <f>IF($Q$35=0,"","🗓️ آخر حضور: "&amp;IF(ISNUMBER('حضور ميخائيل'!H33),DAY('حضور ميخائيل'!H33)&amp;"/"&amp;MONTH('حضور ميخائيل'!H33)&amp;"/"&amp;YEAR('حضور ميخائيل'!H33),"—")&amp;"   •   غياب متتالي: "&amp;'حضور ميخائيل'!G33)</f>
        <v/>
      </c>
      <c r="K106" s="127"/>
      <c r="L106" s="127"/>
    </row>
    <row r="107" spans="2:12" ht="13.5" customHeight="1"/>
    <row r="108" spans="2:12" ht="30" customHeight="1">
      <c r="B108" s="122" t="str">
        <f>IF($Q$36=0,"",IF(INDEX('قاعدة البيانات'!$D$6:$D$305,$Q$36)="بنت","👧 ","👦 ")&amp;INDEX('قاعدة البيانات'!$C$6:$C$305,$Q$36))</f>
        <v/>
      </c>
      <c r="C108" s="122"/>
      <c r="D108" s="122"/>
      <c r="F108" s="122" t="str">
        <f>IF($Q$37=0,"",IF(INDEX('قاعدة البيانات'!$D$6:$D$305,$Q$37)="بنت","👧 ","👦 ")&amp;INDEX('قاعدة البيانات'!$C$6:$C$305,$Q$37))</f>
        <v/>
      </c>
      <c r="G108" s="122"/>
      <c r="H108" s="122"/>
      <c r="J108" s="122" t="str">
        <f>IF($Q$38=0,"",IF(INDEX('قاعدة البيانات'!$D$6:$D$305,$Q$38)="بنت","👧 ","👦 ")&amp;INDEX('قاعدة البيانات'!$C$6:$C$305,$Q$38))</f>
        <v/>
      </c>
      <c r="K108" s="122"/>
      <c r="L108" s="122"/>
    </row>
    <row r="109" spans="2:12" ht="108" customHeight="1">
      <c r="B109" s="37" t="str">
        <f>IF($Q$36=0,"",IF(ISBLANK(INDEX('قاعدة البيانات'!$K$6:$K$305,$Q$36)),LEFT(INDEX('قاعدة البيانات'!$C$6:$C$305,$Q$36),1),INDEX('قاعدة البيانات'!$K$6:$K$305,$Q$36)))</f>
        <v/>
      </c>
      <c r="C109" s="123"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23"/>
      <c r="F109" s="37" t="str">
        <f>IF($Q$37=0,"",IF(ISBLANK(INDEX('قاعدة البيانات'!$K$6:$K$305,$Q$37)),LEFT(INDEX('قاعدة البيانات'!$C$6:$C$305,$Q$37),1),INDEX('قاعدة البيانات'!$K$6:$K$305,$Q$37)))</f>
        <v/>
      </c>
      <c r="G109" s="123"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23"/>
      <c r="J109" s="37" t="str">
        <f>IF($Q$38=0,"",IF(ISBLANK(INDEX('قاعدة البيانات'!$K$6:$K$305,$Q$38)),LEFT(INDEX('قاعدة البيانات'!$C$6:$C$305,$Q$38),1),INDEX('قاعدة البيانات'!$K$6:$K$305,$Q$38)))</f>
        <v/>
      </c>
      <c r="K109" s="123"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23"/>
    </row>
    <row r="110" spans="2:12" ht="24" customHeight="1">
      <c r="B110" s="38" t="str">
        <f>IF($Q$36=0,"","👩 ماما")</f>
        <v/>
      </c>
      <c r="C110" s="39" t="str">
        <f>IF($Q$36=0,"",IF(INDEX('قاعدة البيانات'!$H$6:$H$305,$Q$36)="","— مفيش رقم —",HYPERLINK("tel:"&amp;INDEX('قاعدة البيانات'!$H$6:$H$305,$Q$36),"📞 "&amp;INDEX('قاعدة البيانات'!$H$6:$H$305,$Q$36))))</f>
        <v/>
      </c>
      <c r="D110" s="40" t="str">
        <f>IF(OR($Q$36=0,INDEX('قاعدة البيانات'!$H$6:$H$305,$Q$36)=""),"",HYPERLINK("https://wa.me/20"&amp;RIGHT(INDEX('قاعدة البيانات'!$H$6:$H$305,$Q$36),10),"💬 واتساب"))</f>
        <v/>
      </c>
      <c r="F110" s="38" t="str">
        <f>IF($Q$37=0,"","👩 ماما")</f>
        <v/>
      </c>
      <c r="G110" s="39" t="str">
        <f>IF($Q$37=0,"",IF(INDEX('قاعدة البيانات'!$H$6:$H$305,$Q$37)="","— مفيش رقم —",HYPERLINK("tel:"&amp;INDEX('قاعدة البيانات'!$H$6:$H$305,$Q$37),"📞 "&amp;INDEX('قاعدة البيانات'!$H$6:$H$305,$Q$37))))</f>
        <v/>
      </c>
      <c r="H110" s="40" t="str">
        <f>IF(OR($Q$37=0,INDEX('قاعدة البيانات'!$H$6:$H$305,$Q$37)=""),"",HYPERLINK("https://wa.me/20"&amp;RIGHT(INDEX('قاعدة البيانات'!$H$6:$H$305,$Q$37),10),"💬 واتساب"))</f>
        <v/>
      </c>
      <c r="J110" s="38" t="str">
        <f>IF($Q$38=0,"","👩 ماما")</f>
        <v/>
      </c>
      <c r="K110" s="39" t="str">
        <f>IF($Q$38=0,"",IF(INDEX('قاعدة البيانات'!$H$6:$H$305,$Q$38)="","— مفيش رقم —",HYPERLINK("tel:"&amp;INDEX('قاعدة البيانات'!$H$6:$H$305,$Q$38),"📞 "&amp;INDEX('قاعدة البيانات'!$H$6:$H$305,$Q$38))))</f>
        <v/>
      </c>
      <c r="L110" s="40" t="str">
        <f>IF(OR($Q$38=0,INDEX('قاعدة البيانات'!$H$6:$H$305,$Q$38)=""),"",HYPERLINK("https://wa.me/20"&amp;RIGHT(INDEX('قاعدة البيانات'!$H$6:$H$305,$Q$38),10),"💬 واتساب"))</f>
        <v/>
      </c>
    </row>
    <row r="111" spans="2:12" ht="24" customHeight="1">
      <c r="B111" s="38" t="str">
        <f>IF($Q$36=0,"","👨 بابا")</f>
        <v/>
      </c>
      <c r="C111" s="39" t="str">
        <f>IF($Q$36=0,"",IF(INDEX('قاعدة البيانات'!$I$6:$I$305,$Q$36)="","— مفيش رقم —",HYPERLINK("tel:"&amp;INDEX('قاعدة البيانات'!$I$6:$I$305,$Q$36),"📞 "&amp;INDEX('قاعدة البيانات'!$I$6:$I$305,$Q$36))))</f>
        <v/>
      </c>
      <c r="D111" s="40" t="str">
        <f>IF(OR($Q$36=0,INDEX('قاعدة البيانات'!$I$6:$I$305,$Q$36)=""),"",HYPERLINK("https://wa.me/20"&amp;RIGHT(INDEX('قاعدة البيانات'!$I$6:$I$305,$Q$36),10),"💬 واتساب"))</f>
        <v/>
      </c>
      <c r="F111" s="38" t="str">
        <f>IF($Q$37=0,"","👨 بابا")</f>
        <v/>
      </c>
      <c r="G111" s="39" t="str">
        <f>IF($Q$37=0,"",IF(INDEX('قاعدة البيانات'!$I$6:$I$305,$Q$37)="","— مفيش رقم —",HYPERLINK("tel:"&amp;INDEX('قاعدة البيانات'!$I$6:$I$305,$Q$37),"📞 "&amp;INDEX('قاعدة البيانات'!$I$6:$I$305,$Q$37))))</f>
        <v/>
      </c>
      <c r="H111" s="40" t="str">
        <f>IF(OR($Q$37=0,INDEX('قاعدة البيانات'!$I$6:$I$305,$Q$37)=""),"",HYPERLINK("https://wa.me/20"&amp;RIGHT(INDEX('قاعدة البيانات'!$I$6:$I$305,$Q$37),10),"💬 واتساب"))</f>
        <v/>
      </c>
      <c r="J111" s="38" t="str">
        <f>IF($Q$38=0,"","👨 بابا")</f>
        <v/>
      </c>
      <c r="K111" s="39" t="str">
        <f>IF($Q$38=0,"",IF(INDEX('قاعدة البيانات'!$I$6:$I$305,$Q$38)="","— مفيش رقم —",HYPERLINK("tel:"&amp;INDEX('قاعدة البيانات'!$I$6:$I$305,$Q$38),"📞 "&amp;INDEX('قاعدة البيانات'!$I$6:$I$305,$Q$38))))</f>
        <v/>
      </c>
      <c r="L111" s="40" t="str">
        <f>IF(OR($Q$38=0,INDEX('قاعدة البيانات'!$I$6:$I$305,$Q$38)=""),"",HYPERLINK("https://wa.me/20"&amp;RIGHT(INDEX('قاعدة البيانات'!$I$6:$I$305,$Q$38),10),"💬 واتساب"))</f>
        <v/>
      </c>
    </row>
    <row r="112" spans="2:12" ht="37.5" customHeight="1">
      <c r="B112" s="124" t="str">
        <f>IF($Q$36=0,"","📍 "&amp;IF(INDEX('قاعدة البيانات'!$J$6:$J$305,$Q$36)="","— مفيش عنوان —",INDEX('قاعدة البيانات'!$J$6:$J$305,$Q$36)))</f>
        <v/>
      </c>
      <c r="C112" s="124"/>
      <c r="D112" s="124"/>
      <c r="F112" s="124" t="str">
        <f>IF($Q$37=0,"","📍 "&amp;IF(INDEX('قاعدة البيانات'!$J$6:$J$305,$Q$37)="","— مفيش عنوان —",INDEX('قاعدة البيانات'!$J$6:$J$305,$Q$37)))</f>
        <v/>
      </c>
      <c r="G112" s="124"/>
      <c r="H112" s="124"/>
      <c r="J112" s="124" t="str">
        <f>IF($Q$38=0,"","📍 "&amp;IF(INDEX('قاعدة البيانات'!$J$6:$J$305,$Q$38)="","— مفيش عنوان —",INDEX('قاعدة البيانات'!$J$6:$J$305,$Q$38)))</f>
        <v/>
      </c>
      <c r="K112" s="124"/>
      <c r="L112" s="124"/>
    </row>
    <row r="113" spans="2:12" ht="21.75" customHeight="1">
      <c r="B113" s="125" t="str">
        <f>IF($Q$36=0,"","📊 إحصائيات الحضور")</f>
        <v/>
      </c>
      <c r="C113" s="125"/>
      <c r="D113" s="125"/>
      <c r="F113" s="125" t="str">
        <f>IF($Q$37=0,"","📊 إحصائيات الحضور")</f>
        <v/>
      </c>
      <c r="G113" s="125"/>
      <c r="H113" s="125"/>
      <c r="J113" s="125" t="str">
        <f>IF($Q$38=0,"","📊 إحصائيات الحضور")</f>
        <v/>
      </c>
      <c r="K113" s="125"/>
      <c r="L113" s="125"/>
    </row>
    <row r="114" spans="2:12" ht="15.75" customHeight="1">
      <c r="B114" s="41" t="str">
        <f>IF($Q$36=0,"","✅ حضور")</f>
        <v/>
      </c>
      <c r="C114" s="41" t="str">
        <f>IF($Q$36=0,"","❌ غياب")</f>
        <v/>
      </c>
      <c r="D114" s="41" t="str">
        <f>IF($Q$36=0,"","📈 النسبة")</f>
        <v/>
      </c>
      <c r="F114" s="41" t="str">
        <f>IF($Q$37=0,"","✅ حضور")</f>
        <v/>
      </c>
      <c r="G114" s="41" t="str">
        <f>IF($Q$37=0,"","❌ غياب")</f>
        <v/>
      </c>
      <c r="H114" s="41" t="str">
        <f>IF($Q$37=0,"","📈 النسبة")</f>
        <v/>
      </c>
      <c r="J114" s="41" t="str">
        <f>IF($Q$38=0,"","✅ حضور")</f>
        <v/>
      </c>
      <c r="K114" s="41" t="str">
        <f>IF($Q$38=0,"","❌ غياب")</f>
        <v/>
      </c>
      <c r="L114" s="41" t="str">
        <f>IF($Q$38=0,"","📈 النسبة")</f>
        <v/>
      </c>
    </row>
    <row r="115" spans="2:12" ht="33.75" customHeight="1">
      <c r="B115" s="42" t="str">
        <f>'حضور ميخائيل'!C34</f>
        <v/>
      </c>
      <c r="C115" s="43" t="str">
        <f>'حضور ميخائيل'!D34</f>
        <v/>
      </c>
      <c r="D115" s="44" t="str">
        <f>'حضور ميخائيل'!F34</f>
        <v/>
      </c>
      <c r="F115" s="42" t="str">
        <f>'حضور ميخائيل'!C35</f>
        <v/>
      </c>
      <c r="G115" s="43" t="str">
        <f>'حضور ميخائيل'!D35</f>
        <v/>
      </c>
      <c r="H115" s="44" t="str">
        <f>'حضور ميخائيل'!F35</f>
        <v/>
      </c>
      <c r="J115" s="42" t="str">
        <f>'حضور ميخائيل'!C36</f>
        <v/>
      </c>
      <c r="K115" s="43" t="str">
        <f>'حضور ميخائيل'!D36</f>
        <v/>
      </c>
      <c r="L115" s="44" t="str">
        <f>'حضور ميخائيل'!F36</f>
        <v/>
      </c>
    </row>
    <row r="116" spans="2:12" ht="24" customHeight="1">
      <c r="B116" s="126" t="str">
        <f>'حضور ميخائيل'!I34</f>
        <v/>
      </c>
      <c r="C116" s="126"/>
      <c r="D116" s="126"/>
      <c r="F116" s="126" t="str">
        <f>'حضور ميخائيل'!I35</f>
        <v/>
      </c>
      <c r="G116" s="126"/>
      <c r="H116" s="126"/>
      <c r="J116" s="126" t="str">
        <f>'حضور ميخائيل'!I36</f>
        <v/>
      </c>
      <c r="K116" s="126"/>
      <c r="L116" s="126"/>
    </row>
    <row r="117" spans="2:12" ht="19.5" customHeight="1">
      <c r="B117" s="127" t="str">
        <f>IF($Q$36=0,"","🗓️ آخر حضور: "&amp;IF(ISNUMBER('حضور ميخائيل'!H34),DAY('حضور ميخائيل'!H34)&amp;"/"&amp;MONTH('حضور ميخائيل'!H34)&amp;"/"&amp;YEAR('حضور ميخائيل'!H34),"—")&amp;"   •   غياب متتالي: "&amp;'حضور ميخائيل'!G34)</f>
        <v/>
      </c>
      <c r="C117" s="127"/>
      <c r="D117" s="127"/>
      <c r="F117" s="127" t="str">
        <f>IF($Q$37=0,"","🗓️ آخر حضور: "&amp;IF(ISNUMBER('حضور ميخائيل'!H35),DAY('حضور ميخائيل'!H35)&amp;"/"&amp;MONTH('حضور ميخائيل'!H35)&amp;"/"&amp;YEAR('حضور ميخائيل'!H35),"—")&amp;"   •   غياب متتالي: "&amp;'حضور ميخائيل'!G35)</f>
        <v/>
      </c>
      <c r="G117" s="127"/>
      <c r="H117" s="127"/>
      <c r="J117" s="127" t="str">
        <f>IF($Q$38=0,"","🗓️ آخر حضور: "&amp;IF(ISNUMBER('حضور ميخائيل'!H36),DAY('حضور ميخائيل'!H36)&amp;"/"&amp;MONTH('حضور ميخائيل'!H36)&amp;"/"&amp;YEAR('حضور ميخائيل'!H36),"—")&amp;"   •   غياب متتالي: "&amp;'حضور ميخائيل'!G36)</f>
        <v/>
      </c>
      <c r="K117" s="127"/>
      <c r="L117" s="127"/>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81" priority="4">
      <formula>INDEX($R$9:$R$38,(INT((ROW()-9)/11)*3+INT((COLUMN()-2)/4)+1))="ولد"</formula>
    </cfRule>
    <cfRule type="expression" dxfId="80"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79"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78" priority="2">
      <formula>INDEX($S$9:$S$38,(INT((ROW()-9)/11)*3+INT((COLUMN()-2)/4)+1))=5</formula>
    </cfRule>
    <cfRule type="expression" dxfId="77"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76"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75"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74"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73" priority="17">
      <formula>INDEX($S$9:$S$38,(INT((ROW()-9)/11)*3+INT((COLUMN()-2)/4)+1))=1</formula>
    </cfRule>
    <cfRule type="expression" dxfId="72" priority="18">
      <formula>INDEX($S$9:$S$38,(INT((ROW()-9)/11)*3+INT((COLUMN()-2)/4)+1))=2</formula>
    </cfRule>
    <cfRule type="expression" dxfId="71" priority="19">
      <formula>INDEX($S$9:$S$38,(INT((ROW()-9)/11)*3+INT((COLUMN()-2)/4)+1))=3</formula>
    </cfRule>
    <cfRule type="expression" dxfId="70" priority="20">
      <formula>INDEX($S$9:$S$38,(INT((ROW()-9)/11)*3+INT((COLUMN()-2)/4)+1))=4</formula>
    </cfRule>
    <cfRule type="expression" dxfId="69"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68"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67" priority="6">
      <formula>INDEX($Q$9:$Q$38,(INT((ROW()-9)/11)*3+INT((COLUMN()-2)/4)+1))&gt;0</formula>
    </cfRule>
  </conditionalFormatting>
  <conditionalFormatting sqref="D16 H16 L16 D27 H27 L27 D38 H38 L38 D49 H49 L49 D60 H60 L60 D71 H71 L71 D82 H82 L82 D93 H93 L93 D104 H104 L104 D115 H115 L115">
    <cfRule type="expression" dxfId="66" priority="13">
      <formula>INDEX($S$9:$S$38,(INT((ROW()-9)/11)*3+INT((COLUMN()-2)/4)+1))=1</formula>
    </cfRule>
    <cfRule type="expression" dxfId="65" priority="14">
      <formula>INDEX($S$9:$S$38,(INT((ROW()-9)/11)*3+INT((COLUMN()-2)/4)+1))=2</formula>
    </cfRule>
    <cfRule type="expression" dxfId="64" priority="15">
      <formula>OR(INDEX($S$9:$S$38,(INT((ROW()-9)/11)*3+INT((COLUMN()-2)/4)+1))=3,INDEX($S$9:$S$38,(INT((ROW()-9)/11)*3+INT((COLUMN()-2)/4)+1))=4)</formula>
    </cfRule>
    <cfRule type="expression" dxfId="63"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BM36"/>
  <sheetViews>
    <sheetView showGridLines="0" rightToLeft="1" zoomScale="90" zoomScaleNormal="90" workbookViewId="0">
      <pane xSplit="2" ySplit="6" topLeftCell="C7" activePane="bottomRight" state="frozen"/>
      <selection pane="topRight" activeCell="C1" sqref="C1"/>
      <selection pane="bottomLeft" activeCell="A7" sqref="A7"/>
      <selection pane="bottomRight"/>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46" t="str">
        <f>"📅 قايمة حضور ملاك "&amp;الإعدادات!$B$4</f>
        <v>📅 قايمة حضور ملاك سوريال</v>
      </c>
      <c r="B1" s="146"/>
      <c r="C1" s="146"/>
      <c r="D1" s="146"/>
      <c r="E1" s="146"/>
      <c r="F1" s="146"/>
      <c r="G1" s="146"/>
      <c r="H1" s="146"/>
      <c r="I1" s="146"/>
      <c r="J1" s="146"/>
      <c r="K1" s="146"/>
      <c r="L1" s="146"/>
      <c r="M1" s="146"/>
      <c r="N1" s="146"/>
      <c r="O1" s="146"/>
      <c r="P1" s="146"/>
      <c r="Q1" s="146"/>
      <c r="R1" s="146"/>
    </row>
    <row r="2" spans="1:65" ht="27.75" customHeight="1">
      <c r="A2" s="111" t="str">
        <f>HYPERLINK("#'الرئيسية'!A1","🏠 الرئيسية")</f>
        <v>🏠 الرئيسية</v>
      </c>
      <c r="B2" s="111"/>
      <c r="C2" s="116" t="str">
        <f>HYPERLINK("#'فصل سوريال'!A1","🪪 كروت الفصل")</f>
        <v>🪪 كروت الفصل</v>
      </c>
      <c r="D2" s="116"/>
      <c r="E2" s="116"/>
      <c r="F2" s="116"/>
      <c r="G2" s="115" t="str">
        <f>HYPERLINK("#'قاعدة البيانات'!C"&amp;MIN(305,6+COUNTA('قاعدة البيانات'!$C$6:$C$305)),"➕ إضافة طفل")</f>
        <v>➕ إضافة طفل</v>
      </c>
      <c r="H2" s="115"/>
      <c r="I2" s="115"/>
      <c r="J2" s="111" t="str">
        <f>HYPERLINK("#'الافتقاد'!A1","📞 الافتقاد")</f>
        <v>📞 الافتقاد</v>
      </c>
      <c r="K2" s="111"/>
      <c r="L2" s="111"/>
      <c r="M2" s="111"/>
      <c r="N2" s="111"/>
      <c r="O2" s="111"/>
      <c r="P2" s="111" t="str">
        <f>HYPERLINK("#'قاعدة البيانات'!A1","📋 القاعدة")</f>
        <v>📋 القاعدة</v>
      </c>
      <c r="Q2" s="111"/>
      <c r="R2" s="111"/>
      <c r="S2" s="111"/>
      <c r="T2" s="111"/>
      <c r="U2" s="111"/>
      <c r="V2" s="111"/>
    </row>
    <row r="3" spans="1:65" ht="25.5" customHeight="1">
      <c r="A3" s="147" t="str">
        <f>"📅 جمع مسجلة: "&amp;COUNT(J4:BJ4)&amp;"  |  📊 "&amp;IFERROR(ROUND(SUM(C7:C36)/(SUM(C7:C36)+SUM(D7:D36))*100,0)&amp;"%","—")</f>
        <v>📅 جمع مسجلة: 0  |  📊 —</v>
      </c>
      <c r="B3" s="147"/>
      <c r="C3" s="148" t="s">
        <v>55</v>
      </c>
      <c r="D3" s="148"/>
      <c r="E3" s="148"/>
      <c r="F3" s="148"/>
      <c r="G3" s="148"/>
      <c r="H3" s="148"/>
      <c r="I3" s="148"/>
      <c r="J3" s="149" t="s">
        <v>56</v>
      </c>
      <c r="K3" s="149"/>
      <c r="L3" s="149"/>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row>
    <row r="4" spans="1:65" ht="21.75" customHeight="1">
      <c r="A4" s="150" t="s">
        <v>57</v>
      </c>
      <c r="B4" s="150"/>
      <c r="C4" s="150"/>
      <c r="D4" s="150"/>
      <c r="E4" s="150"/>
      <c r="F4" s="150"/>
      <c r="G4" s="150"/>
      <c r="H4" s="150"/>
      <c r="I4" s="150"/>
      <c r="J4" s="45" t="str">
        <f t="shared" ref="J4:AO4" si="0">IF(J$6="","",IF(COUNTA(J$7:J$36)=0,"",COUNTIF(J$7:J$36,"ح")))</f>
        <v/>
      </c>
      <c r="K4" s="45" t="str">
        <f t="shared" si="0"/>
        <v/>
      </c>
      <c r="L4" s="45" t="str">
        <f t="shared" si="0"/>
        <v/>
      </c>
      <c r="M4" s="45" t="str">
        <f t="shared" si="0"/>
        <v/>
      </c>
      <c r="N4" s="45" t="str">
        <f t="shared" si="0"/>
        <v/>
      </c>
      <c r="O4" s="45" t="str">
        <f t="shared" si="0"/>
        <v/>
      </c>
      <c r="P4" s="45" t="str">
        <f t="shared" si="0"/>
        <v/>
      </c>
      <c r="Q4" s="45" t="str">
        <f t="shared" si="0"/>
        <v/>
      </c>
      <c r="R4" s="45" t="str">
        <f t="shared" si="0"/>
        <v/>
      </c>
      <c r="S4" s="45" t="str">
        <f t="shared" si="0"/>
        <v/>
      </c>
      <c r="T4" s="45" t="str">
        <f t="shared" si="0"/>
        <v/>
      </c>
      <c r="U4" s="45" t="str">
        <f t="shared" si="0"/>
        <v/>
      </c>
      <c r="V4" s="45" t="str">
        <f t="shared" si="0"/>
        <v/>
      </c>
      <c r="W4" s="45" t="str">
        <f t="shared" si="0"/>
        <v/>
      </c>
      <c r="X4" s="45" t="str">
        <f t="shared" si="0"/>
        <v/>
      </c>
      <c r="Y4" s="45" t="str">
        <f t="shared" si="0"/>
        <v/>
      </c>
      <c r="Z4" s="45" t="str">
        <f t="shared" si="0"/>
        <v/>
      </c>
      <c r="AA4" s="45" t="str">
        <f t="shared" si="0"/>
        <v/>
      </c>
      <c r="AB4" s="45" t="str">
        <f t="shared" si="0"/>
        <v/>
      </c>
      <c r="AC4" s="45" t="str">
        <f t="shared" si="0"/>
        <v/>
      </c>
      <c r="AD4" s="45" t="str">
        <f t="shared" si="0"/>
        <v/>
      </c>
      <c r="AE4" s="45" t="str">
        <f t="shared" si="0"/>
        <v/>
      </c>
      <c r="AF4" s="45" t="str">
        <f t="shared" si="0"/>
        <v/>
      </c>
      <c r="AG4" s="45" t="str">
        <f t="shared" si="0"/>
        <v/>
      </c>
      <c r="AH4" s="45" t="str">
        <f t="shared" si="0"/>
        <v/>
      </c>
      <c r="AI4" s="45" t="str">
        <f t="shared" si="0"/>
        <v/>
      </c>
      <c r="AJ4" s="45" t="str">
        <f t="shared" si="0"/>
        <v/>
      </c>
      <c r="AK4" s="45" t="str">
        <f t="shared" si="0"/>
        <v/>
      </c>
      <c r="AL4" s="45" t="str">
        <f t="shared" si="0"/>
        <v/>
      </c>
      <c r="AM4" s="45" t="str">
        <f t="shared" si="0"/>
        <v/>
      </c>
      <c r="AN4" s="45" t="str">
        <f t="shared" si="0"/>
        <v/>
      </c>
      <c r="AO4" s="45" t="str">
        <f t="shared" si="0"/>
        <v/>
      </c>
      <c r="AP4" s="45" t="str">
        <f t="shared" ref="AP4:BJ4" si="1">IF(AP$6="","",IF(COUNTA(AP$7:AP$36)=0,"",COUNTIF(AP$7:AP$36,"ح")))</f>
        <v/>
      </c>
      <c r="AQ4" s="45" t="str">
        <f t="shared" si="1"/>
        <v/>
      </c>
      <c r="AR4" s="45" t="str">
        <f t="shared" si="1"/>
        <v/>
      </c>
      <c r="AS4" s="45" t="str">
        <f t="shared" si="1"/>
        <v/>
      </c>
      <c r="AT4" s="45" t="str">
        <f t="shared" si="1"/>
        <v/>
      </c>
      <c r="AU4" s="45" t="str">
        <f t="shared" si="1"/>
        <v/>
      </c>
      <c r="AV4" s="45" t="str">
        <f t="shared" si="1"/>
        <v/>
      </c>
      <c r="AW4" s="45" t="str">
        <f t="shared" si="1"/>
        <v/>
      </c>
      <c r="AX4" s="45" t="str">
        <f t="shared" si="1"/>
        <v/>
      </c>
      <c r="AY4" s="45" t="str">
        <f t="shared" si="1"/>
        <v/>
      </c>
      <c r="AZ4" s="45" t="str">
        <f t="shared" si="1"/>
        <v/>
      </c>
      <c r="BA4" s="45" t="str">
        <f t="shared" si="1"/>
        <v/>
      </c>
      <c r="BB4" s="45" t="str">
        <f t="shared" si="1"/>
        <v/>
      </c>
      <c r="BC4" s="45" t="str">
        <f t="shared" si="1"/>
        <v/>
      </c>
      <c r="BD4" s="45" t="str">
        <f t="shared" si="1"/>
        <v/>
      </c>
      <c r="BE4" s="45" t="str">
        <f t="shared" si="1"/>
        <v/>
      </c>
      <c r="BF4" s="45" t="str">
        <f t="shared" si="1"/>
        <v/>
      </c>
      <c r="BG4" s="45" t="str">
        <f t="shared" si="1"/>
        <v/>
      </c>
      <c r="BH4" s="45" t="str">
        <f t="shared" si="1"/>
        <v/>
      </c>
      <c r="BI4" s="45" t="str">
        <f t="shared" si="1"/>
        <v/>
      </c>
      <c r="BJ4" s="45" t="str">
        <f t="shared" si="1"/>
        <v/>
      </c>
    </row>
    <row r="5" spans="1:65" ht="21.75" customHeight="1">
      <c r="A5" s="150" t="s">
        <v>58</v>
      </c>
      <c r="B5" s="150"/>
      <c r="C5" s="150"/>
      <c r="D5" s="150"/>
      <c r="E5" s="150"/>
      <c r="F5" s="150"/>
      <c r="G5" s="150"/>
      <c r="H5" s="150"/>
      <c r="I5" s="150"/>
      <c r="J5" s="46" t="str">
        <f t="shared" ref="J5:AO5" si="2">IF(J4="","",IFERROR(J4/(COUNTIF(J$7:J$36,"ح")+COUNTIF(J$7:J$36,"غ")),""))</f>
        <v/>
      </c>
      <c r="K5" s="46" t="str">
        <f t="shared" si="2"/>
        <v/>
      </c>
      <c r="L5" s="46" t="str">
        <f t="shared" si="2"/>
        <v/>
      </c>
      <c r="M5" s="46" t="str">
        <f t="shared" si="2"/>
        <v/>
      </c>
      <c r="N5" s="46" t="str">
        <f t="shared" si="2"/>
        <v/>
      </c>
      <c r="O5" s="46" t="str">
        <f t="shared" si="2"/>
        <v/>
      </c>
      <c r="P5" s="46" t="str">
        <f t="shared" si="2"/>
        <v/>
      </c>
      <c r="Q5" s="46" t="str">
        <f t="shared" si="2"/>
        <v/>
      </c>
      <c r="R5" s="46" t="str">
        <f t="shared" si="2"/>
        <v/>
      </c>
      <c r="S5" s="46" t="str">
        <f t="shared" si="2"/>
        <v/>
      </c>
      <c r="T5" s="46" t="str">
        <f t="shared" si="2"/>
        <v/>
      </c>
      <c r="U5" s="46" t="str">
        <f t="shared" si="2"/>
        <v/>
      </c>
      <c r="V5" s="46" t="str">
        <f t="shared" si="2"/>
        <v/>
      </c>
      <c r="W5" s="46" t="str">
        <f t="shared" si="2"/>
        <v/>
      </c>
      <c r="X5" s="46" t="str">
        <f t="shared" si="2"/>
        <v/>
      </c>
      <c r="Y5" s="46" t="str">
        <f t="shared" si="2"/>
        <v/>
      </c>
      <c r="Z5" s="46" t="str">
        <f t="shared" si="2"/>
        <v/>
      </c>
      <c r="AA5" s="46" t="str">
        <f t="shared" si="2"/>
        <v/>
      </c>
      <c r="AB5" s="46" t="str">
        <f t="shared" si="2"/>
        <v/>
      </c>
      <c r="AC5" s="46" t="str">
        <f t="shared" si="2"/>
        <v/>
      </c>
      <c r="AD5" s="46" t="str">
        <f t="shared" si="2"/>
        <v/>
      </c>
      <c r="AE5" s="46" t="str">
        <f t="shared" si="2"/>
        <v/>
      </c>
      <c r="AF5" s="46" t="str">
        <f t="shared" si="2"/>
        <v/>
      </c>
      <c r="AG5" s="46" t="str">
        <f t="shared" si="2"/>
        <v/>
      </c>
      <c r="AH5" s="46" t="str">
        <f t="shared" si="2"/>
        <v/>
      </c>
      <c r="AI5" s="46" t="str">
        <f t="shared" si="2"/>
        <v/>
      </c>
      <c r="AJ5" s="46" t="str">
        <f t="shared" si="2"/>
        <v/>
      </c>
      <c r="AK5" s="46" t="str">
        <f t="shared" si="2"/>
        <v/>
      </c>
      <c r="AL5" s="46" t="str">
        <f t="shared" si="2"/>
        <v/>
      </c>
      <c r="AM5" s="46" t="str">
        <f t="shared" si="2"/>
        <v/>
      </c>
      <c r="AN5" s="46" t="str">
        <f t="shared" si="2"/>
        <v/>
      </c>
      <c r="AO5" s="46" t="str">
        <f t="shared" si="2"/>
        <v/>
      </c>
      <c r="AP5" s="46" t="str">
        <f t="shared" ref="AP5:BU5" si="3">IF(AP4="","",IFERROR(AP4/(COUNTIF(AP$7:AP$36,"ح")+COUNTIF(AP$7:AP$36,"غ")),""))</f>
        <v/>
      </c>
      <c r="AQ5" s="46" t="str">
        <f t="shared" si="3"/>
        <v/>
      </c>
      <c r="AR5" s="46" t="str">
        <f t="shared" si="3"/>
        <v/>
      </c>
      <c r="AS5" s="46" t="str">
        <f t="shared" si="3"/>
        <v/>
      </c>
      <c r="AT5" s="46" t="str">
        <f t="shared" si="3"/>
        <v/>
      </c>
      <c r="AU5" s="46" t="str">
        <f t="shared" si="3"/>
        <v/>
      </c>
      <c r="AV5" s="46" t="str">
        <f t="shared" si="3"/>
        <v/>
      </c>
      <c r="AW5" s="46" t="str">
        <f t="shared" si="3"/>
        <v/>
      </c>
      <c r="AX5" s="46" t="str">
        <f t="shared" si="3"/>
        <v/>
      </c>
      <c r="AY5" s="46" t="str">
        <f t="shared" si="3"/>
        <v/>
      </c>
      <c r="AZ5" s="46" t="str">
        <f t="shared" si="3"/>
        <v/>
      </c>
      <c r="BA5" s="46" t="str">
        <f t="shared" si="3"/>
        <v/>
      </c>
      <c r="BB5" s="46" t="str">
        <f t="shared" si="3"/>
        <v/>
      </c>
      <c r="BC5" s="46" t="str">
        <f t="shared" si="3"/>
        <v/>
      </c>
      <c r="BD5" s="46" t="str">
        <f t="shared" si="3"/>
        <v/>
      </c>
      <c r="BE5" s="46" t="str">
        <f t="shared" si="3"/>
        <v/>
      </c>
      <c r="BF5" s="46" t="str">
        <f t="shared" si="3"/>
        <v/>
      </c>
      <c r="BG5" s="46" t="str">
        <f t="shared" si="3"/>
        <v/>
      </c>
      <c r="BH5" s="46" t="str">
        <f t="shared" si="3"/>
        <v/>
      </c>
      <c r="BI5" s="46" t="str">
        <f t="shared" si="3"/>
        <v/>
      </c>
      <c r="BJ5" s="46" t="str">
        <f t="shared" si="3"/>
        <v/>
      </c>
    </row>
    <row r="6" spans="1:65" ht="36" customHeight="1">
      <c r="A6" s="47" t="s">
        <v>20</v>
      </c>
      <c r="B6" s="47" t="s">
        <v>22</v>
      </c>
      <c r="C6" s="47" t="s">
        <v>35</v>
      </c>
      <c r="D6" s="47" t="s">
        <v>36</v>
      </c>
      <c r="E6" s="47" t="s">
        <v>59</v>
      </c>
      <c r="F6" s="47" t="s">
        <v>37</v>
      </c>
      <c r="G6" s="47" t="s">
        <v>38</v>
      </c>
      <c r="H6" s="47" t="s">
        <v>39</v>
      </c>
      <c r="I6" s="47" t="s">
        <v>32</v>
      </c>
      <c r="J6" s="48">
        <f>IF(الإعدادات!$B$14&lt;=الإعدادات!$B$11,الإعدادات!$B$14,"")</f>
        <v>46297</v>
      </c>
      <c r="K6" s="48">
        <f>IF(J6="","",IF(J6+7&lt;=الإعدادات!$B$11,J6+7,""))</f>
        <v>46304</v>
      </c>
      <c r="L6" s="48">
        <f>IF(K6="","",IF(K6+7&lt;=الإعدادات!$B$11,K6+7,""))</f>
        <v>46311</v>
      </c>
      <c r="M6" s="48">
        <f>IF(L6="","",IF(L6+7&lt;=الإعدادات!$B$11,L6+7,""))</f>
        <v>46318</v>
      </c>
      <c r="N6" s="48">
        <f>IF(M6="","",IF(M6+7&lt;=الإعدادات!$B$11,M6+7,""))</f>
        <v>46325</v>
      </c>
      <c r="O6" s="48">
        <f>IF(N6="","",IF(N6+7&lt;=الإعدادات!$B$11,N6+7,""))</f>
        <v>46332</v>
      </c>
      <c r="P6" s="48">
        <f>IF(O6="","",IF(O6+7&lt;=الإعدادات!$B$11,O6+7,""))</f>
        <v>46339</v>
      </c>
      <c r="Q6" s="48">
        <f>IF(P6="","",IF(P6+7&lt;=الإعدادات!$B$11,P6+7,""))</f>
        <v>46346</v>
      </c>
      <c r="R6" s="48">
        <f>IF(Q6="","",IF(Q6+7&lt;=الإعدادات!$B$11,Q6+7,""))</f>
        <v>46353</v>
      </c>
      <c r="S6" s="48">
        <f>IF(R6="","",IF(R6+7&lt;=الإعدادات!$B$11,R6+7,""))</f>
        <v>46360</v>
      </c>
      <c r="T6" s="48">
        <f>IF(S6="","",IF(S6+7&lt;=الإعدادات!$B$11,S6+7,""))</f>
        <v>46367</v>
      </c>
      <c r="U6" s="48">
        <f>IF(T6="","",IF(T6+7&lt;=الإعدادات!$B$11,T6+7,""))</f>
        <v>46374</v>
      </c>
      <c r="V6" s="48">
        <f>IF(U6="","",IF(U6+7&lt;=الإعدادات!$B$11,U6+7,""))</f>
        <v>46381</v>
      </c>
      <c r="W6" s="48">
        <f>IF(V6="","",IF(V6+7&lt;=الإعدادات!$B$11,V6+7,""))</f>
        <v>46388</v>
      </c>
      <c r="X6" s="48">
        <f>IF(W6="","",IF(W6+7&lt;=الإعدادات!$B$11,W6+7,""))</f>
        <v>46395</v>
      </c>
      <c r="Y6" s="48">
        <f>IF(X6="","",IF(X6+7&lt;=الإعدادات!$B$11,X6+7,""))</f>
        <v>46402</v>
      </c>
      <c r="Z6" s="48">
        <f>IF(Y6="","",IF(Y6+7&lt;=الإعدادات!$B$11,Y6+7,""))</f>
        <v>46409</v>
      </c>
      <c r="AA6" s="48">
        <f>IF(Z6="","",IF(Z6+7&lt;=الإعدادات!$B$11,Z6+7,""))</f>
        <v>46416</v>
      </c>
      <c r="AB6" s="48">
        <f>IF(AA6="","",IF(AA6+7&lt;=الإعدادات!$B$11,AA6+7,""))</f>
        <v>46423</v>
      </c>
      <c r="AC6" s="48">
        <f>IF(AB6="","",IF(AB6+7&lt;=الإعدادات!$B$11,AB6+7,""))</f>
        <v>46430</v>
      </c>
      <c r="AD6" s="48">
        <f>IF(AC6="","",IF(AC6+7&lt;=الإعدادات!$B$11,AC6+7,""))</f>
        <v>46437</v>
      </c>
      <c r="AE6" s="48">
        <f>IF(AD6="","",IF(AD6+7&lt;=الإعدادات!$B$11,AD6+7,""))</f>
        <v>46444</v>
      </c>
      <c r="AF6" s="48">
        <f>IF(AE6="","",IF(AE6+7&lt;=الإعدادات!$B$11,AE6+7,""))</f>
        <v>46451</v>
      </c>
      <c r="AG6" s="48">
        <f>IF(AF6="","",IF(AF6+7&lt;=الإعدادات!$B$11,AF6+7,""))</f>
        <v>46458</v>
      </c>
      <c r="AH6" s="48">
        <f>IF(AG6="","",IF(AG6+7&lt;=الإعدادات!$B$11,AG6+7,""))</f>
        <v>46465</v>
      </c>
      <c r="AI6" s="48">
        <f>IF(AH6="","",IF(AH6+7&lt;=الإعدادات!$B$11,AH6+7,""))</f>
        <v>46472</v>
      </c>
      <c r="AJ6" s="48">
        <f>IF(AI6="","",IF(AI6+7&lt;=الإعدادات!$B$11,AI6+7,""))</f>
        <v>46479</v>
      </c>
      <c r="AK6" s="48">
        <f>IF(AJ6="","",IF(AJ6+7&lt;=الإعدادات!$B$11,AJ6+7,""))</f>
        <v>46486</v>
      </c>
      <c r="AL6" s="48">
        <f>IF(AK6="","",IF(AK6+7&lt;=الإعدادات!$B$11,AK6+7,""))</f>
        <v>46493</v>
      </c>
      <c r="AM6" s="48">
        <f>IF(AL6="","",IF(AL6+7&lt;=الإعدادات!$B$11,AL6+7,""))</f>
        <v>46500</v>
      </c>
      <c r="AN6" s="48">
        <f>IF(AM6="","",IF(AM6+7&lt;=الإعدادات!$B$11,AM6+7,""))</f>
        <v>46507</v>
      </c>
      <c r="AO6" s="48">
        <f>IF(AN6="","",IF(AN6+7&lt;=الإعدادات!$B$11,AN6+7,""))</f>
        <v>46514</v>
      </c>
      <c r="AP6" s="48">
        <f>IF(AO6="","",IF(AO6+7&lt;=الإعدادات!$B$11,AO6+7,""))</f>
        <v>46521</v>
      </c>
      <c r="AQ6" s="48">
        <f>IF(AP6="","",IF(AP6+7&lt;=الإعدادات!$B$11,AP6+7,""))</f>
        <v>46528</v>
      </c>
      <c r="AR6" s="48">
        <f>IF(AQ6="","",IF(AQ6+7&lt;=الإعدادات!$B$11,AQ6+7,""))</f>
        <v>46535</v>
      </c>
      <c r="AS6" s="48">
        <f>IF(AR6="","",IF(AR6+7&lt;=الإعدادات!$B$11,AR6+7,""))</f>
        <v>46542</v>
      </c>
      <c r="AT6" s="48">
        <f>IF(AS6="","",IF(AS6+7&lt;=الإعدادات!$B$11,AS6+7,""))</f>
        <v>46549</v>
      </c>
      <c r="AU6" s="48">
        <f>IF(AT6="","",IF(AT6+7&lt;=الإعدادات!$B$11,AT6+7,""))</f>
        <v>46556</v>
      </c>
      <c r="AV6" s="48">
        <f>IF(AU6="","",IF(AU6+7&lt;=الإعدادات!$B$11,AU6+7,""))</f>
        <v>46563</v>
      </c>
      <c r="AW6" s="48">
        <f>IF(AV6="","",IF(AV6+7&lt;=الإعدادات!$B$11,AV6+7,""))</f>
        <v>46570</v>
      </c>
      <c r="AX6" s="48">
        <f>IF(AW6="","",IF(AW6+7&lt;=الإعدادات!$B$11,AW6+7,""))</f>
        <v>46577</v>
      </c>
      <c r="AY6" s="48">
        <f>IF(AX6="","",IF(AX6+7&lt;=الإعدادات!$B$11,AX6+7,""))</f>
        <v>46584</v>
      </c>
      <c r="AZ6" s="48">
        <f>IF(AY6="","",IF(AY6+7&lt;=الإعدادات!$B$11,AY6+7,""))</f>
        <v>46591</v>
      </c>
      <c r="BA6" s="48">
        <f>IF(AZ6="","",IF(AZ6+7&lt;=الإعدادات!$B$11,AZ6+7,""))</f>
        <v>46598</v>
      </c>
      <c r="BB6" s="48">
        <f>IF(BA6="","",IF(BA6+7&lt;=الإعدادات!$B$11,BA6+7,""))</f>
        <v>46605</v>
      </c>
      <c r="BC6" s="48">
        <f>IF(BB6="","",IF(BB6+7&lt;=الإعدادات!$B$11,BB6+7,""))</f>
        <v>46612</v>
      </c>
      <c r="BD6" s="48">
        <f>IF(BC6="","",IF(BC6+7&lt;=الإعدادات!$B$11,BC6+7,""))</f>
        <v>46619</v>
      </c>
      <c r="BE6" s="48">
        <f>IF(BD6="","",IF(BD6+7&lt;=الإعدادات!$B$11,BD6+7,""))</f>
        <v>46626</v>
      </c>
      <c r="BF6" s="48">
        <f>IF(BE6="","",IF(BE6+7&lt;=الإعدادات!$B$11,BE6+7,""))</f>
        <v>46633</v>
      </c>
      <c r="BG6" s="48">
        <f>IF(BF6="","",IF(BF6+7&lt;=الإعدادات!$B$11,BF6+7,""))</f>
        <v>46640</v>
      </c>
      <c r="BH6" s="48">
        <f>IF(BG6="","",IF(BG6+7&lt;=الإعدادات!$B$11,BG6+7,""))</f>
        <v>46647</v>
      </c>
      <c r="BI6" s="48">
        <f>IF(BH6="","",IF(BH6+7&lt;=الإعدادات!$B$11,BH6+7,""))</f>
        <v>46654</v>
      </c>
      <c r="BJ6" s="48">
        <f>IF(BI6="","",IF(BI6+7&lt;=الإعدادات!$B$11,BI6+7,""))</f>
        <v>46661</v>
      </c>
    </row>
    <row r="7" spans="1:65" ht="21.75" customHeight="1">
      <c r="A7" s="49">
        <f>IF($BL7=0,"",1)</f>
        <v>1</v>
      </c>
      <c r="B7" s="50" t="str">
        <f>IF($BL7=0,"",INDEX('قاعدة البيانات'!$C$6:$C$305,$BL7))</f>
        <v>بارثينيا اسحق جرجس نادى</v>
      </c>
      <c r="C7" s="51">
        <f t="shared" ref="C7:C36" si="4">IF($BL7=0,"",COUNTIF($J7:$BJ7,"ح"))</f>
        <v>0</v>
      </c>
      <c r="D7" s="52">
        <f t="shared" ref="D7:D36" si="5">IF($BL7=0,"",COUNTIF($J7:$BJ7,"غ"))</f>
        <v>0</v>
      </c>
      <c r="E7" s="53">
        <f t="shared" ref="E7:E36" si="6">IF($BL7=0,"",COUNTIF($J7:$BJ7,"ع"))</f>
        <v>0</v>
      </c>
      <c r="F7" s="54" t="str">
        <f t="shared" ref="F7:F36" si="7">IF($BL7=0,"",IF(C7+D7=0,"",C7/(C7+D7)))</f>
        <v/>
      </c>
      <c r="G7" s="55">
        <f t="shared" ref="G7:G36" si="8">IF($BL7=0,"",SUMPRODUCT(($J7:$BJ7="غ")*((COLUMN($J7:$BJ7)-COLUMN($J7)+1)&gt;IFERROR(LOOKUP(2,1/($J7:$BJ7="ح"),COLUMN($J7:$BJ7)-COLUMN($J7)+1),0))))</f>
        <v>0</v>
      </c>
      <c r="H7" s="56" t="str">
        <f t="shared" ref="H7:H36" si="9">IF($BL7=0,"",IFERROR(LOOKUP(2,1/($J7:$BJ7="ح"),$J$6:$BJ$6),"—"))</f>
        <v>—</v>
      </c>
      <c r="I7" s="57" t="str">
        <f t="shared" ref="I7:I36" si="10">IF($BL7=0,"",IF($BM7=0,"⏳ لسه مفيش حضور",CHOOSE($BM7,"⭐ ممتاز","👍 جيد","⚠️ محتاج متابعة","📞 افتقاده ضروري","⛔ غير نشط")))</f>
        <v>⏳ لسه مفيش حضور</v>
      </c>
      <c r="J7" s="58"/>
      <c r="K7" s="58"/>
      <c r="L7" s="58"/>
      <c r="M7" s="58"/>
      <c r="N7" s="58"/>
      <c r="O7" s="58"/>
      <c r="P7" s="58"/>
      <c r="Q7" s="58"/>
      <c r="R7" s="58"/>
      <c r="S7" s="58"/>
      <c r="T7" s="58"/>
      <c r="U7" s="58"/>
      <c r="V7" s="58"/>
      <c r="W7" s="58"/>
      <c r="X7" s="58"/>
      <c r="Y7" s="58"/>
      <c r="Z7" s="58"/>
      <c r="AA7" s="58"/>
      <c r="AB7" s="58"/>
      <c r="AC7" s="58"/>
      <c r="AD7" s="58"/>
      <c r="AE7" s="58"/>
      <c r="AF7" s="58"/>
      <c r="AG7" s="58"/>
      <c r="AH7" s="58"/>
      <c r="AI7" s="58"/>
      <c r="AJ7" s="58"/>
      <c r="AK7" s="58"/>
      <c r="AL7" s="58"/>
      <c r="AM7" s="58"/>
      <c r="AN7" s="58"/>
      <c r="AO7" s="58"/>
      <c r="AP7" s="58"/>
      <c r="AQ7" s="58"/>
      <c r="AR7" s="58"/>
      <c r="AS7" s="58"/>
      <c r="AT7" s="58"/>
      <c r="AU7" s="58"/>
      <c r="AV7" s="58"/>
      <c r="AW7" s="58"/>
      <c r="AX7" s="58"/>
      <c r="AY7" s="58"/>
      <c r="AZ7" s="58"/>
      <c r="BA7" s="58"/>
      <c r="BB7" s="58"/>
      <c r="BC7" s="58"/>
      <c r="BD7" s="58"/>
      <c r="BE7" s="58"/>
      <c r="BF7" s="58"/>
      <c r="BG7" s="58"/>
      <c r="BH7" s="58"/>
      <c r="BI7" s="58"/>
      <c r="BJ7" s="58"/>
      <c r="BL7">
        <f>IFERROR(MATCH(الإعدادات!$B$4&amp;"|"&amp;1,'قاعدة البيانات'!$N$6:$N$305,0),0)</f>
        <v>25</v>
      </c>
      <c r="BM7">
        <f>IF($BL7=0,0,IF(INDEX('قاعدة البيانات'!$M$6:$M$305,$BL7)="غير نشط",5,IF($F7="",0,IF($G7&gt;=الإعدادات!$B$18,4,IF($F7&gt;=الإعدادات!$B$16,1,IF($F7&gt;=الإعدادات!$B$17,2,3))))))</f>
        <v>0</v>
      </c>
    </row>
    <row r="8" spans="1:65" ht="21.75" customHeight="1">
      <c r="A8" s="49">
        <f>IF($BL8=0,"",2)</f>
        <v>2</v>
      </c>
      <c r="B8" s="50" t="str">
        <f>IF($BL8=0,"",INDEX('قاعدة البيانات'!$C$6:$C$305,$BL8))</f>
        <v>ادم يوسف يعقوب فهمى عزيز</v>
      </c>
      <c r="C8" s="51">
        <f t="shared" si="4"/>
        <v>0</v>
      </c>
      <c r="D8" s="52">
        <f t="shared" si="5"/>
        <v>0</v>
      </c>
      <c r="E8" s="53">
        <f t="shared" si="6"/>
        <v>0</v>
      </c>
      <c r="F8" s="54" t="str">
        <f t="shared" si="7"/>
        <v/>
      </c>
      <c r="G8" s="55">
        <f t="shared" si="8"/>
        <v>0</v>
      </c>
      <c r="H8" s="56" t="str">
        <f t="shared" si="9"/>
        <v>—</v>
      </c>
      <c r="I8" s="57" t="str">
        <f t="shared" si="10"/>
        <v>⏳ لسه مفيش حضور</v>
      </c>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c r="AQ8" s="58"/>
      <c r="AR8" s="58"/>
      <c r="AS8" s="58"/>
      <c r="AT8" s="58"/>
      <c r="AU8" s="58"/>
      <c r="AV8" s="58"/>
      <c r="AW8" s="58"/>
      <c r="AX8" s="58"/>
      <c r="AY8" s="58"/>
      <c r="AZ8" s="58"/>
      <c r="BA8" s="58"/>
      <c r="BB8" s="58"/>
      <c r="BC8" s="58"/>
      <c r="BD8" s="58"/>
      <c r="BE8" s="58"/>
      <c r="BF8" s="58"/>
      <c r="BG8" s="58"/>
      <c r="BH8" s="58"/>
      <c r="BI8" s="58"/>
      <c r="BJ8" s="58"/>
      <c r="BL8">
        <f>IFERROR(MATCH(الإعدادات!$B$4&amp;"|"&amp;2,'قاعدة البيانات'!$N$6:$N$305,0),0)</f>
        <v>26</v>
      </c>
      <c r="BM8">
        <f>IF($BL8=0,0,IF(INDEX('قاعدة البيانات'!$M$6:$M$305,$BL8)="غير نشط",5,IF($F8="",0,IF($G8&gt;=الإعدادات!$B$18,4,IF($F8&gt;=الإعدادات!$B$16,1,IF($F8&gt;=الإعدادات!$B$17,2,3))))))</f>
        <v>0</v>
      </c>
    </row>
    <row r="9" spans="1:65" ht="21.75" customHeight="1">
      <c r="A9" s="49">
        <f>IF($BL9=0,"",3)</f>
        <v>3</v>
      </c>
      <c r="B9" s="50" t="str">
        <f>IF($BL9=0,"",INDEX('قاعدة البيانات'!$C$6:$C$305,$BL9))</f>
        <v>ميرا هاني ظريف فوزى</v>
      </c>
      <c r="C9" s="51">
        <f t="shared" si="4"/>
        <v>0</v>
      </c>
      <c r="D9" s="52">
        <f t="shared" si="5"/>
        <v>0</v>
      </c>
      <c r="E9" s="53">
        <f t="shared" si="6"/>
        <v>0</v>
      </c>
      <c r="F9" s="54" t="str">
        <f t="shared" si="7"/>
        <v/>
      </c>
      <c r="G9" s="55">
        <f t="shared" si="8"/>
        <v>0</v>
      </c>
      <c r="H9" s="56" t="str">
        <f t="shared" si="9"/>
        <v>—</v>
      </c>
      <c r="I9" s="57" t="str">
        <f t="shared" si="10"/>
        <v>⏳ لسه مفيش حضور</v>
      </c>
      <c r="J9" s="58"/>
      <c r="K9" s="58"/>
      <c r="L9" s="58"/>
      <c r="M9" s="58"/>
      <c r="N9" s="58"/>
      <c r="O9" s="58"/>
      <c r="P9" s="58"/>
      <c r="Q9" s="58"/>
      <c r="R9" s="58"/>
      <c r="S9" s="58"/>
      <c r="T9" s="58"/>
      <c r="U9" s="58"/>
      <c r="V9" s="58"/>
      <c r="W9" s="58"/>
      <c r="X9" s="58"/>
      <c r="Y9" s="58"/>
      <c r="Z9" s="58"/>
      <c r="AA9" s="58"/>
      <c r="AB9" s="58"/>
      <c r="AC9" s="58"/>
      <c r="AD9" s="58"/>
      <c r="AE9" s="58"/>
      <c r="AF9" s="58"/>
      <c r="AG9" s="58"/>
      <c r="AH9" s="58"/>
      <c r="AI9" s="58"/>
      <c r="AJ9" s="58"/>
      <c r="AK9" s="58"/>
      <c r="AL9" s="58"/>
      <c r="AM9" s="58"/>
      <c r="AN9" s="58"/>
      <c r="AO9" s="58"/>
      <c r="AP9" s="58"/>
      <c r="AQ9" s="58"/>
      <c r="AR9" s="58"/>
      <c r="AS9" s="58"/>
      <c r="AT9" s="58"/>
      <c r="AU9" s="58"/>
      <c r="AV9" s="58"/>
      <c r="AW9" s="58"/>
      <c r="AX9" s="58"/>
      <c r="AY9" s="58"/>
      <c r="AZ9" s="58"/>
      <c r="BA9" s="58"/>
      <c r="BB9" s="58"/>
      <c r="BC9" s="58"/>
      <c r="BD9" s="58"/>
      <c r="BE9" s="58"/>
      <c r="BF9" s="58"/>
      <c r="BG9" s="58"/>
      <c r="BH9" s="58"/>
      <c r="BI9" s="58"/>
      <c r="BJ9" s="58"/>
      <c r="BL9">
        <f>IFERROR(MATCH(الإعدادات!$B$4&amp;"|"&amp;3,'قاعدة البيانات'!$N$6:$N$305,0),0)</f>
        <v>27</v>
      </c>
      <c r="BM9">
        <f>IF($BL9=0,0,IF(INDEX('قاعدة البيانات'!$M$6:$M$305,$BL9)="غير نشط",5,IF($F9="",0,IF($G9&gt;=الإعدادات!$B$18,4,IF($F9&gt;=الإعدادات!$B$16,1,IF($F9&gt;=الإعدادات!$B$17,2,3))))))</f>
        <v>0</v>
      </c>
    </row>
    <row r="10" spans="1:65" ht="21.75" customHeight="1">
      <c r="A10" s="49">
        <f>IF($BL10=0,"",4)</f>
        <v>4</v>
      </c>
      <c r="B10" s="50" t="str">
        <f>IF($BL10=0,"",INDEX('قاعدة البيانات'!$C$6:$C$305,$BL10))</f>
        <v>ماريا هانى مكرم نصيف</v>
      </c>
      <c r="C10" s="51">
        <f t="shared" si="4"/>
        <v>0</v>
      </c>
      <c r="D10" s="52">
        <f t="shared" si="5"/>
        <v>0</v>
      </c>
      <c r="E10" s="53">
        <f t="shared" si="6"/>
        <v>0</v>
      </c>
      <c r="F10" s="54" t="str">
        <f t="shared" si="7"/>
        <v/>
      </c>
      <c r="G10" s="55">
        <f t="shared" si="8"/>
        <v>0</v>
      </c>
      <c r="H10" s="56" t="str">
        <f t="shared" si="9"/>
        <v>—</v>
      </c>
      <c r="I10" s="57" t="str">
        <f t="shared" si="10"/>
        <v>⏳ لسه مفيش حضور</v>
      </c>
      <c r="J10" s="58"/>
      <c r="K10" s="58"/>
      <c r="L10" s="58"/>
      <c r="M10" s="58"/>
      <c r="N10" s="58"/>
      <c r="O10" s="58"/>
      <c r="P10" s="58"/>
      <c r="Q10" s="58"/>
      <c r="R10" s="58"/>
      <c r="S10" s="58"/>
      <c r="T10" s="58"/>
      <c r="U10" s="58"/>
      <c r="V10" s="58"/>
      <c r="W10" s="58"/>
      <c r="X10" s="58"/>
      <c r="Y10" s="58"/>
      <c r="Z10" s="58"/>
      <c r="AA10" s="58"/>
      <c r="AB10" s="58"/>
      <c r="AC10" s="58"/>
      <c r="AD10" s="58"/>
      <c r="AE10" s="58"/>
      <c r="AF10" s="58"/>
      <c r="AG10" s="58"/>
      <c r="AH10" s="58"/>
      <c r="AI10" s="58"/>
      <c r="AJ10" s="58"/>
      <c r="AK10" s="58"/>
      <c r="AL10" s="58"/>
      <c r="AM10" s="58"/>
      <c r="AN10" s="58"/>
      <c r="AO10" s="58"/>
      <c r="AP10" s="58"/>
      <c r="AQ10" s="58"/>
      <c r="AR10" s="58"/>
      <c r="AS10" s="58"/>
      <c r="AT10" s="58"/>
      <c r="AU10" s="58"/>
      <c r="AV10" s="58"/>
      <c r="AW10" s="58"/>
      <c r="AX10" s="58"/>
      <c r="AY10" s="58"/>
      <c r="AZ10" s="58"/>
      <c r="BA10" s="58"/>
      <c r="BB10" s="58"/>
      <c r="BC10" s="58"/>
      <c r="BD10" s="58"/>
      <c r="BE10" s="58"/>
      <c r="BF10" s="58"/>
      <c r="BG10" s="58"/>
      <c r="BH10" s="58"/>
      <c r="BI10" s="58"/>
      <c r="BJ10" s="58"/>
      <c r="BL10">
        <f>IFERROR(MATCH(الإعدادات!$B$4&amp;"|"&amp;4,'قاعدة البيانات'!$N$6:$N$305,0),0)</f>
        <v>28</v>
      </c>
      <c r="BM10">
        <f>IF($BL10=0,0,IF(INDEX('قاعدة البيانات'!$M$6:$M$305,$BL10)="غير نشط",5,IF($F10="",0,IF($G10&gt;=الإعدادات!$B$18,4,IF($F10&gt;=الإعدادات!$B$16,1,IF($F10&gt;=الإعدادات!$B$17,2,3))))))</f>
        <v>0</v>
      </c>
    </row>
    <row r="11" spans="1:65" ht="21.75" customHeight="1">
      <c r="A11" s="49">
        <f>IF($BL11=0,"",5)</f>
        <v>5</v>
      </c>
      <c r="B11" s="50" t="str">
        <f>IF($BL11=0,"",INDEX('قاعدة البيانات'!$C$6:$C$305,$BL11))</f>
        <v>بافلى سلامه سليمان</v>
      </c>
      <c r="C11" s="51">
        <f t="shared" si="4"/>
        <v>0</v>
      </c>
      <c r="D11" s="52">
        <f t="shared" si="5"/>
        <v>0</v>
      </c>
      <c r="E11" s="53">
        <f t="shared" si="6"/>
        <v>0</v>
      </c>
      <c r="F11" s="54" t="str">
        <f t="shared" si="7"/>
        <v/>
      </c>
      <c r="G11" s="55">
        <f t="shared" si="8"/>
        <v>0</v>
      </c>
      <c r="H11" s="56" t="str">
        <f t="shared" si="9"/>
        <v>—</v>
      </c>
      <c r="I11" s="57" t="str">
        <f t="shared" si="10"/>
        <v>⏳ لسه مفيش حضور</v>
      </c>
      <c r="J11" s="58"/>
      <c r="K11" s="58"/>
      <c r="L11" s="58"/>
      <c r="M11" s="58"/>
      <c r="N11" s="58"/>
      <c r="O11" s="58"/>
      <c r="P11" s="58"/>
      <c r="Q11" s="58"/>
      <c r="R11" s="58"/>
      <c r="S11" s="58"/>
      <c r="T11" s="58"/>
      <c r="U11" s="58"/>
      <c r="V11" s="58"/>
      <c r="W11" s="58"/>
      <c r="X11" s="58"/>
      <c r="Y11" s="58"/>
      <c r="Z11" s="58"/>
      <c r="AA11" s="58"/>
      <c r="AB11" s="58"/>
      <c r="AC11" s="58"/>
      <c r="AD11" s="58"/>
      <c r="AE11" s="58"/>
      <c r="AF11" s="58"/>
      <c r="AG11" s="58"/>
      <c r="AH11" s="58"/>
      <c r="AI11" s="58"/>
      <c r="AJ11" s="58"/>
      <c r="AK11" s="58"/>
      <c r="AL11" s="58"/>
      <c r="AM11" s="58"/>
      <c r="AN11" s="58"/>
      <c r="AO11" s="58"/>
      <c r="AP11" s="58"/>
      <c r="AQ11" s="58"/>
      <c r="AR11" s="58"/>
      <c r="AS11" s="58"/>
      <c r="AT11" s="58"/>
      <c r="AU11" s="58"/>
      <c r="AV11" s="58"/>
      <c r="AW11" s="58"/>
      <c r="AX11" s="58"/>
      <c r="AY11" s="58"/>
      <c r="AZ11" s="58"/>
      <c r="BA11" s="58"/>
      <c r="BB11" s="58"/>
      <c r="BC11" s="58"/>
      <c r="BD11" s="58"/>
      <c r="BE11" s="58"/>
      <c r="BF11" s="58"/>
      <c r="BG11" s="58"/>
      <c r="BH11" s="58"/>
      <c r="BI11" s="58"/>
      <c r="BJ11" s="58"/>
      <c r="BL11">
        <f>IFERROR(MATCH(الإعدادات!$B$4&amp;"|"&amp;5,'قاعدة البيانات'!$N$6:$N$305,0),0)</f>
        <v>29</v>
      </c>
      <c r="BM11">
        <f>IF($BL11=0,0,IF(INDEX('قاعدة البيانات'!$M$6:$M$305,$BL11)="غير نشط",5,IF($F11="",0,IF($G11&gt;=الإعدادات!$B$18,4,IF($F11&gt;=الإعدادات!$B$16,1,IF($F11&gt;=الإعدادات!$B$17,2,3))))))</f>
        <v>0</v>
      </c>
    </row>
    <row r="12" spans="1:65" ht="21.75" customHeight="1">
      <c r="A12" s="49">
        <f>IF($BL12=0,"",6)</f>
        <v>6</v>
      </c>
      <c r="B12" s="50" t="str">
        <f>IF($BL12=0,"",INDEX('قاعدة البيانات'!$C$6:$C$305,$BL12))</f>
        <v>سامي سامح سامي جاد الله</v>
      </c>
      <c r="C12" s="51">
        <f t="shared" si="4"/>
        <v>0</v>
      </c>
      <c r="D12" s="52">
        <f t="shared" si="5"/>
        <v>0</v>
      </c>
      <c r="E12" s="53">
        <f t="shared" si="6"/>
        <v>0</v>
      </c>
      <c r="F12" s="54" t="str">
        <f t="shared" si="7"/>
        <v/>
      </c>
      <c r="G12" s="55">
        <f t="shared" si="8"/>
        <v>0</v>
      </c>
      <c r="H12" s="56" t="str">
        <f t="shared" si="9"/>
        <v>—</v>
      </c>
      <c r="I12" s="57" t="str">
        <f t="shared" si="10"/>
        <v>⏳ لسه مفيش حضور</v>
      </c>
      <c r="J12" s="58"/>
      <c r="K12" s="58"/>
      <c r="L12" s="58"/>
      <c r="M12" s="58"/>
      <c r="N12" s="58"/>
      <c r="O12" s="58"/>
      <c r="P12" s="58"/>
      <c r="Q12" s="58"/>
      <c r="R12" s="58"/>
      <c r="S12" s="58"/>
      <c r="T12" s="58"/>
      <c r="U12" s="58"/>
      <c r="V12" s="58"/>
      <c r="W12" s="58"/>
      <c r="X12" s="58"/>
      <c r="Y12" s="58"/>
      <c r="Z12" s="58"/>
      <c r="AA12" s="58"/>
      <c r="AB12" s="58"/>
      <c r="AC12" s="58"/>
      <c r="AD12" s="58"/>
      <c r="AE12" s="58"/>
      <c r="AF12" s="58"/>
      <c r="AG12" s="58"/>
      <c r="AH12" s="58"/>
      <c r="AI12" s="58"/>
      <c r="AJ12" s="58"/>
      <c r="AK12" s="58"/>
      <c r="AL12" s="58"/>
      <c r="AM12" s="58"/>
      <c r="AN12" s="58"/>
      <c r="AO12" s="58"/>
      <c r="AP12" s="58"/>
      <c r="AQ12" s="58"/>
      <c r="AR12" s="58"/>
      <c r="AS12" s="58"/>
      <c r="AT12" s="58"/>
      <c r="AU12" s="58"/>
      <c r="AV12" s="58"/>
      <c r="AW12" s="58"/>
      <c r="AX12" s="58"/>
      <c r="AY12" s="58"/>
      <c r="AZ12" s="58"/>
      <c r="BA12" s="58"/>
      <c r="BB12" s="58"/>
      <c r="BC12" s="58"/>
      <c r="BD12" s="58"/>
      <c r="BE12" s="58"/>
      <c r="BF12" s="58"/>
      <c r="BG12" s="58"/>
      <c r="BH12" s="58"/>
      <c r="BI12" s="58"/>
      <c r="BJ12" s="58"/>
      <c r="BL12">
        <f>IFERROR(MATCH(الإعدادات!$B$4&amp;"|"&amp;6,'قاعدة البيانات'!$N$6:$N$305,0),0)</f>
        <v>30</v>
      </c>
      <c r="BM12">
        <f>IF($BL12=0,0,IF(INDEX('قاعدة البيانات'!$M$6:$M$305,$BL12)="غير نشط",5,IF($F12="",0,IF($G12&gt;=الإعدادات!$B$18,4,IF($F12&gt;=الإعدادات!$B$16,1,IF($F12&gt;=الإعدادات!$B$17,2,3))))))</f>
        <v>0</v>
      </c>
    </row>
    <row r="13" spans="1:65" ht="21.75" customHeight="1">
      <c r="A13" s="49">
        <f>IF($BL13=0,"",7)</f>
        <v>7</v>
      </c>
      <c r="B13" s="50" t="str">
        <f>IF($BL13=0,"",INDEX('قاعدة البيانات'!$C$6:$C$305,$BL13))</f>
        <v>فيرينا مينا عجايبي يوسف سعد</v>
      </c>
      <c r="C13" s="51">
        <f t="shared" si="4"/>
        <v>0</v>
      </c>
      <c r="D13" s="52">
        <f t="shared" si="5"/>
        <v>0</v>
      </c>
      <c r="E13" s="53">
        <f t="shared" si="6"/>
        <v>0</v>
      </c>
      <c r="F13" s="54" t="str">
        <f t="shared" si="7"/>
        <v/>
      </c>
      <c r="G13" s="55">
        <f t="shared" si="8"/>
        <v>0</v>
      </c>
      <c r="H13" s="56" t="str">
        <f t="shared" si="9"/>
        <v>—</v>
      </c>
      <c r="I13" s="57" t="str">
        <f t="shared" si="10"/>
        <v>⏳ لسه مفيش حضور</v>
      </c>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c r="AQ13" s="58"/>
      <c r="AR13" s="58"/>
      <c r="AS13" s="58"/>
      <c r="AT13" s="58"/>
      <c r="AU13" s="58"/>
      <c r="AV13" s="58"/>
      <c r="AW13" s="58"/>
      <c r="AX13" s="58"/>
      <c r="AY13" s="58"/>
      <c r="AZ13" s="58"/>
      <c r="BA13" s="58"/>
      <c r="BB13" s="58"/>
      <c r="BC13" s="58"/>
      <c r="BD13" s="58"/>
      <c r="BE13" s="58"/>
      <c r="BF13" s="58"/>
      <c r="BG13" s="58"/>
      <c r="BH13" s="58"/>
      <c r="BI13" s="58"/>
      <c r="BJ13" s="58"/>
      <c r="BL13">
        <f>IFERROR(MATCH(الإعدادات!$B$4&amp;"|"&amp;7,'قاعدة البيانات'!$N$6:$N$305,0),0)</f>
        <v>31</v>
      </c>
      <c r="BM13">
        <f>IF($BL13=0,0,IF(INDEX('قاعدة البيانات'!$M$6:$M$305,$BL13)="غير نشط",5,IF($F13="",0,IF($G13&gt;=الإعدادات!$B$18,4,IF($F13&gt;=الإعدادات!$B$16,1,IF($F13&gt;=الإعدادات!$B$17,2,3))))))</f>
        <v>0</v>
      </c>
    </row>
    <row r="14" spans="1:65" ht="21.75" customHeight="1">
      <c r="A14" s="49">
        <f>IF($BL14=0,"",8)</f>
        <v>8</v>
      </c>
      <c r="B14" s="50" t="str">
        <f>IF($BL14=0,"",INDEX('قاعدة البيانات'!$C$6:$C$305,$BL14))</f>
        <v>بافلى بيشوى جرجس جندى</v>
      </c>
      <c r="C14" s="51">
        <f t="shared" si="4"/>
        <v>0</v>
      </c>
      <c r="D14" s="52">
        <f t="shared" si="5"/>
        <v>0</v>
      </c>
      <c r="E14" s="53">
        <f t="shared" si="6"/>
        <v>0</v>
      </c>
      <c r="F14" s="54" t="str">
        <f t="shared" si="7"/>
        <v/>
      </c>
      <c r="G14" s="55">
        <f t="shared" si="8"/>
        <v>0</v>
      </c>
      <c r="H14" s="56" t="str">
        <f t="shared" si="9"/>
        <v>—</v>
      </c>
      <c r="I14" s="57" t="str">
        <f t="shared" si="10"/>
        <v>⏳ لسه مفيش حضور</v>
      </c>
      <c r="J14" s="58"/>
      <c r="K14" s="58"/>
      <c r="L14" s="58"/>
      <c r="M14" s="58"/>
      <c r="N14" s="58"/>
      <c r="O14" s="58"/>
      <c r="P14" s="58"/>
      <c r="Q14" s="58"/>
      <c r="R14" s="58"/>
      <c r="S14" s="58"/>
      <c r="T14" s="58"/>
      <c r="U14" s="58"/>
      <c r="V14" s="58"/>
      <c r="W14" s="58"/>
      <c r="X14" s="58"/>
      <c r="Y14" s="58"/>
      <c r="Z14" s="58"/>
      <c r="AA14" s="58"/>
      <c r="AB14" s="58"/>
      <c r="AC14" s="58"/>
      <c r="AD14" s="58"/>
      <c r="AE14" s="58"/>
      <c r="AF14" s="58"/>
      <c r="AG14" s="58"/>
      <c r="AH14" s="58"/>
      <c r="AI14" s="58"/>
      <c r="AJ14" s="58"/>
      <c r="AK14" s="58"/>
      <c r="AL14" s="58"/>
      <c r="AM14" s="58"/>
      <c r="AN14" s="58"/>
      <c r="AO14" s="58"/>
      <c r="AP14" s="58"/>
      <c r="AQ14" s="58"/>
      <c r="AR14" s="58"/>
      <c r="AS14" s="58"/>
      <c r="AT14" s="58"/>
      <c r="AU14" s="58"/>
      <c r="AV14" s="58"/>
      <c r="AW14" s="58"/>
      <c r="AX14" s="58"/>
      <c r="AY14" s="58"/>
      <c r="AZ14" s="58"/>
      <c r="BA14" s="58"/>
      <c r="BB14" s="58"/>
      <c r="BC14" s="58"/>
      <c r="BD14" s="58"/>
      <c r="BE14" s="58"/>
      <c r="BF14" s="58"/>
      <c r="BG14" s="58"/>
      <c r="BH14" s="58"/>
      <c r="BI14" s="58"/>
      <c r="BJ14" s="58"/>
      <c r="BL14">
        <f>IFERROR(MATCH(الإعدادات!$B$4&amp;"|"&amp;8,'قاعدة البيانات'!$N$6:$N$305,0),0)</f>
        <v>32</v>
      </c>
      <c r="BM14">
        <f>IF($BL14=0,0,IF(INDEX('قاعدة البيانات'!$M$6:$M$305,$BL14)="غير نشط",5,IF($F14="",0,IF($G14&gt;=الإعدادات!$B$18,4,IF($F14&gt;=الإعدادات!$B$16,1,IF($F14&gt;=الإعدادات!$B$17,2,3))))))</f>
        <v>0</v>
      </c>
    </row>
    <row r="15" spans="1:65" ht="21.75" customHeight="1">
      <c r="A15" s="49">
        <f>IF($BL15=0,"",9)</f>
        <v>9</v>
      </c>
      <c r="B15" s="50" t="str">
        <f>IF($BL15=0,"",INDEX('قاعدة البيانات'!$C$6:$C$305,$BL15))</f>
        <v>يؤانا دميان جمال</v>
      </c>
      <c r="C15" s="51">
        <f t="shared" si="4"/>
        <v>0</v>
      </c>
      <c r="D15" s="52">
        <f t="shared" si="5"/>
        <v>0</v>
      </c>
      <c r="E15" s="53">
        <f t="shared" si="6"/>
        <v>0</v>
      </c>
      <c r="F15" s="54" t="str">
        <f t="shared" si="7"/>
        <v/>
      </c>
      <c r="G15" s="55">
        <f t="shared" si="8"/>
        <v>0</v>
      </c>
      <c r="H15" s="56" t="str">
        <f t="shared" si="9"/>
        <v>—</v>
      </c>
      <c r="I15" s="57" t="str">
        <f t="shared" si="10"/>
        <v>⏳ لسه مفيش حضور</v>
      </c>
      <c r="J15" s="58"/>
      <c r="K15" s="58"/>
      <c r="L15" s="58"/>
      <c r="M15" s="58"/>
      <c r="N15" s="58"/>
      <c r="O15" s="58"/>
      <c r="P15" s="58"/>
      <c r="Q15" s="58"/>
      <c r="R15" s="58"/>
      <c r="S15" s="58"/>
      <c r="T15" s="58"/>
      <c r="U15" s="58"/>
      <c r="V15" s="58"/>
      <c r="W15" s="58"/>
      <c r="X15" s="58"/>
      <c r="Y15" s="58"/>
      <c r="Z15" s="58"/>
      <c r="AA15" s="58"/>
      <c r="AB15" s="58"/>
      <c r="AC15" s="58"/>
      <c r="AD15" s="58"/>
      <c r="AE15" s="58"/>
      <c r="AF15" s="58"/>
      <c r="AG15" s="58"/>
      <c r="AH15" s="58"/>
      <c r="AI15" s="58"/>
      <c r="AJ15" s="58"/>
      <c r="AK15" s="58"/>
      <c r="AL15" s="58"/>
      <c r="AM15" s="58"/>
      <c r="AN15" s="58"/>
      <c r="AO15" s="58"/>
      <c r="AP15" s="58"/>
      <c r="AQ15" s="58"/>
      <c r="AR15" s="58"/>
      <c r="AS15" s="58"/>
      <c r="AT15" s="58"/>
      <c r="AU15" s="58"/>
      <c r="AV15" s="58"/>
      <c r="AW15" s="58"/>
      <c r="AX15" s="58"/>
      <c r="AY15" s="58"/>
      <c r="AZ15" s="58"/>
      <c r="BA15" s="58"/>
      <c r="BB15" s="58"/>
      <c r="BC15" s="58"/>
      <c r="BD15" s="58"/>
      <c r="BE15" s="58"/>
      <c r="BF15" s="58"/>
      <c r="BG15" s="58"/>
      <c r="BH15" s="58"/>
      <c r="BI15" s="58"/>
      <c r="BJ15" s="58"/>
      <c r="BL15">
        <f>IFERROR(MATCH(الإعدادات!$B$4&amp;"|"&amp;9,'قاعدة البيانات'!$N$6:$N$305,0),0)</f>
        <v>33</v>
      </c>
      <c r="BM15">
        <f>IF($BL15=0,0,IF(INDEX('قاعدة البيانات'!$M$6:$M$305,$BL15)="غير نشط",5,IF($F15="",0,IF($G15&gt;=الإعدادات!$B$18,4,IF($F15&gt;=الإعدادات!$B$16,1,IF($F15&gt;=الإعدادات!$B$17,2,3))))))</f>
        <v>0</v>
      </c>
    </row>
    <row r="16" spans="1:65" ht="21.75" customHeight="1">
      <c r="A16" s="49">
        <f>IF($BL16=0,"",10)</f>
        <v>10</v>
      </c>
      <c r="B16" s="50" t="str">
        <f>IF($BL16=0,"",INDEX('قاعدة البيانات'!$C$6:$C$305,$BL16))</f>
        <v>مارسيلينو جرجس روماني حبيب</v>
      </c>
      <c r="C16" s="51">
        <f t="shared" si="4"/>
        <v>0</v>
      </c>
      <c r="D16" s="52">
        <f t="shared" si="5"/>
        <v>0</v>
      </c>
      <c r="E16" s="53">
        <f t="shared" si="6"/>
        <v>0</v>
      </c>
      <c r="F16" s="54" t="str">
        <f t="shared" si="7"/>
        <v/>
      </c>
      <c r="G16" s="55">
        <f t="shared" si="8"/>
        <v>0</v>
      </c>
      <c r="H16" s="56" t="str">
        <f t="shared" si="9"/>
        <v>—</v>
      </c>
      <c r="I16" s="57" t="str">
        <f t="shared" si="10"/>
        <v>⏳ لسه مفيش حضور</v>
      </c>
      <c r="J16" s="58"/>
      <c r="K16" s="58"/>
      <c r="L16" s="58"/>
      <c r="M16" s="58"/>
      <c r="N16" s="58"/>
      <c r="O16" s="58"/>
      <c r="P16" s="58"/>
      <c r="Q16" s="58"/>
      <c r="R16" s="58"/>
      <c r="S16" s="58"/>
      <c r="T16" s="58"/>
      <c r="U16" s="58"/>
      <c r="V16" s="58"/>
      <c r="W16" s="58"/>
      <c r="X16" s="58"/>
      <c r="Y16" s="58"/>
      <c r="Z16" s="58"/>
      <c r="AA16" s="58"/>
      <c r="AB16" s="58"/>
      <c r="AC16" s="58"/>
      <c r="AD16" s="58"/>
      <c r="AE16" s="58"/>
      <c r="AF16" s="58"/>
      <c r="AG16" s="58"/>
      <c r="AH16" s="58"/>
      <c r="AI16" s="58"/>
      <c r="AJ16" s="58"/>
      <c r="AK16" s="58"/>
      <c r="AL16" s="58"/>
      <c r="AM16" s="58"/>
      <c r="AN16" s="58"/>
      <c r="AO16" s="58"/>
      <c r="AP16" s="58"/>
      <c r="AQ16" s="58"/>
      <c r="AR16" s="58"/>
      <c r="AS16" s="58"/>
      <c r="AT16" s="58"/>
      <c r="AU16" s="58"/>
      <c r="AV16" s="58"/>
      <c r="AW16" s="58"/>
      <c r="AX16" s="58"/>
      <c r="AY16" s="58"/>
      <c r="AZ16" s="58"/>
      <c r="BA16" s="58"/>
      <c r="BB16" s="58"/>
      <c r="BC16" s="58"/>
      <c r="BD16" s="58"/>
      <c r="BE16" s="58"/>
      <c r="BF16" s="58"/>
      <c r="BG16" s="58"/>
      <c r="BH16" s="58"/>
      <c r="BI16" s="58"/>
      <c r="BJ16" s="58"/>
      <c r="BL16">
        <f>IFERROR(MATCH(الإعدادات!$B$4&amp;"|"&amp;10,'قاعدة البيانات'!$N$6:$N$305,0),0)</f>
        <v>34</v>
      </c>
      <c r="BM16">
        <f>IF($BL16=0,0,IF(INDEX('قاعدة البيانات'!$M$6:$M$305,$BL16)="غير نشط",5,IF($F16="",0,IF($G16&gt;=الإعدادات!$B$18,4,IF($F16&gt;=الإعدادات!$B$16,1,IF($F16&gt;=الإعدادات!$B$17,2,3))))))</f>
        <v>0</v>
      </c>
    </row>
    <row r="17" spans="1:65" ht="21.75" customHeight="1">
      <c r="A17" s="49">
        <f>IF($BL17=0,"",11)</f>
        <v>11</v>
      </c>
      <c r="B17" s="50" t="str">
        <f>IF($BL17=0,"",INDEX('قاعدة البيانات'!$C$6:$C$305,$BL17))</f>
        <v>جاسيكا صموئيل شكر الله</v>
      </c>
      <c r="C17" s="51">
        <f t="shared" si="4"/>
        <v>0</v>
      </c>
      <c r="D17" s="52">
        <f t="shared" si="5"/>
        <v>0</v>
      </c>
      <c r="E17" s="53">
        <f t="shared" si="6"/>
        <v>0</v>
      </c>
      <c r="F17" s="54" t="str">
        <f t="shared" si="7"/>
        <v/>
      </c>
      <c r="G17" s="55">
        <f t="shared" si="8"/>
        <v>0</v>
      </c>
      <c r="H17" s="56" t="str">
        <f t="shared" si="9"/>
        <v>—</v>
      </c>
      <c r="I17" s="57" t="str">
        <f t="shared" si="10"/>
        <v>⏳ لسه مفيش حضور</v>
      </c>
      <c r="J17" s="58"/>
      <c r="K17" s="58"/>
      <c r="L17" s="58"/>
      <c r="M17" s="58"/>
      <c r="N17" s="58"/>
      <c r="O17" s="58"/>
      <c r="P17" s="58"/>
      <c r="Q17" s="58"/>
      <c r="R17" s="58"/>
      <c r="S17" s="58"/>
      <c r="T17" s="58"/>
      <c r="U17" s="58"/>
      <c r="V17" s="58"/>
      <c r="W17" s="58"/>
      <c r="X17" s="58"/>
      <c r="Y17" s="58"/>
      <c r="Z17" s="58"/>
      <c r="AA17" s="58"/>
      <c r="AB17" s="58"/>
      <c r="AC17" s="58"/>
      <c r="AD17" s="58"/>
      <c r="AE17" s="58"/>
      <c r="AF17" s="58"/>
      <c r="AG17" s="58"/>
      <c r="AH17" s="58"/>
      <c r="AI17" s="58"/>
      <c r="AJ17" s="58"/>
      <c r="AK17" s="58"/>
      <c r="AL17" s="58"/>
      <c r="AM17" s="58"/>
      <c r="AN17" s="58"/>
      <c r="AO17" s="58"/>
      <c r="AP17" s="58"/>
      <c r="AQ17" s="58"/>
      <c r="AR17" s="58"/>
      <c r="AS17" s="58"/>
      <c r="AT17" s="58"/>
      <c r="AU17" s="58"/>
      <c r="AV17" s="58"/>
      <c r="AW17" s="58"/>
      <c r="AX17" s="58"/>
      <c r="AY17" s="58"/>
      <c r="AZ17" s="58"/>
      <c r="BA17" s="58"/>
      <c r="BB17" s="58"/>
      <c r="BC17" s="58"/>
      <c r="BD17" s="58"/>
      <c r="BE17" s="58"/>
      <c r="BF17" s="58"/>
      <c r="BG17" s="58"/>
      <c r="BH17" s="58"/>
      <c r="BI17" s="58"/>
      <c r="BJ17" s="58"/>
      <c r="BL17">
        <f>IFERROR(MATCH(الإعدادات!$B$4&amp;"|"&amp;11,'قاعدة البيانات'!$N$6:$N$305,0),0)</f>
        <v>35</v>
      </c>
      <c r="BM17">
        <f>IF($BL17=0,0,IF(INDEX('قاعدة البيانات'!$M$6:$M$305,$BL17)="غير نشط",5,IF($F17="",0,IF($G17&gt;=الإعدادات!$B$18,4,IF($F17&gt;=الإعدادات!$B$16,1,IF($F17&gt;=الإعدادات!$B$17,2,3))))))</f>
        <v>0</v>
      </c>
    </row>
    <row r="18" spans="1:65" ht="21.75" customHeight="1">
      <c r="A18" s="49">
        <f>IF($BL18=0,"",12)</f>
        <v>12</v>
      </c>
      <c r="B18" s="50" t="str">
        <f>IF($BL18=0,"",INDEX('قاعدة البيانات'!$C$6:$C$305,$BL18))</f>
        <v>باتريك بولا عطا الله</v>
      </c>
      <c r="C18" s="51">
        <f t="shared" si="4"/>
        <v>0</v>
      </c>
      <c r="D18" s="52">
        <f t="shared" si="5"/>
        <v>0</v>
      </c>
      <c r="E18" s="53">
        <f t="shared" si="6"/>
        <v>0</v>
      </c>
      <c r="F18" s="54" t="str">
        <f t="shared" si="7"/>
        <v/>
      </c>
      <c r="G18" s="55">
        <f t="shared" si="8"/>
        <v>0</v>
      </c>
      <c r="H18" s="56" t="str">
        <f t="shared" si="9"/>
        <v>—</v>
      </c>
      <c r="I18" s="57" t="str">
        <f t="shared" si="10"/>
        <v>⏳ لسه مفيش حضور</v>
      </c>
      <c r="J18" s="58"/>
      <c r="K18" s="58"/>
      <c r="L18" s="58"/>
      <c r="M18" s="58"/>
      <c r="N18" s="58"/>
      <c r="O18" s="58"/>
      <c r="P18" s="58"/>
      <c r="Q18" s="58"/>
      <c r="R18" s="58"/>
      <c r="S18" s="58"/>
      <c r="T18" s="58"/>
      <c r="U18" s="58"/>
      <c r="V18" s="58"/>
      <c r="W18" s="58"/>
      <c r="X18" s="58"/>
      <c r="Y18" s="58"/>
      <c r="Z18" s="58"/>
      <c r="AA18" s="58"/>
      <c r="AB18" s="58"/>
      <c r="AC18" s="58"/>
      <c r="AD18" s="58"/>
      <c r="AE18" s="58"/>
      <c r="AF18" s="58"/>
      <c r="AG18" s="58"/>
      <c r="AH18" s="58"/>
      <c r="AI18" s="58"/>
      <c r="AJ18" s="58"/>
      <c r="AK18" s="58"/>
      <c r="AL18" s="58"/>
      <c r="AM18" s="58"/>
      <c r="AN18" s="58"/>
      <c r="AO18" s="58"/>
      <c r="AP18" s="58"/>
      <c r="AQ18" s="58"/>
      <c r="AR18" s="58"/>
      <c r="AS18" s="58"/>
      <c r="AT18" s="58"/>
      <c r="AU18" s="58"/>
      <c r="AV18" s="58"/>
      <c r="AW18" s="58"/>
      <c r="AX18" s="58"/>
      <c r="AY18" s="58"/>
      <c r="AZ18" s="58"/>
      <c r="BA18" s="58"/>
      <c r="BB18" s="58"/>
      <c r="BC18" s="58"/>
      <c r="BD18" s="58"/>
      <c r="BE18" s="58"/>
      <c r="BF18" s="58"/>
      <c r="BG18" s="58"/>
      <c r="BH18" s="58"/>
      <c r="BI18" s="58"/>
      <c r="BJ18" s="58"/>
      <c r="BL18">
        <f>IFERROR(MATCH(الإعدادات!$B$4&amp;"|"&amp;12,'قاعدة البيانات'!$N$6:$N$305,0),0)</f>
        <v>36</v>
      </c>
      <c r="BM18">
        <f>IF($BL18=0,0,IF(INDEX('قاعدة البيانات'!$M$6:$M$305,$BL18)="غير نشط",5,IF($F18="",0,IF($G18&gt;=الإعدادات!$B$18,4,IF($F18&gt;=الإعدادات!$B$16,1,IF($F18&gt;=الإعدادات!$B$17,2,3))))))</f>
        <v>0</v>
      </c>
    </row>
    <row r="19" spans="1:65" ht="21.75" customHeight="1">
      <c r="A19" s="49">
        <f>IF($BL19=0,"",13)</f>
        <v>13</v>
      </c>
      <c r="B19" s="50" t="str">
        <f>IF($BL19=0,"",INDEX('قاعدة البيانات'!$C$6:$C$305,$BL19))</f>
        <v>كنده بيشوي سامي</v>
      </c>
      <c r="C19" s="51">
        <f t="shared" si="4"/>
        <v>0</v>
      </c>
      <c r="D19" s="52">
        <f t="shared" si="5"/>
        <v>0</v>
      </c>
      <c r="E19" s="53">
        <f t="shared" si="6"/>
        <v>0</v>
      </c>
      <c r="F19" s="54" t="str">
        <f t="shared" si="7"/>
        <v/>
      </c>
      <c r="G19" s="55">
        <f t="shared" si="8"/>
        <v>0</v>
      </c>
      <c r="H19" s="56" t="str">
        <f t="shared" si="9"/>
        <v>—</v>
      </c>
      <c r="I19" s="57" t="str">
        <f t="shared" si="10"/>
        <v>⏳ لسه مفيش حضور</v>
      </c>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c r="AQ19" s="58"/>
      <c r="AR19" s="58"/>
      <c r="AS19" s="58"/>
      <c r="AT19" s="58"/>
      <c r="AU19" s="58"/>
      <c r="AV19" s="58"/>
      <c r="AW19" s="58"/>
      <c r="AX19" s="58"/>
      <c r="AY19" s="58"/>
      <c r="AZ19" s="58"/>
      <c r="BA19" s="58"/>
      <c r="BB19" s="58"/>
      <c r="BC19" s="58"/>
      <c r="BD19" s="58"/>
      <c r="BE19" s="58"/>
      <c r="BF19" s="58"/>
      <c r="BG19" s="58"/>
      <c r="BH19" s="58"/>
      <c r="BI19" s="58"/>
      <c r="BJ19" s="58"/>
      <c r="BL19">
        <f>IFERROR(MATCH(الإعدادات!$B$4&amp;"|"&amp;13,'قاعدة البيانات'!$N$6:$N$305,0),0)</f>
        <v>37</v>
      </c>
      <c r="BM19">
        <f>IF($BL19=0,0,IF(INDEX('قاعدة البيانات'!$M$6:$M$305,$BL19)="غير نشط",5,IF($F19="",0,IF($G19&gt;=الإعدادات!$B$18,4,IF($F19&gt;=الإعدادات!$B$16,1,IF($F19&gt;=الإعدادات!$B$17,2,3))))))</f>
        <v>0</v>
      </c>
    </row>
    <row r="20" spans="1:65" ht="21.75" customHeight="1">
      <c r="A20" s="49">
        <f>IF($BL20=0,"",14)</f>
        <v>14</v>
      </c>
      <c r="B20" s="50" t="str">
        <f>IF($BL20=0,"",INDEX('قاعدة البيانات'!$C$6:$C$305,$BL20))</f>
        <v>إيلاريا أمير رسمي مراد</v>
      </c>
      <c r="C20" s="51">
        <f t="shared" si="4"/>
        <v>0</v>
      </c>
      <c r="D20" s="52">
        <f t="shared" si="5"/>
        <v>0</v>
      </c>
      <c r="E20" s="53">
        <f t="shared" si="6"/>
        <v>0</v>
      </c>
      <c r="F20" s="54" t="str">
        <f t="shared" si="7"/>
        <v/>
      </c>
      <c r="G20" s="55">
        <f t="shared" si="8"/>
        <v>0</v>
      </c>
      <c r="H20" s="56" t="str">
        <f t="shared" si="9"/>
        <v>—</v>
      </c>
      <c r="I20" s="57" t="str">
        <f t="shared" si="10"/>
        <v>⏳ لسه مفيش حضور</v>
      </c>
      <c r="J20" s="58"/>
      <c r="K20" s="58"/>
      <c r="L20" s="58"/>
      <c r="M20" s="58"/>
      <c r="N20" s="58"/>
      <c r="O20" s="58"/>
      <c r="P20" s="58"/>
      <c r="Q20" s="58"/>
      <c r="R20" s="58"/>
      <c r="S20" s="58"/>
      <c r="T20" s="58"/>
      <c r="U20" s="58"/>
      <c r="V20" s="58"/>
      <c r="W20" s="58"/>
      <c r="X20" s="58"/>
      <c r="Y20" s="58"/>
      <c r="Z20" s="58"/>
      <c r="AA20" s="58"/>
      <c r="AB20" s="58"/>
      <c r="AC20" s="58"/>
      <c r="AD20" s="58"/>
      <c r="AE20" s="58"/>
      <c r="AF20" s="58"/>
      <c r="AG20" s="58"/>
      <c r="AH20" s="58"/>
      <c r="AI20" s="58"/>
      <c r="AJ20" s="58"/>
      <c r="AK20" s="58"/>
      <c r="AL20" s="58"/>
      <c r="AM20" s="58"/>
      <c r="AN20" s="58"/>
      <c r="AO20" s="58"/>
      <c r="AP20" s="58"/>
      <c r="AQ20" s="58"/>
      <c r="AR20" s="58"/>
      <c r="AS20" s="58"/>
      <c r="AT20" s="58"/>
      <c r="AU20" s="58"/>
      <c r="AV20" s="58"/>
      <c r="AW20" s="58"/>
      <c r="AX20" s="58"/>
      <c r="AY20" s="58"/>
      <c r="AZ20" s="58"/>
      <c r="BA20" s="58"/>
      <c r="BB20" s="58"/>
      <c r="BC20" s="58"/>
      <c r="BD20" s="58"/>
      <c r="BE20" s="58"/>
      <c r="BF20" s="58"/>
      <c r="BG20" s="58"/>
      <c r="BH20" s="58"/>
      <c r="BI20" s="58"/>
      <c r="BJ20" s="58"/>
      <c r="BL20">
        <f>IFERROR(MATCH(الإعدادات!$B$4&amp;"|"&amp;14,'قاعدة البيانات'!$N$6:$N$305,0),0)</f>
        <v>38</v>
      </c>
      <c r="BM20">
        <f>IF($BL20=0,0,IF(INDEX('قاعدة البيانات'!$M$6:$M$305,$BL20)="غير نشط",5,IF($F20="",0,IF($G20&gt;=الإعدادات!$B$18,4,IF($F20&gt;=الإعدادات!$B$16,1,IF($F20&gt;=الإعدادات!$B$17,2,3))))))</f>
        <v>0</v>
      </c>
    </row>
    <row r="21" spans="1:65" ht="21.75" customHeight="1">
      <c r="A21" s="49">
        <f>IF($BL21=0,"",15)</f>
        <v>15</v>
      </c>
      <c r="B21" s="50" t="str">
        <f>IF($BL21=0,"",INDEX('قاعدة البيانات'!$C$6:$C$305,$BL21))</f>
        <v>بولا ميشيل رزق يوسف</v>
      </c>
      <c r="C21" s="51">
        <f t="shared" si="4"/>
        <v>0</v>
      </c>
      <c r="D21" s="52">
        <f t="shared" si="5"/>
        <v>0</v>
      </c>
      <c r="E21" s="53">
        <f t="shared" si="6"/>
        <v>0</v>
      </c>
      <c r="F21" s="54" t="str">
        <f t="shared" si="7"/>
        <v/>
      </c>
      <c r="G21" s="55">
        <f t="shared" si="8"/>
        <v>0</v>
      </c>
      <c r="H21" s="56" t="str">
        <f t="shared" si="9"/>
        <v>—</v>
      </c>
      <c r="I21" s="57" t="str">
        <f t="shared" si="10"/>
        <v>⏳ لسه مفيش حضور</v>
      </c>
      <c r="J21" s="58"/>
      <c r="K21" s="58"/>
      <c r="L21" s="58"/>
      <c r="M21" s="58"/>
      <c r="N21" s="58"/>
      <c r="O21" s="58"/>
      <c r="P21" s="58"/>
      <c r="Q21" s="58"/>
      <c r="R21" s="58"/>
      <c r="S21" s="58"/>
      <c r="T21" s="58"/>
      <c r="U21" s="58"/>
      <c r="V21" s="58"/>
      <c r="W21" s="58"/>
      <c r="X21" s="58"/>
      <c r="Y21" s="58"/>
      <c r="Z21" s="58"/>
      <c r="AA21" s="58"/>
      <c r="AB21" s="58"/>
      <c r="AC21" s="58"/>
      <c r="AD21" s="58"/>
      <c r="AE21" s="58"/>
      <c r="AF21" s="58"/>
      <c r="AG21" s="58"/>
      <c r="AH21" s="58"/>
      <c r="AI21" s="58"/>
      <c r="AJ21" s="58"/>
      <c r="AK21" s="58"/>
      <c r="AL21" s="58"/>
      <c r="AM21" s="58"/>
      <c r="AN21" s="58"/>
      <c r="AO21" s="58"/>
      <c r="AP21" s="58"/>
      <c r="AQ21" s="58"/>
      <c r="AR21" s="58"/>
      <c r="AS21" s="58"/>
      <c r="AT21" s="58"/>
      <c r="AU21" s="58"/>
      <c r="AV21" s="58"/>
      <c r="AW21" s="58"/>
      <c r="AX21" s="58"/>
      <c r="AY21" s="58"/>
      <c r="AZ21" s="58"/>
      <c r="BA21" s="58"/>
      <c r="BB21" s="58"/>
      <c r="BC21" s="58"/>
      <c r="BD21" s="58"/>
      <c r="BE21" s="58"/>
      <c r="BF21" s="58"/>
      <c r="BG21" s="58"/>
      <c r="BH21" s="58"/>
      <c r="BI21" s="58"/>
      <c r="BJ21" s="58"/>
      <c r="BL21">
        <f>IFERROR(MATCH(الإعدادات!$B$4&amp;"|"&amp;15,'قاعدة البيانات'!$N$6:$N$305,0),0)</f>
        <v>39</v>
      </c>
      <c r="BM21">
        <f>IF($BL21=0,0,IF(INDEX('قاعدة البيانات'!$M$6:$M$305,$BL21)="غير نشط",5,IF($F21="",0,IF($G21&gt;=الإعدادات!$B$18,4,IF($F21&gt;=الإعدادات!$B$16,1,IF($F21&gt;=الإعدادات!$B$17,2,3))))))</f>
        <v>0</v>
      </c>
    </row>
    <row r="22" spans="1:65" ht="21.75" customHeight="1">
      <c r="A22" s="49">
        <f>IF($BL22=0,"",16)</f>
        <v>16</v>
      </c>
      <c r="B22" s="50" t="str">
        <f>IF($BL22=0,"",INDEX('قاعدة البيانات'!$C$6:$C$305,$BL22))</f>
        <v>كريس فيكتور الشحات</v>
      </c>
      <c r="C22" s="51">
        <f t="shared" si="4"/>
        <v>0</v>
      </c>
      <c r="D22" s="52">
        <f t="shared" si="5"/>
        <v>0</v>
      </c>
      <c r="E22" s="53">
        <f t="shared" si="6"/>
        <v>0</v>
      </c>
      <c r="F22" s="54" t="str">
        <f t="shared" si="7"/>
        <v/>
      </c>
      <c r="G22" s="55">
        <f t="shared" si="8"/>
        <v>0</v>
      </c>
      <c r="H22" s="56" t="str">
        <f t="shared" si="9"/>
        <v>—</v>
      </c>
      <c r="I22" s="57" t="str">
        <f t="shared" si="10"/>
        <v>⏳ لسه مفيش حضور</v>
      </c>
      <c r="J22" s="58"/>
      <c r="K22" s="58"/>
      <c r="L22" s="58"/>
      <c r="M22" s="58"/>
      <c r="N22" s="58"/>
      <c r="O22" s="58"/>
      <c r="P22" s="58"/>
      <c r="Q22" s="58"/>
      <c r="R22" s="58"/>
      <c r="S22" s="58"/>
      <c r="T22" s="58"/>
      <c r="U22" s="58"/>
      <c r="V22" s="58"/>
      <c r="W22" s="58"/>
      <c r="X22" s="58"/>
      <c r="Y22" s="58"/>
      <c r="Z22" s="58"/>
      <c r="AA22" s="58"/>
      <c r="AB22" s="58"/>
      <c r="AC22" s="58"/>
      <c r="AD22" s="58"/>
      <c r="AE22" s="58"/>
      <c r="AF22" s="58"/>
      <c r="AG22" s="58"/>
      <c r="AH22" s="58"/>
      <c r="AI22" s="58"/>
      <c r="AJ22" s="58"/>
      <c r="AK22" s="58"/>
      <c r="AL22" s="58"/>
      <c r="AM22" s="58"/>
      <c r="AN22" s="58"/>
      <c r="AO22" s="58"/>
      <c r="AP22" s="58"/>
      <c r="AQ22" s="58"/>
      <c r="AR22" s="58"/>
      <c r="AS22" s="58"/>
      <c r="AT22" s="58"/>
      <c r="AU22" s="58"/>
      <c r="AV22" s="58"/>
      <c r="AW22" s="58"/>
      <c r="AX22" s="58"/>
      <c r="AY22" s="58"/>
      <c r="AZ22" s="58"/>
      <c r="BA22" s="58"/>
      <c r="BB22" s="58"/>
      <c r="BC22" s="58"/>
      <c r="BD22" s="58"/>
      <c r="BE22" s="58"/>
      <c r="BF22" s="58"/>
      <c r="BG22" s="58"/>
      <c r="BH22" s="58"/>
      <c r="BI22" s="58"/>
      <c r="BJ22" s="58"/>
      <c r="BL22">
        <f>IFERROR(MATCH(الإعدادات!$B$4&amp;"|"&amp;16,'قاعدة البيانات'!$N$6:$N$305,0),0)</f>
        <v>40</v>
      </c>
      <c r="BM22">
        <f>IF($BL22=0,0,IF(INDEX('قاعدة البيانات'!$M$6:$M$305,$BL22)="غير نشط",5,IF($F22="",0,IF($G22&gt;=الإعدادات!$B$18,4,IF($F22&gt;=الإعدادات!$B$16,1,IF($F22&gt;=الإعدادات!$B$17,2,3))))))</f>
        <v>0</v>
      </c>
    </row>
    <row r="23" spans="1:65" ht="21.75" customHeight="1">
      <c r="A23" s="49">
        <f>IF($BL23=0,"",17)</f>
        <v>17</v>
      </c>
      <c r="B23" s="50" t="str">
        <f>IF($BL23=0,"",INDEX('قاعدة البيانات'!$C$6:$C$305,$BL23))</f>
        <v>مريم نادر امين يعقوب حنا</v>
      </c>
      <c r="C23" s="51">
        <f t="shared" si="4"/>
        <v>0</v>
      </c>
      <c r="D23" s="52">
        <f t="shared" si="5"/>
        <v>0</v>
      </c>
      <c r="E23" s="53">
        <f t="shared" si="6"/>
        <v>0</v>
      </c>
      <c r="F23" s="54" t="str">
        <f t="shared" si="7"/>
        <v/>
      </c>
      <c r="G23" s="55">
        <f t="shared" si="8"/>
        <v>0</v>
      </c>
      <c r="H23" s="56" t="str">
        <f t="shared" si="9"/>
        <v>—</v>
      </c>
      <c r="I23" s="57" t="str">
        <f t="shared" si="10"/>
        <v>⏳ لسه مفيش حضور</v>
      </c>
      <c r="J23" s="58"/>
      <c r="K23" s="58"/>
      <c r="L23" s="58"/>
      <c r="M23" s="58"/>
      <c r="N23" s="58"/>
      <c r="O23" s="58"/>
      <c r="P23" s="58"/>
      <c r="Q23" s="58"/>
      <c r="R23" s="58"/>
      <c r="S23" s="58"/>
      <c r="T23" s="58"/>
      <c r="U23" s="58"/>
      <c r="V23" s="58"/>
      <c r="W23" s="58"/>
      <c r="X23" s="58"/>
      <c r="Y23" s="58"/>
      <c r="Z23" s="58"/>
      <c r="AA23" s="58"/>
      <c r="AB23" s="58"/>
      <c r="AC23" s="58"/>
      <c r="AD23" s="58"/>
      <c r="AE23" s="58"/>
      <c r="AF23" s="58"/>
      <c r="AG23" s="58"/>
      <c r="AH23" s="58"/>
      <c r="AI23" s="58"/>
      <c r="AJ23" s="58"/>
      <c r="AK23" s="58"/>
      <c r="AL23" s="58"/>
      <c r="AM23" s="58"/>
      <c r="AN23" s="58"/>
      <c r="AO23" s="58"/>
      <c r="AP23" s="58"/>
      <c r="AQ23" s="58"/>
      <c r="AR23" s="58"/>
      <c r="AS23" s="58"/>
      <c r="AT23" s="58"/>
      <c r="AU23" s="58"/>
      <c r="AV23" s="58"/>
      <c r="AW23" s="58"/>
      <c r="AX23" s="58"/>
      <c r="AY23" s="58"/>
      <c r="AZ23" s="58"/>
      <c r="BA23" s="58"/>
      <c r="BB23" s="58"/>
      <c r="BC23" s="58"/>
      <c r="BD23" s="58"/>
      <c r="BE23" s="58"/>
      <c r="BF23" s="58"/>
      <c r="BG23" s="58"/>
      <c r="BH23" s="58"/>
      <c r="BI23" s="58"/>
      <c r="BJ23" s="58"/>
      <c r="BL23">
        <f>IFERROR(MATCH(الإعدادات!$B$4&amp;"|"&amp;17,'قاعدة البيانات'!$N$6:$N$305,0),0)</f>
        <v>41</v>
      </c>
      <c r="BM23">
        <f>IF($BL23=0,0,IF(INDEX('قاعدة البيانات'!$M$6:$M$305,$BL23)="غير نشط",5,IF($F23="",0,IF($G23&gt;=الإعدادات!$B$18,4,IF($F23&gt;=الإعدادات!$B$16,1,IF($F23&gt;=الإعدادات!$B$17,2,3))))))</f>
        <v>0</v>
      </c>
    </row>
    <row r="24" spans="1:65" ht="21.75" customHeight="1">
      <c r="A24" s="49">
        <f>IF($BL24=0,"",18)</f>
        <v>18</v>
      </c>
      <c r="B24" s="50" t="str">
        <f>IF($BL24=0,"",INDEX('قاعدة البيانات'!$C$6:$C$305,$BL24))</f>
        <v>كيريا مدحت كمال قاعود</v>
      </c>
      <c r="C24" s="51">
        <f t="shared" si="4"/>
        <v>0</v>
      </c>
      <c r="D24" s="52">
        <f t="shared" si="5"/>
        <v>0</v>
      </c>
      <c r="E24" s="53">
        <f t="shared" si="6"/>
        <v>0</v>
      </c>
      <c r="F24" s="54" t="str">
        <f t="shared" si="7"/>
        <v/>
      </c>
      <c r="G24" s="55">
        <f t="shared" si="8"/>
        <v>0</v>
      </c>
      <c r="H24" s="56" t="str">
        <f t="shared" si="9"/>
        <v>—</v>
      </c>
      <c r="I24" s="57" t="str">
        <f t="shared" si="10"/>
        <v>⏳ لسه مفيش حضور</v>
      </c>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c r="AQ24" s="58"/>
      <c r="AR24" s="58"/>
      <c r="AS24" s="58"/>
      <c r="AT24" s="58"/>
      <c r="AU24" s="58"/>
      <c r="AV24" s="58"/>
      <c r="AW24" s="58"/>
      <c r="AX24" s="58"/>
      <c r="AY24" s="58"/>
      <c r="AZ24" s="58"/>
      <c r="BA24" s="58"/>
      <c r="BB24" s="58"/>
      <c r="BC24" s="58"/>
      <c r="BD24" s="58"/>
      <c r="BE24" s="58"/>
      <c r="BF24" s="58"/>
      <c r="BG24" s="58"/>
      <c r="BH24" s="58"/>
      <c r="BI24" s="58"/>
      <c r="BJ24" s="58"/>
      <c r="BL24">
        <f>IFERROR(MATCH(الإعدادات!$B$4&amp;"|"&amp;18,'قاعدة البيانات'!$N$6:$N$305,0),0)</f>
        <v>42</v>
      </c>
      <c r="BM24">
        <f>IF($BL24=0,0,IF(INDEX('قاعدة البيانات'!$M$6:$M$305,$BL24)="غير نشط",5,IF($F24="",0,IF($G24&gt;=الإعدادات!$B$18,4,IF($F24&gt;=الإعدادات!$B$16,1,IF($F24&gt;=الإعدادات!$B$17,2,3))))))</f>
        <v>0</v>
      </c>
    </row>
    <row r="25" spans="1:65" ht="21.75" customHeight="1">
      <c r="A25" s="49">
        <f>IF($BL25=0,"",19)</f>
        <v>19</v>
      </c>
      <c r="B25" s="50" t="str">
        <f>IF($BL25=0,"",INDEX('قاعدة البيانات'!$C$6:$C$305,$BL25))</f>
        <v>تونی رومانی فخرى فرهود</v>
      </c>
      <c r="C25" s="51">
        <f t="shared" si="4"/>
        <v>0</v>
      </c>
      <c r="D25" s="52">
        <f t="shared" si="5"/>
        <v>0</v>
      </c>
      <c r="E25" s="53">
        <f t="shared" si="6"/>
        <v>0</v>
      </c>
      <c r="F25" s="54" t="str">
        <f t="shared" si="7"/>
        <v/>
      </c>
      <c r="G25" s="55">
        <f t="shared" si="8"/>
        <v>0</v>
      </c>
      <c r="H25" s="56" t="str">
        <f t="shared" si="9"/>
        <v>—</v>
      </c>
      <c r="I25" s="57" t="str">
        <f t="shared" si="10"/>
        <v>⏳ لسه مفيش حضور</v>
      </c>
      <c r="J25" s="58"/>
      <c r="K25" s="58"/>
      <c r="L25" s="58"/>
      <c r="M25" s="58"/>
      <c r="N25" s="58"/>
      <c r="O25" s="58"/>
      <c r="P25" s="58"/>
      <c r="Q25" s="58"/>
      <c r="R25" s="58"/>
      <c r="S25" s="58"/>
      <c r="T25" s="58"/>
      <c r="U25" s="58"/>
      <c r="V25" s="58"/>
      <c r="W25" s="58"/>
      <c r="X25" s="58"/>
      <c r="Y25" s="58"/>
      <c r="Z25" s="58"/>
      <c r="AA25" s="58"/>
      <c r="AB25" s="58"/>
      <c r="AC25" s="58"/>
      <c r="AD25" s="58"/>
      <c r="AE25" s="58"/>
      <c r="AF25" s="58"/>
      <c r="AG25" s="58"/>
      <c r="AH25" s="58"/>
      <c r="AI25" s="58"/>
      <c r="AJ25" s="58"/>
      <c r="AK25" s="58"/>
      <c r="AL25" s="58"/>
      <c r="AM25" s="58"/>
      <c r="AN25" s="58"/>
      <c r="AO25" s="58"/>
      <c r="AP25" s="58"/>
      <c r="AQ25" s="58"/>
      <c r="AR25" s="58"/>
      <c r="AS25" s="58"/>
      <c r="AT25" s="58"/>
      <c r="AU25" s="58"/>
      <c r="AV25" s="58"/>
      <c r="AW25" s="58"/>
      <c r="AX25" s="58"/>
      <c r="AY25" s="58"/>
      <c r="AZ25" s="58"/>
      <c r="BA25" s="58"/>
      <c r="BB25" s="58"/>
      <c r="BC25" s="58"/>
      <c r="BD25" s="58"/>
      <c r="BE25" s="58"/>
      <c r="BF25" s="58"/>
      <c r="BG25" s="58"/>
      <c r="BH25" s="58"/>
      <c r="BI25" s="58"/>
      <c r="BJ25" s="58"/>
      <c r="BL25">
        <f>IFERROR(MATCH(الإعدادات!$B$4&amp;"|"&amp;19,'قاعدة البيانات'!$N$6:$N$305,0),0)</f>
        <v>43</v>
      </c>
      <c r="BM25">
        <f>IF($BL25=0,0,IF(INDEX('قاعدة البيانات'!$M$6:$M$305,$BL25)="غير نشط",5,IF($F25="",0,IF($G25&gt;=الإعدادات!$B$18,4,IF($F25&gt;=الإعدادات!$B$16,1,IF($F25&gt;=الإعدادات!$B$17,2,3))))))</f>
        <v>0</v>
      </c>
    </row>
    <row r="26" spans="1:65" ht="21.75" customHeight="1">
      <c r="A26" s="49">
        <f>IF($BL26=0,"",20)</f>
        <v>20</v>
      </c>
      <c r="B26" s="50" t="str">
        <f>IF($BL26=0,"",INDEX('قاعدة البيانات'!$C$6:$C$305,$BL26))</f>
        <v>مارتسيا سامح ميلاد</v>
      </c>
      <c r="C26" s="51">
        <f t="shared" si="4"/>
        <v>0</v>
      </c>
      <c r="D26" s="52">
        <f t="shared" si="5"/>
        <v>0</v>
      </c>
      <c r="E26" s="53">
        <f t="shared" si="6"/>
        <v>0</v>
      </c>
      <c r="F26" s="54" t="str">
        <f t="shared" si="7"/>
        <v/>
      </c>
      <c r="G26" s="55">
        <f t="shared" si="8"/>
        <v>0</v>
      </c>
      <c r="H26" s="56" t="str">
        <f t="shared" si="9"/>
        <v>—</v>
      </c>
      <c r="I26" s="57" t="str">
        <f t="shared" si="10"/>
        <v>⏳ لسه مفيش حضور</v>
      </c>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L26" s="58"/>
      <c r="AM26" s="58"/>
      <c r="AN26" s="58"/>
      <c r="AO26" s="58"/>
      <c r="AP26" s="58"/>
      <c r="AQ26" s="58"/>
      <c r="AR26" s="58"/>
      <c r="AS26" s="58"/>
      <c r="AT26" s="58"/>
      <c r="AU26" s="58"/>
      <c r="AV26" s="58"/>
      <c r="AW26" s="58"/>
      <c r="AX26" s="58"/>
      <c r="AY26" s="58"/>
      <c r="AZ26" s="58"/>
      <c r="BA26" s="58"/>
      <c r="BB26" s="58"/>
      <c r="BC26" s="58"/>
      <c r="BD26" s="58"/>
      <c r="BE26" s="58"/>
      <c r="BF26" s="58"/>
      <c r="BG26" s="58"/>
      <c r="BH26" s="58"/>
      <c r="BI26" s="58"/>
      <c r="BJ26" s="58"/>
      <c r="BL26">
        <f>IFERROR(MATCH(الإعدادات!$B$4&amp;"|"&amp;20,'قاعدة البيانات'!$N$6:$N$305,0),0)</f>
        <v>44</v>
      </c>
      <c r="BM26">
        <f>IF($BL26=0,0,IF(INDEX('قاعدة البيانات'!$M$6:$M$305,$BL26)="غير نشط",5,IF($F26="",0,IF($G26&gt;=الإعدادات!$B$18,4,IF($F26&gt;=الإعدادات!$B$16,1,IF($F26&gt;=الإعدادات!$B$17,2,3))))))</f>
        <v>0</v>
      </c>
    </row>
    <row r="27" spans="1:65" ht="21.75" customHeight="1">
      <c r="A27" s="49">
        <f>IF($BL27=0,"",21)</f>
        <v>21</v>
      </c>
      <c r="B27" s="50" t="str">
        <f>IF($BL27=0,"",INDEX('قاعدة البيانات'!$C$6:$C$305,$BL27))</f>
        <v>ماثيو مينا مجدى</v>
      </c>
      <c r="C27" s="51">
        <f t="shared" si="4"/>
        <v>0</v>
      </c>
      <c r="D27" s="52">
        <f t="shared" si="5"/>
        <v>0</v>
      </c>
      <c r="E27" s="53">
        <f t="shared" si="6"/>
        <v>0</v>
      </c>
      <c r="F27" s="54" t="str">
        <f t="shared" si="7"/>
        <v/>
      </c>
      <c r="G27" s="55">
        <f t="shared" si="8"/>
        <v>0</v>
      </c>
      <c r="H27" s="56" t="str">
        <f t="shared" si="9"/>
        <v>—</v>
      </c>
      <c r="I27" s="57" t="str">
        <f t="shared" si="10"/>
        <v>⏳ لسه مفيش حضور</v>
      </c>
      <c r="J27" s="58"/>
      <c r="K27" s="58"/>
      <c r="L27" s="58"/>
      <c r="M27" s="58"/>
      <c r="N27" s="58"/>
      <c r="O27" s="58"/>
      <c r="P27" s="58"/>
      <c r="Q27" s="58"/>
      <c r="R27" s="58"/>
      <c r="S27" s="58"/>
      <c r="T27" s="58"/>
      <c r="U27" s="58"/>
      <c r="V27" s="58"/>
      <c r="W27" s="58"/>
      <c r="X27" s="58"/>
      <c r="Y27" s="58"/>
      <c r="Z27" s="58"/>
      <c r="AA27" s="58"/>
      <c r="AB27" s="58"/>
      <c r="AC27" s="58"/>
      <c r="AD27" s="58"/>
      <c r="AE27" s="58"/>
      <c r="AF27" s="58"/>
      <c r="AG27" s="58"/>
      <c r="AH27" s="58"/>
      <c r="AI27" s="58"/>
      <c r="AJ27" s="58"/>
      <c r="AK27" s="58"/>
      <c r="AL27" s="58"/>
      <c r="AM27" s="58"/>
      <c r="AN27" s="58"/>
      <c r="AO27" s="58"/>
      <c r="AP27" s="58"/>
      <c r="AQ27" s="58"/>
      <c r="AR27" s="58"/>
      <c r="AS27" s="58"/>
      <c r="AT27" s="58"/>
      <c r="AU27" s="58"/>
      <c r="AV27" s="58"/>
      <c r="AW27" s="58"/>
      <c r="AX27" s="58"/>
      <c r="AY27" s="58"/>
      <c r="AZ27" s="58"/>
      <c r="BA27" s="58"/>
      <c r="BB27" s="58"/>
      <c r="BC27" s="58"/>
      <c r="BD27" s="58"/>
      <c r="BE27" s="58"/>
      <c r="BF27" s="58"/>
      <c r="BG27" s="58"/>
      <c r="BH27" s="58"/>
      <c r="BI27" s="58"/>
      <c r="BJ27" s="58"/>
      <c r="BL27">
        <f>IFERROR(MATCH(الإعدادات!$B$4&amp;"|"&amp;21,'قاعدة البيانات'!$N$6:$N$305,0),0)</f>
        <v>45</v>
      </c>
      <c r="BM27">
        <f>IF($BL27=0,0,IF(INDEX('قاعدة البيانات'!$M$6:$M$305,$BL27)="غير نشط",5,IF($F27="",0,IF($G27&gt;=الإعدادات!$B$18,4,IF($F27&gt;=الإعدادات!$B$16,1,IF($F27&gt;=الإعدادات!$B$17,2,3))))))</f>
        <v>0</v>
      </c>
    </row>
    <row r="28" spans="1:65" ht="21.75" customHeight="1">
      <c r="A28" s="49">
        <f>IF($BL28=0,"",22)</f>
        <v>22</v>
      </c>
      <c r="B28" s="50" t="str">
        <f>IF($BL28=0,"",INDEX('قاعدة البيانات'!$C$6:$C$305,$BL28))</f>
        <v>كاراس سمير توفيق شفيق</v>
      </c>
      <c r="C28" s="51">
        <f t="shared" si="4"/>
        <v>0</v>
      </c>
      <c r="D28" s="52">
        <f t="shared" si="5"/>
        <v>0</v>
      </c>
      <c r="E28" s="53">
        <f t="shared" si="6"/>
        <v>0</v>
      </c>
      <c r="F28" s="54" t="str">
        <f t="shared" si="7"/>
        <v/>
      </c>
      <c r="G28" s="55">
        <f t="shared" si="8"/>
        <v>0</v>
      </c>
      <c r="H28" s="56" t="str">
        <f t="shared" si="9"/>
        <v>—</v>
      </c>
      <c r="I28" s="57" t="str">
        <f t="shared" si="10"/>
        <v>⏳ لسه مفيش حضور</v>
      </c>
      <c r="J28" s="58"/>
      <c r="K28" s="58"/>
      <c r="L28" s="58"/>
      <c r="M28" s="58"/>
      <c r="N28" s="58"/>
      <c r="O28" s="58"/>
      <c r="P28" s="58"/>
      <c r="Q28" s="58"/>
      <c r="R28" s="58"/>
      <c r="S28" s="58"/>
      <c r="T28" s="58"/>
      <c r="U28" s="58"/>
      <c r="V28" s="58"/>
      <c r="W28" s="58"/>
      <c r="X28" s="58"/>
      <c r="Y28" s="58"/>
      <c r="Z28" s="58"/>
      <c r="AA28" s="58"/>
      <c r="AB28" s="58"/>
      <c r="AC28" s="58"/>
      <c r="AD28" s="58"/>
      <c r="AE28" s="58"/>
      <c r="AF28" s="58"/>
      <c r="AG28" s="58"/>
      <c r="AH28" s="58"/>
      <c r="AI28" s="58"/>
      <c r="AJ28" s="58"/>
      <c r="AK28" s="58"/>
      <c r="AL28" s="58"/>
      <c r="AM28" s="58"/>
      <c r="AN28" s="58"/>
      <c r="AO28" s="58"/>
      <c r="AP28" s="58"/>
      <c r="AQ28" s="58"/>
      <c r="AR28" s="58"/>
      <c r="AS28" s="58"/>
      <c r="AT28" s="58"/>
      <c r="AU28" s="58"/>
      <c r="AV28" s="58"/>
      <c r="AW28" s="58"/>
      <c r="AX28" s="58"/>
      <c r="AY28" s="58"/>
      <c r="AZ28" s="58"/>
      <c r="BA28" s="58"/>
      <c r="BB28" s="58"/>
      <c r="BC28" s="58"/>
      <c r="BD28" s="58"/>
      <c r="BE28" s="58"/>
      <c r="BF28" s="58"/>
      <c r="BG28" s="58"/>
      <c r="BH28" s="58"/>
      <c r="BI28" s="58"/>
      <c r="BJ28" s="58"/>
      <c r="BL28">
        <f>IFERROR(MATCH(الإعدادات!$B$4&amp;"|"&amp;22,'قاعدة البيانات'!$N$6:$N$305,0),0)</f>
        <v>46</v>
      </c>
      <c r="BM28">
        <f>IF($BL28=0,0,IF(INDEX('قاعدة البيانات'!$M$6:$M$305,$BL28)="غير نشط",5,IF($F28="",0,IF($G28&gt;=الإعدادات!$B$18,4,IF($F28&gt;=الإعدادات!$B$16,1,IF($F28&gt;=الإعدادات!$B$17,2,3))))))</f>
        <v>0</v>
      </c>
    </row>
    <row r="29" spans="1:65" ht="21.75" customHeight="1">
      <c r="A29" s="49">
        <f>IF($BL29=0,"",23)</f>
        <v>23</v>
      </c>
      <c r="B29" s="50" t="str">
        <f>IF($BL29=0,"",INDEX('قاعدة البيانات'!$C$6:$C$305,$BL29))</f>
        <v>روفانيو مينا ناجى</v>
      </c>
      <c r="C29" s="51">
        <f t="shared" si="4"/>
        <v>0</v>
      </c>
      <c r="D29" s="52">
        <f t="shared" si="5"/>
        <v>0</v>
      </c>
      <c r="E29" s="53">
        <f t="shared" si="6"/>
        <v>0</v>
      </c>
      <c r="F29" s="54" t="str">
        <f t="shared" si="7"/>
        <v/>
      </c>
      <c r="G29" s="55">
        <f t="shared" si="8"/>
        <v>0</v>
      </c>
      <c r="H29" s="56" t="str">
        <f t="shared" si="9"/>
        <v>—</v>
      </c>
      <c r="I29" s="57" t="str">
        <f t="shared" si="10"/>
        <v>⏳ لسه مفيش حضور</v>
      </c>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AQ29" s="58"/>
      <c r="AR29" s="58"/>
      <c r="AS29" s="58"/>
      <c r="AT29" s="58"/>
      <c r="AU29" s="58"/>
      <c r="AV29" s="58"/>
      <c r="AW29" s="58"/>
      <c r="AX29" s="58"/>
      <c r="AY29" s="58"/>
      <c r="AZ29" s="58"/>
      <c r="BA29" s="58"/>
      <c r="BB29" s="58"/>
      <c r="BC29" s="58"/>
      <c r="BD29" s="58"/>
      <c r="BE29" s="58"/>
      <c r="BF29" s="58"/>
      <c r="BG29" s="58"/>
      <c r="BH29" s="58"/>
      <c r="BI29" s="58"/>
      <c r="BJ29" s="58"/>
      <c r="BL29">
        <f>IFERROR(MATCH(الإعدادات!$B$4&amp;"|"&amp;23,'قاعدة البيانات'!$N$6:$N$305,0),0)</f>
        <v>47</v>
      </c>
      <c r="BM29">
        <f>IF($BL29=0,0,IF(INDEX('قاعدة البيانات'!$M$6:$M$305,$BL29)="غير نشط",5,IF($F29="",0,IF($G29&gt;=الإعدادات!$B$18,4,IF($F29&gt;=الإعدادات!$B$16,1,IF($F29&gt;=الإعدادات!$B$17,2,3))))))</f>
        <v>0</v>
      </c>
    </row>
    <row r="30" spans="1:65" ht="21.75" customHeight="1">
      <c r="A30" s="49">
        <f>IF($BL30=0,"",24)</f>
        <v>24</v>
      </c>
      <c r="B30" s="50" t="str">
        <f>IF($BL30=0,"",INDEX('قاعدة البيانات'!$C$6:$C$305,$BL30))</f>
        <v>مارك مايكل نبيل نجيب</v>
      </c>
      <c r="C30" s="51">
        <f t="shared" si="4"/>
        <v>0</v>
      </c>
      <c r="D30" s="52">
        <f t="shared" si="5"/>
        <v>0</v>
      </c>
      <c r="E30" s="53">
        <f t="shared" si="6"/>
        <v>0</v>
      </c>
      <c r="F30" s="54" t="str">
        <f t="shared" si="7"/>
        <v/>
      </c>
      <c r="G30" s="55">
        <f t="shared" si="8"/>
        <v>0</v>
      </c>
      <c r="H30" s="56" t="str">
        <f t="shared" si="9"/>
        <v>—</v>
      </c>
      <c r="I30" s="57" t="str">
        <f t="shared" si="10"/>
        <v>⏳ لسه مفيش حضور</v>
      </c>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AQ30" s="58"/>
      <c r="AR30" s="58"/>
      <c r="AS30" s="58"/>
      <c r="AT30" s="58"/>
      <c r="AU30" s="58"/>
      <c r="AV30" s="58"/>
      <c r="AW30" s="58"/>
      <c r="AX30" s="58"/>
      <c r="AY30" s="58"/>
      <c r="AZ30" s="58"/>
      <c r="BA30" s="58"/>
      <c r="BB30" s="58"/>
      <c r="BC30" s="58"/>
      <c r="BD30" s="58"/>
      <c r="BE30" s="58"/>
      <c r="BF30" s="58"/>
      <c r="BG30" s="58"/>
      <c r="BH30" s="58"/>
      <c r="BI30" s="58"/>
      <c r="BJ30" s="58"/>
      <c r="BL30">
        <f>IFERROR(MATCH(الإعدادات!$B$4&amp;"|"&amp;24,'قاعدة البيانات'!$N$6:$N$305,0),0)</f>
        <v>48</v>
      </c>
      <c r="BM30">
        <f>IF($BL30=0,0,IF(INDEX('قاعدة البيانات'!$M$6:$M$305,$BL30)="غير نشط",5,IF($F30="",0,IF($G30&gt;=الإعدادات!$B$18,4,IF($F30&gt;=الإعدادات!$B$16,1,IF($F30&gt;=الإعدادات!$B$17,2,3))))))</f>
        <v>0</v>
      </c>
    </row>
    <row r="31" spans="1:65" ht="21.75" customHeight="1">
      <c r="A31" s="49" t="str">
        <f>IF($BL31=0,"",25)</f>
        <v/>
      </c>
      <c r="B31" s="50" t="str">
        <f>IF($BL31=0,"",INDEX('قاعدة البيانات'!$C$6:$C$305,$BL31))</f>
        <v/>
      </c>
      <c r="C31" s="51" t="str">
        <f t="shared" si="4"/>
        <v/>
      </c>
      <c r="D31" s="52" t="str">
        <f t="shared" si="5"/>
        <v/>
      </c>
      <c r="E31" s="53" t="str">
        <f t="shared" si="6"/>
        <v/>
      </c>
      <c r="F31" s="54" t="str">
        <f t="shared" si="7"/>
        <v/>
      </c>
      <c r="G31" s="55" t="str">
        <f t="shared" si="8"/>
        <v/>
      </c>
      <c r="H31" s="56" t="str">
        <f t="shared" si="9"/>
        <v/>
      </c>
      <c r="I31" s="57" t="str">
        <f t="shared" si="10"/>
        <v/>
      </c>
      <c r="J31" s="58"/>
      <c r="K31" s="58"/>
      <c r="L31" s="58"/>
      <c r="M31" s="58"/>
      <c r="N31" s="58"/>
      <c r="O31" s="58"/>
      <c r="P31" s="58"/>
      <c r="Q31" s="58"/>
      <c r="R31" s="58"/>
      <c r="S31" s="58"/>
      <c r="T31" s="58"/>
      <c r="U31" s="58"/>
      <c r="V31" s="58"/>
      <c r="W31" s="58"/>
      <c r="X31" s="58"/>
      <c r="Y31" s="58"/>
      <c r="Z31" s="58"/>
      <c r="AA31" s="58"/>
      <c r="AB31" s="58"/>
      <c r="AC31" s="58"/>
      <c r="AD31" s="58"/>
      <c r="AE31" s="58"/>
      <c r="AF31" s="58"/>
      <c r="AG31" s="58"/>
      <c r="AH31" s="58"/>
      <c r="AI31" s="58"/>
      <c r="AJ31" s="58"/>
      <c r="AK31" s="58"/>
      <c r="AL31" s="58"/>
      <c r="AM31" s="58"/>
      <c r="AN31" s="58"/>
      <c r="AO31" s="58"/>
      <c r="AP31" s="58"/>
      <c r="AQ31" s="58"/>
      <c r="AR31" s="58"/>
      <c r="AS31" s="58"/>
      <c r="AT31" s="58"/>
      <c r="AU31" s="58"/>
      <c r="AV31" s="58"/>
      <c r="AW31" s="58"/>
      <c r="AX31" s="58"/>
      <c r="AY31" s="58"/>
      <c r="AZ31" s="58"/>
      <c r="BA31" s="58"/>
      <c r="BB31" s="58"/>
      <c r="BC31" s="58"/>
      <c r="BD31" s="58"/>
      <c r="BE31" s="58"/>
      <c r="BF31" s="58"/>
      <c r="BG31" s="58"/>
      <c r="BH31" s="58"/>
      <c r="BI31" s="58"/>
      <c r="BJ31" s="58"/>
      <c r="BL31">
        <f>IFERROR(MATCH(الإعدادات!$B$4&amp;"|"&amp;25,'قاعدة البيانات'!$N$6:$N$305,0),0)</f>
        <v>0</v>
      </c>
      <c r="BM31">
        <f>IF($BL31=0,0,IF(INDEX('قاعدة البيانات'!$M$6:$M$305,$BL31)="غير نشط",5,IF($F31="",0,IF($G31&gt;=الإعدادات!$B$18,4,IF($F31&gt;=الإعدادات!$B$16,1,IF($F31&gt;=الإعدادات!$B$17,2,3))))))</f>
        <v>0</v>
      </c>
    </row>
    <row r="32" spans="1:65" ht="21.75" customHeight="1">
      <c r="A32" s="49" t="str">
        <f>IF($BL32=0,"",26)</f>
        <v/>
      </c>
      <c r="B32" s="50" t="str">
        <f>IF($BL32=0,"",INDEX('قاعدة البيانات'!$C$6:$C$305,$BL32))</f>
        <v/>
      </c>
      <c r="C32" s="51" t="str">
        <f t="shared" si="4"/>
        <v/>
      </c>
      <c r="D32" s="52" t="str">
        <f t="shared" si="5"/>
        <v/>
      </c>
      <c r="E32" s="53" t="str">
        <f t="shared" si="6"/>
        <v/>
      </c>
      <c r="F32" s="54" t="str">
        <f t="shared" si="7"/>
        <v/>
      </c>
      <c r="G32" s="55" t="str">
        <f t="shared" si="8"/>
        <v/>
      </c>
      <c r="H32" s="56" t="str">
        <f t="shared" si="9"/>
        <v/>
      </c>
      <c r="I32" s="57" t="str">
        <f t="shared" si="10"/>
        <v/>
      </c>
      <c r="J32" s="58"/>
      <c r="K32" s="58"/>
      <c r="L32" s="58"/>
      <c r="M32" s="58"/>
      <c r="N32" s="58"/>
      <c r="O32" s="58"/>
      <c r="P32" s="58"/>
      <c r="Q32" s="58"/>
      <c r="R32" s="58"/>
      <c r="S32" s="58"/>
      <c r="T32" s="58"/>
      <c r="U32" s="58"/>
      <c r="V32" s="58"/>
      <c r="W32" s="58"/>
      <c r="X32" s="58"/>
      <c r="Y32" s="58"/>
      <c r="Z32" s="58"/>
      <c r="AA32" s="58"/>
      <c r="AB32" s="58"/>
      <c r="AC32" s="58"/>
      <c r="AD32" s="58"/>
      <c r="AE32" s="58"/>
      <c r="AF32" s="58"/>
      <c r="AG32" s="58"/>
      <c r="AH32" s="58"/>
      <c r="AI32" s="58"/>
      <c r="AJ32" s="58"/>
      <c r="AK32" s="58"/>
      <c r="AL32" s="58"/>
      <c r="AM32" s="58"/>
      <c r="AN32" s="58"/>
      <c r="AO32" s="58"/>
      <c r="AP32" s="58"/>
      <c r="AQ32" s="58"/>
      <c r="AR32" s="58"/>
      <c r="AS32" s="58"/>
      <c r="AT32" s="58"/>
      <c r="AU32" s="58"/>
      <c r="AV32" s="58"/>
      <c r="AW32" s="58"/>
      <c r="AX32" s="58"/>
      <c r="AY32" s="58"/>
      <c r="AZ32" s="58"/>
      <c r="BA32" s="58"/>
      <c r="BB32" s="58"/>
      <c r="BC32" s="58"/>
      <c r="BD32" s="58"/>
      <c r="BE32" s="58"/>
      <c r="BF32" s="58"/>
      <c r="BG32" s="58"/>
      <c r="BH32" s="58"/>
      <c r="BI32" s="58"/>
      <c r="BJ32" s="58"/>
      <c r="BL32">
        <f>IFERROR(MATCH(الإعدادات!$B$4&amp;"|"&amp;26,'قاعدة البيانات'!$N$6:$N$305,0),0)</f>
        <v>0</v>
      </c>
      <c r="BM32">
        <f>IF($BL32=0,0,IF(INDEX('قاعدة البيانات'!$M$6:$M$305,$BL32)="غير نشط",5,IF($F32="",0,IF($G32&gt;=الإعدادات!$B$18,4,IF($F32&gt;=الإعدادات!$B$16,1,IF($F32&gt;=الإعدادات!$B$17,2,3))))))</f>
        <v>0</v>
      </c>
    </row>
    <row r="33" spans="1:65" ht="21.75" customHeight="1">
      <c r="A33" s="49" t="str">
        <f>IF($BL33=0,"",27)</f>
        <v/>
      </c>
      <c r="B33" s="50" t="str">
        <f>IF($BL33=0,"",INDEX('قاعدة البيانات'!$C$6:$C$305,$BL33))</f>
        <v/>
      </c>
      <c r="C33" s="51" t="str">
        <f t="shared" si="4"/>
        <v/>
      </c>
      <c r="D33" s="52" t="str">
        <f t="shared" si="5"/>
        <v/>
      </c>
      <c r="E33" s="53" t="str">
        <f t="shared" si="6"/>
        <v/>
      </c>
      <c r="F33" s="54" t="str">
        <f t="shared" si="7"/>
        <v/>
      </c>
      <c r="G33" s="55" t="str">
        <f t="shared" si="8"/>
        <v/>
      </c>
      <c r="H33" s="56" t="str">
        <f t="shared" si="9"/>
        <v/>
      </c>
      <c r="I33" s="57" t="str">
        <f t="shared" si="10"/>
        <v/>
      </c>
      <c r="J33" s="58"/>
      <c r="K33" s="58"/>
      <c r="L33" s="58"/>
      <c r="M33" s="58"/>
      <c r="N33" s="58"/>
      <c r="O33" s="58"/>
      <c r="P33" s="58"/>
      <c r="Q33" s="58"/>
      <c r="R33" s="58"/>
      <c r="S33" s="58"/>
      <c r="T33" s="58"/>
      <c r="U33" s="58"/>
      <c r="V33" s="58"/>
      <c r="W33" s="58"/>
      <c r="X33" s="58"/>
      <c r="Y33" s="58"/>
      <c r="Z33" s="58"/>
      <c r="AA33" s="58"/>
      <c r="AB33" s="58"/>
      <c r="AC33" s="58"/>
      <c r="AD33" s="58"/>
      <c r="AE33" s="58"/>
      <c r="AF33" s="58"/>
      <c r="AG33" s="58"/>
      <c r="AH33" s="58"/>
      <c r="AI33" s="58"/>
      <c r="AJ33" s="58"/>
      <c r="AK33" s="58"/>
      <c r="AL33" s="58"/>
      <c r="AM33" s="58"/>
      <c r="AN33" s="58"/>
      <c r="AO33" s="58"/>
      <c r="AP33" s="58"/>
      <c r="AQ33" s="58"/>
      <c r="AR33" s="58"/>
      <c r="AS33" s="58"/>
      <c r="AT33" s="58"/>
      <c r="AU33" s="58"/>
      <c r="AV33" s="58"/>
      <c r="AW33" s="58"/>
      <c r="AX33" s="58"/>
      <c r="AY33" s="58"/>
      <c r="AZ33" s="58"/>
      <c r="BA33" s="58"/>
      <c r="BB33" s="58"/>
      <c r="BC33" s="58"/>
      <c r="BD33" s="58"/>
      <c r="BE33" s="58"/>
      <c r="BF33" s="58"/>
      <c r="BG33" s="58"/>
      <c r="BH33" s="58"/>
      <c r="BI33" s="58"/>
      <c r="BJ33" s="58"/>
      <c r="BL33">
        <f>IFERROR(MATCH(الإعدادات!$B$4&amp;"|"&amp;27,'قاعدة البيانات'!$N$6:$N$305,0),0)</f>
        <v>0</v>
      </c>
      <c r="BM33">
        <f>IF($BL33=0,0,IF(INDEX('قاعدة البيانات'!$M$6:$M$305,$BL33)="غير نشط",5,IF($F33="",0,IF($G33&gt;=الإعدادات!$B$18,4,IF($F33&gt;=الإعدادات!$B$16,1,IF($F33&gt;=الإعدادات!$B$17,2,3))))))</f>
        <v>0</v>
      </c>
    </row>
    <row r="34" spans="1:65" ht="21.75" customHeight="1">
      <c r="A34" s="49" t="str">
        <f>IF($BL34=0,"",28)</f>
        <v/>
      </c>
      <c r="B34" s="50" t="str">
        <f>IF($BL34=0,"",INDEX('قاعدة البيانات'!$C$6:$C$305,$BL34))</f>
        <v/>
      </c>
      <c r="C34" s="51" t="str">
        <f t="shared" si="4"/>
        <v/>
      </c>
      <c r="D34" s="52" t="str">
        <f t="shared" si="5"/>
        <v/>
      </c>
      <c r="E34" s="53" t="str">
        <f t="shared" si="6"/>
        <v/>
      </c>
      <c r="F34" s="54" t="str">
        <f t="shared" si="7"/>
        <v/>
      </c>
      <c r="G34" s="55" t="str">
        <f t="shared" si="8"/>
        <v/>
      </c>
      <c r="H34" s="56" t="str">
        <f t="shared" si="9"/>
        <v/>
      </c>
      <c r="I34" s="57" t="str">
        <f t="shared" si="10"/>
        <v/>
      </c>
      <c r="J34" s="58"/>
      <c r="K34" s="58"/>
      <c r="L34" s="58"/>
      <c r="M34" s="58"/>
      <c r="N34" s="58"/>
      <c r="O34" s="58"/>
      <c r="P34" s="58"/>
      <c r="Q34" s="58"/>
      <c r="R34" s="58"/>
      <c r="S34" s="58"/>
      <c r="T34" s="58"/>
      <c r="U34" s="58"/>
      <c r="V34" s="58"/>
      <c r="W34" s="58"/>
      <c r="X34" s="58"/>
      <c r="Y34" s="58"/>
      <c r="Z34" s="58"/>
      <c r="AA34" s="58"/>
      <c r="AB34" s="58"/>
      <c r="AC34" s="58"/>
      <c r="AD34" s="58"/>
      <c r="AE34" s="58"/>
      <c r="AF34" s="58"/>
      <c r="AG34" s="58"/>
      <c r="AH34" s="58"/>
      <c r="AI34" s="58"/>
      <c r="AJ34" s="58"/>
      <c r="AK34" s="58"/>
      <c r="AL34" s="58"/>
      <c r="AM34" s="58"/>
      <c r="AN34" s="58"/>
      <c r="AO34" s="58"/>
      <c r="AP34" s="58"/>
      <c r="AQ34" s="58"/>
      <c r="AR34" s="58"/>
      <c r="AS34" s="58"/>
      <c r="AT34" s="58"/>
      <c r="AU34" s="58"/>
      <c r="AV34" s="58"/>
      <c r="AW34" s="58"/>
      <c r="AX34" s="58"/>
      <c r="AY34" s="58"/>
      <c r="AZ34" s="58"/>
      <c r="BA34" s="58"/>
      <c r="BB34" s="58"/>
      <c r="BC34" s="58"/>
      <c r="BD34" s="58"/>
      <c r="BE34" s="58"/>
      <c r="BF34" s="58"/>
      <c r="BG34" s="58"/>
      <c r="BH34" s="58"/>
      <c r="BI34" s="58"/>
      <c r="BJ34" s="58"/>
      <c r="BL34">
        <f>IFERROR(MATCH(الإعدادات!$B$4&amp;"|"&amp;28,'قاعدة البيانات'!$N$6:$N$305,0),0)</f>
        <v>0</v>
      </c>
      <c r="BM34">
        <f>IF($BL34=0,0,IF(INDEX('قاعدة البيانات'!$M$6:$M$305,$BL34)="غير نشط",5,IF($F34="",0,IF($G34&gt;=الإعدادات!$B$18,4,IF($F34&gt;=الإعدادات!$B$16,1,IF($F34&gt;=الإعدادات!$B$17,2,3))))))</f>
        <v>0</v>
      </c>
    </row>
    <row r="35" spans="1:65" ht="21.75" customHeight="1">
      <c r="A35" s="49" t="str">
        <f>IF($BL35=0,"",29)</f>
        <v/>
      </c>
      <c r="B35" s="50" t="str">
        <f>IF($BL35=0,"",INDEX('قاعدة البيانات'!$C$6:$C$305,$BL35))</f>
        <v/>
      </c>
      <c r="C35" s="51" t="str">
        <f t="shared" si="4"/>
        <v/>
      </c>
      <c r="D35" s="52" t="str">
        <f t="shared" si="5"/>
        <v/>
      </c>
      <c r="E35" s="53" t="str">
        <f t="shared" si="6"/>
        <v/>
      </c>
      <c r="F35" s="54" t="str">
        <f t="shared" si="7"/>
        <v/>
      </c>
      <c r="G35" s="55" t="str">
        <f t="shared" si="8"/>
        <v/>
      </c>
      <c r="H35" s="56" t="str">
        <f t="shared" si="9"/>
        <v/>
      </c>
      <c r="I35" s="57" t="str">
        <f t="shared" si="10"/>
        <v/>
      </c>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c r="AQ35" s="58"/>
      <c r="AR35" s="58"/>
      <c r="AS35" s="58"/>
      <c r="AT35" s="58"/>
      <c r="AU35" s="58"/>
      <c r="AV35" s="58"/>
      <c r="AW35" s="58"/>
      <c r="AX35" s="58"/>
      <c r="AY35" s="58"/>
      <c r="AZ35" s="58"/>
      <c r="BA35" s="58"/>
      <c r="BB35" s="58"/>
      <c r="BC35" s="58"/>
      <c r="BD35" s="58"/>
      <c r="BE35" s="58"/>
      <c r="BF35" s="58"/>
      <c r="BG35" s="58"/>
      <c r="BH35" s="58"/>
      <c r="BI35" s="58"/>
      <c r="BJ35" s="58"/>
      <c r="BL35">
        <f>IFERROR(MATCH(الإعدادات!$B$4&amp;"|"&amp;29,'قاعدة البيانات'!$N$6:$N$305,0),0)</f>
        <v>0</v>
      </c>
      <c r="BM35">
        <f>IF($BL35=0,0,IF(INDEX('قاعدة البيانات'!$M$6:$M$305,$BL35)="غير نشط",5,IF($F35="",0,IF($G35&gt;=الإعدادات!$B$18,4,IF($F35&gt;=الإعدادات!$B$16,1,IF($F35&gt;=الإعدادات!$B$17,2,3))))))</f>
        <v>0</v>
      </c>
    </row>
    <row r="36" spans="1:65" ht="21.75" customHeight="1">
      <c r="A36" s="49" t="str">
        <f>IF($BL36=0,"",30)</f>
        <v/>
      </c>
      <c r="B36" s="50" t="str">
        <f>IF($BL36=0,"",INDEX('قاعدة البيانات'!$C$6:$C$305,$BL36))</f>
        <v/>
      </c>
      <c r="C36" s="51" t="str">
        <f t="shared" si="4"/>
        <v/>
      </c>
      <c r="D36" s="52" t="str">
        <f t="shared" si="5"/>
        <v/>
      </c>
      <c r="E36" s="53" t="str">
        <f t="shared" si="6"/>
        <v/>
      </c>
      <c r="F36" s="54" t="str">
        <f t="shared" si="7"/>
        <v/>
      </c>
      <c r="G36" s="55" t="str">
        <f t="shared" si="8"/>
        <v/>
      </c>
      <c r="H36" s="56" t="str">
        <f t="shared" si="9"/>
        <v/>
      </c>
      <c r="I36" s="57" t="str">
        <f t="shared" si="10"/>
        <v/>
      </c>
      <c r="J36" s="58"/>
      <c r="K36" s="58"/>
      <c r="L36" s="58"/>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58"/>
      <c r="AL36" s="58"/>
      <c r="AM36" s="58"/>
      <c r="AN36" s="58"/>
      <c r="AO36" s="58"/>
      <c r="AP36" s="58"/>
      <c r="AQ36" s="58"/>
      <c r="AR36" s="58"/>
      <c r="AS36" s="58"/>
      <c r="AT36" s="58"/>
      <c r="AU36" s="58"/>
      <c r="AV36" s="58"/>
      <c r="AW36" s="58"/>
      <c r="AX36" s="58"/>
      <c r="AY36" s="58"/>
      <c r="AZ36" s="58"/>
      <c r="BA36" s="58"/>
      <c r="BB36" s="58"/>
      <c r="BC36" s="58"/>
      <c r="BD36" s="58"/>
      <c r="BE36" s="58"/>
      <c r="BF36" s="58"/>
      <c r="BG36" s="58"/>
      <c r="BH36" s="58"/>
      <c r="BI36" s="58"/>
      <c r="BJ36" s="58"/>
      <c r="BL36">
        <f>IFERROR(MATCH(الإعدادات!$B$4&amp;"|"&amp;30,'قاعدة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62" priority="2">
      <formula>$BL7=0</formula>
    </cfRule>
  </conditionalFormatting>
  <conditionalFormatting sqref="F7:F36">
    <cfRule type="expression" dxfId="61" priority="9">
      <formula>$BM7=1</formula>
    </cfRule>
    <cfRule type="expression" dxfId="60" priority="10">
      <formula>$BM7=2</formula>
    </cfRule>
    <cfRule type="expression" dxfId="59" priority="11">
      <formula>OR($BM7=3,$BM7=4)</formula>
    </cfRule>
  </conditionalFormatting>
  <conditionalFormatting sqref="I7:I36">
    <cfRule type="expression" dxfId="57" priority="12">
      <formula>$BM7=1</formula>
    </cfRule>
    <cfRule type="expression" dxfId="56" priority="13">
      <formula>$BM7=2</formula>
    </cfRule>
    <cfRule type="expression" dxfId="55" priority="14">
      <formula>$BM7=3</formula>
    </cfRule>
    <cfRule type="expression" dxfId="54" priority="15">
      <formula>$BM7=4</formula>
    </cfRule>
  </conditionalFormatting>
  <conditionalFormatting sqref="J6:BJ6">
    <cfRule type="expression" dxfId="53" priority="7">
      <formula>AND(J$6&lt;&gt;"",J$6&lt;=TODAY(),J$6+7&gt;TODAY())</formula>
    </cfRule>
    <cfRule type="expression" dxfId="52" priority="8">
      <formula>MOD(MONTH(J$6),2)=0</formula>
    </cfRule>
  </conditionalFormatting>
  <conditionalFormatting sqref="J7:BJ36">
    <cfRule type="expression" dxfId="51" priority="3">
      <formula>J7="ح"</formula>
    </cfRule>
    <cfRule type="expression" dxfId="50" priority="4">
      <formula>J7="غ"</formula>
    </cfRule>
    <cfRule type="expression" dxfId="49" priority="5">
      <formula>J7="ع"</formula>
    </cfRule>
    <cfRule type="expression" dxfId="48" priority="6">
      <formula>AND(J$6&lt;&gt;"",J$6&lt;=TODAY(),J$6+7&gt;TODAY())</formula>
    </cfRule>
  </conditionalFormatting>
  <dataValidations count="1">
    <dataValidation type="list" allowBlank="1" showErrorMessage="1" errorTitle="حضور" error="اختار ح أو غ أو ع." sqref="J7:BJ36" xr:uid="{00000000-0002-0000-06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6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BM36"/>
  <sheetViews>
    <sheetView showGridLines="0" rightToLeft="1" zoomScale="90" zoomScaleNormal="90" workbookViewId="0">
      <pane xSplit="2" ySplit="6" topLeftCell="C7" activePane="bottomRight" state="frozen"/>
      <selection pane="topRight" activeCell="C1" sqref="C1"/>
      <selection pane="bottomLeft" activeCell="A7" sqref="A7"/>
      <selection pane="bottomRight" activeCell="C2" sqref="C2:F2"/>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51" t="str">
        <f>"📅 قايمة حضور ملاك "&amp;الإعدادات!$B$5</f>
        <v>📅 قايمة حضور ملاك غبريال</v>
      </c>
      <c r="B1" s="151"/>
      <c r="C1" s="151"/>
      <c r="D1" s="151"/>
      <c r="E1" s="151"/>
      <c r="F1" s="151"/>
      <c r="G1" s="151"/>
      <c r="H1" s="151"/>
      <c r="I1" s="151"/>
      <c r="J1" s="151"/>
      <c r="K1" s="151"/>
      <c r="L1" s="151"/>
      <c r="M1" s="151"/>
      <c r="N1" s="151"/>
      <c r="O1" s="151"/>
      <c r="P1" s="151"/>
      <c r="Q1" s="151"/>
      <c r="R1" s="151"/>
    </row>
    <row r="2" spans="1:65" ht="27.75" customHeight="1">
      <c r="A2" s="111" t="str">
        <f>HYPERLINK("#'الرئيسية'!A1","🏠 الرئيسية")</f>
        <v>🏠 الرئيسية</v>
      </c>
      <c r="B2" s="111"/>
      <c r="C2" s="129" t="str">
        <f>HYPERLINK("#'فصل غبريال'!A1","🪪 كروت الفصل")</f>
        <v>🪪 كروت الفصل</v>
      </c>
      <c r="D2" s="129"/>
      <c r="E2" s="129"/>
      <c r="F2" s="129"/>
      <c r="G2" s="115" t="str">
        <f>HYPERLINK("#'قاعدة البيانات'!C"&amp;MIN(305,6+COUNTA('قاعدة البيانات'!$C$6:$C$305)),"➕ إضافة طفل")</f>
        <v>➕ إضافة طفل</v>
      </c>
      <c r="H2" s="115"/>
      <c r="I2" s="115"/>
      <c r="J2" s="111" t="str">
        <f>HYPERLINK("#'الافتقاد'!A1","📞 الافتقاد")</f>
        <v>📞 الافتقاد</v>
      </c>
      <c r="K2" s="111"/>
      <c r="L2" s="111"/>
      <c r="M2" s="111"/>
      <c r="N2" s="111"/>
      <c r="O2" s="111"/>
      <c r="P2" s="111" t="str">
        <f>HYPERLINK("#'قاعدة البيانات'!A1","📋 القاعدة")</f>
        <v>📋 القاعدة</v>
      </c>
      <c r="Q2" s="111"/>
      <c r="R2" s="111"/>
      <c r="S2" s="111"/>
      <c r="T2" s="111"/>
      <c r="U2" s="111"/>
      <c r="V2" s="111"/>
    </row>
    <row r="3" spans="1:65" ht="25.5" customHeight="1">
      <c r="A3" s="152" t="str">
        <f>"📅 جمع مسجلة: "&amp;COUNT(J4:BJ4)&amp;"  |  📊 "&amp;IFERROR(ROUND(SUM(C7:C36)/(SUM(C7:C36)+SUM(D7:D36))*100,0)&amp;"%","—")</f>
        <v>📅 جمع مسجلة: 0  |  📊 —</v>
      </c>
      <c r="B3" s="152"/>
      <c r="C3" s="148" t="s">
        <v>55</v>
      </c>
      <c r="D3" s="148"/>
      <c r="E3" s="148"/>
      <c r="F3" s="148"/>
      <c r="G3" s="148"/>
      <c r="H3" s="148"/>
      <c r="I3" s="148"/>
      <c r="J3" s="149" t="s">
        <v>56</v>
      </c>
      <c r="K3" s="149"/>
      <c r="L3" s="149"/>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row>
    <row r="4" spans="1:65" ht="21.75" customHeight="1">
      <c r="A4" s="150" t="s">
        <v>57</v>
      </c>
      <c r="B4" s="150"/>
      <c r="C4" s="150"/>
      <c r="D4" s="150"/>
      <c r="E4" s="150"/>
      <c r="F4" s="150"/>
      <c r="G4" s="150"/>
      <c r="H4" s="150"/>
      <c r="I4" s="150"/>
      <c r="J4" s="45" t="str">
        <f t="shared" ref="J4:AO4" si="0">IF(J$6="","",IF(COUNTA(J$7:J$36)=0,"",COUNTIF(J$7:J$36,"ح")))</f>
        <v/>
      </c>
      <c r="K4" s="45" t="str">
        <f t="shared" si="0"/>
        <v/>
      </c>
      <c r="L4" s="45" t="str">
        <f t="shared" si="0"/>
        <v/>
      </c>
      <c r="M4" s="45" t="str">
        <f t="shared" si="0"/>
        <v/>
      </c>
      <c r="N4" s="45" t="str">
        <f t="shared" si="0"/>
        <v/>
      </c>
      <c r="O4" s="45" t="str">
        <f t="shared" si="0"/>
        <v/>
      </c>
      <c r="P4" s="45" t="str">
        <f t="shared" si="0"/>
        <v/>
      </c>
      <c r="Q4" s="45" t="str">
        <f t="shared" si="0"/>
        <v/>
      </c>
      <c r="R4" s="45" t="str">
        <f t="shared" si="0"/>
        <v/>
      </c>
      <c r="S4" s="45" t="str">
        <f t="shared" si="0"/>
        <v/>
      </c>
      <c r="T4" s="45" t="str">
        <f t="shared" si="0"/>
        <v/>
      </c>
      <c r="U4" s="45" t="str">
        <f t="shared" si="0"/>
        <v/>
      </c>
      <c r="V4" s="45" t="str">
        <f t="shared" si="0"/>
        <v/>
      </c>
      <c r="W4" s="45" t="str">
        <f t="shared" si="0"/>
        <v/>
      </c>
      <c r="X4" s="45" t="str">
        <f t="shared" si="0"/>
        <v/>
      </c>
      <c r="Y4" s="45" t="str">
        <f t="shared" si="0"/>
        <v/>
      </c>
      <c r="Z4" s="45" t="str">
        <f t="shared" si="0"/>
        <v/>
      </c>
      <c r="AA4" s="45" t="str">
        <f t="shared" si="0"/>
        <v/>
      </c>
      <c r="AB4" s="45" t="str">
        <f t="shared" si="0"/>
        <v/>
      </c>
      <c r="AC4" s="45" t="str">
        <f t="shared" si="0"/>
        <v/>
      </c>
      <c r="AD4" s="45" t="str">
        <f t="shared" si="0"/>
        <v/>
      </c>
      <c r="AE4" s="45" t="str">
        <f t="shared" si="0"/>
        <v/>
      </c>
      <c r="AF4" s="45" t="str">
        <f t="shared" si="0"/>
        <v/>
      </c>
      <c r="AG4" s="45" t="str">
        <f t="shared" si="0"/>
        <v/>
      </c>
      <c r="AH4" s="45" t="str">
        <f t="shared" si="0"/>
        <v/>
      </c>
      <c r="AI4" s="45" t="str">
        <f t="shared" si="0"/>
        <v/>
      </c>
      <c r="AJ4" s="45" t="str">
        <f t="shared" si="0"/>
        <v/>
      </c>
      <c r="AK4" s="45" t="str">
        <f t="shared" si="0"/>
        <v/>
      </c>
      <c r="AL4" s="45" t="str">
        <f t="shared" si="0"/>
        <v/>
      </c>
      <c r="AM4" s="45" t="str">
        <f t="shared" si="0"/>
        <v/>
      </c>
      <c r="AN4" s="45" t="str">
        <f t="shared" si="0"/>
        <v/>
      </c>
      <c r="AO4" s="45" t="str">
        <f t="shared" si="0"/>
        <v/>
      </c>
      <c r="AP4" s="45" t="str">
        <f t="shared" ref="AP4:BJ4" si="1">IF(AP$6="","",IF(COUNTA(AP$7:AP$36)=0,"",COUNTIF(AP$7:AP$36,"ح")))</f>
        <v/>
      </c>
      <c r="AQ4" s="45" t="str">
        <f t="shared" si="1"/>
        <v/>
      </c>
      <c r="AR4" s="45" t="str">
        <f t="shared" si="1"/>
        <v/>
      </c>
      <c r="AS4" s="45" t="str">
        <f t="shared" si="1"/>
        <v/>
      </c>
      <c r="AT4" s="45" t="str">
        <f t="shared" si="1"/>
        <v/>
      </c>
      <c r="AU4" s="45" t="str">
        <f t="shared" si="1"/>
        <v/>
      </c>
      <c r="AV4" s="45" t="str">
        <f t="shared" si="1"/>
        <v/>
      </c>
      <c r="AW4" s="45" t="str">
        <f t="shared" si="1"/>
        <v/>
      </c>
      <c r="AX4" s="45" t="str">
        <f t="shared" si="1"/>
        <v/>
      </c>
      <c r="AY4" s="45" t="str">
        <f t="shared" si="1"/>
        <v/>
      </c>
      <c r="AZ4" s="45" t="str">
        <f t="shared" si="1"/>
        <v/>
      </c>
      <c r="BA4" s="45" t="str">
        <f t="shared" si="1"/>
        <v/>
      </c>
      <c r="BB4" s="45" t="str">
        <f t="shared" si="1"/>
        <v/>
      </c>
      <c r="BC4" s="45" t="str">
        <f t="shared" si="1"/>
        <v/>
      </c>
      <c r="BD4" s="45" t="str">
        <f t="shared" si="1"/>
        <v/>
      </c>
      <c r="BE4" s="45" t="str">
        <f t="shared" si="1"/>
        <v/>
      </c>
      <c r="BF4" s="45" t="str">
        <f t="shared" si="1"/>
        <v/>
      </c>
      <c r="BG4" s="45" t="str">
        <f t="shared" si="1"/>
        <v/>
      </c>
      <c r="BH4" s="45" t="str">
        <f t="shared" si="1"/>
        <v/>
      </c>
      <c r="BI4" s="45" t="str">
        <f t="shared" si="1"/>
        <v/>
      </c>
      <c r="BJ4" s="45" t="str">
        <f t="shared" si="1"/>
        <v/>
      </c>
    </row>
    <row r="5" spans="1:65" ht="21.75" customHeight="1">
      <c r="A5" s="150" t="s">
        <v>58</v>
      </c>
      <c r="B5" s="150"/>
      <c r="C5" s="150"/>
      <c r="D5" s="150"/>
      <c r="E5" s="150"/>
      <c r="F5" s="150"/>
      <c r="G5" s="150"/>
      <c r="H5" s="150"/>
      <c r="I5" s="150"/>
      <c r="J5" s="46" t="str">
        <f t="shared" ref="J5:AO5" si="2">IF(J4="","",IFERROR(J4/(COUNTIF(J$7:J$36,"ح")+COUNTIF(J$7:J$36,"غ")),""))</f>
        <v/>
      </c>
      <c r="K5" s="46" t="str">
        <f t="shared" si="2"/>
        <v/>
      </c>
      <c r="L5" s="46" t="str">
        <f t="shared" si="2"/>
        <v/>
      </c>
      <c r="M5" s="46" t="str">
        <f t="shared" si="2"/>
        <v/>
      </c>
      <c r="N5" s="46" t="str">
        <f t="shared" si="2"/>
        <v/>
      </c>
      <c r="O5" s="46" t="str">
        <f t="shared" si="2"/>
        <v/>
      </c>
      <c r="P5" s="46" t="str">
        <f t="shared" si="2"/>
        <v/>
      </c>
      <c r="Q5" s="46" t="str">
        <f t="shared" si="2"/>
        <v/>
      </c>
      <c r="R5" s="46" t="str">
        <f t="shared" si="2"/>
        <v/>
      </c>
      <c r="S5" s="46" t="str">
        <f t="shared" si="2"/>
        <v/>
      </c>
      <c r="T5" s="46" t="str">
        <f t="shared" si="2"/>
        <v/>
      </c>
      <c r="U5" s="46" t="str">
        <f t="shared" si="2"/>
        <v/>
      </c>
      <c r="V5" s="46" t="str">
        <f t="shared" si="2"/>
        <v/>
      </c>
      <c r="W5" s="46" t="str">
        <f t="shared" si="2"/>
        <v/>
      </c>
      <c r="X5" s="46" t="str">
        <f t="shared" si="2"/>
        <v/>
      </c>
      <c r="Y5" s="46" t="str">
        <f t="shared" si="2"/>
        <v/>
      </c>
      <c r="Z5" s="46" t="str">
        <f t="shared" si="2"/>
        <v/>
      </c>
      <c r="AA5" s="46" t="str">
        <f t="shared" si="2"/>
        <v/>
      </c>
      <c r="AB5" s="46" t="str">
        <f t="shared" si="2"/>
        <v/>
      </c>
      <c r="AC5" s="46" t="str">
        <f t="shared" si="2"/>
        <v/>
      </c>
      <c r="AD5" s="46" t="str">
        <f t="shared" si="2"/>
        <v/>
      </c>
      <c r="AE5" s="46" t="str">
        <f t="shared" si="2"/>
        <v/>
      </c>
      <c r="AF5" s="46" t="str">
        <f t="shared" si="2"/>
        <v/>
      </c>
      <c r="AG5" s="46" t="str">
        <f t="shared" si="2"/>
        <v/>
      </c>
      <c r="AH5" s="46" t="str">
        <f t="shared" si="2"/>
        <v/>
      </c>
      <c r="AI5" s="46" t="str">
        <f t="shared" si="2"/>
        <v/>
      </c>
      <c r="AJ5" s="46" t="str">
        <f t="shared" si="2"/>
        <v/>
      </c>
      <c r="AK5" s="46" t="str">
        <f t="shared" si="2"/>
        <v/>
      </c>
      <c r="AL5" s="46" t="str">
        <f t="shared" si="2"/>
        <v/>
      </c>
      <c r="AM5" s="46" t="str">
        <f t="shared" si="2"/>
        <v/>
      </c>
      <c r="AN5" s="46" t="str">
        <f t="shared" si="2"/>
        <v/>
      </c>
      <c r="AO5" s="46" t="str">
        <f t="shared" si="2"/>
        <v/>
      </c>
      <c r="AP5" s="46" t="str">
        <f t="shared" ref="AP5:BU5" si="3">IF(AP4="","",IFERROR(AP4/(COUNTIF(AP$7:AP$36,"ح")+COUNTIF(AP$7:AP$36,"غ")),""))</f>
        <v/>
      </c>
      <c r="AQ5" s="46" t="str">
        <f t="shared" si="3"/>
        <v/>
      </c>
      <c r="AR5" s="46" t="str">
        <f t="shared" si="3"/>
        <v/>
      </c>
      <c r="AS5" s="46" t="str">
        <f t="shared" si="3"/>
        <v/>
      </c>
      <c r="AT5" s="46" t="str">
        <f t="shared" si="3"/>
        <v/>
      </c>
      <c r="AU5" s="46" t="str">
        <f t="shared" si="3"/>
        <v/>
      </c>
      <c r="AV5" s="46" t="str">
        <f t="shared" si="3"/>
        <v/>
      </c>
      <c r="AW5" s="46" t="str">
        <f t="shared" si="3"/>
        <v/>
      </c>
      <c r="AX5" s="46" t="str">
        <f t="shared" si="3"/>
        <v/>
      </c>
      <c r="AY5" s="46" t="str">
        <f t="shared" si="3"/>
        <v/>
      </c>
      <c r="AZ5" s="46" t="str">
        <f t="shared" si="3"/>
        <v/>
      </c>
      <c r="BA5" s="46" t="str">
        <f t="shared" si="3"/>
        <v/>
      </c>
      <c r="BB5" s="46" t="str">
        <f t="shared" si="3"/>
        <v/>
      </c>
      <c r="BC5" s="46" t="str">
        <f t="shared" si="3"/>
        <v/>
      </c>
      <c r="BD5" s="46" t="str">
        <f t="shared" si="3"/>
        <v/>
      </c>
      <c r="BE5" s="46" t="str">
        <f t="shared" si="3"/>
        <v/>
      </c>
      <c r="BF5" s="46" t="str">
        <f t="shared" si="3"/>
        <v/>
      </c>
      <c r="BG5" s="46" t="str">
        <f t="shared" si="3"/>
        <v/>
      </c>
      <c r="BH5" s="46" t="str">
        <f t="shared" si="3"/>
        <v/>
      </c>
      <c r="BI5" s="46" t="str">
        <f t="shared" si="3"/>
        <v/>
      </c>
      <c r="BJ5" s="46" t="str">
        <f t="shared" si="3"/>
        <v/>
      </c>
    </row>
    <row r="6" spans="1:65" ht="36" customHeight="1">
      <c r="A6" s="59" t="s">
        <v>20</v>
      </c>
      <c r="B6" s="59" t="s">
        <v>22</v>
      </c>
      <c r="C6" s="59" t="s">
        <v>35</v>
      </c>
      <c r="D6" s="59" t="s">
        <v>36</v>
      </c>
      <c r="E6" s="59" t="s">
        <v>59</v>
      </c>
      <c r="F6" s="59" t="s">
        <v>37</v>
      </c>
      <c r="G6" s="59" t="s">
        <v>38</v>
      </c>
      <c r="H6" s="59" t="s">
        <v>39</v>
      </c>
      <c r="I6" s="59" t="s">
        <v>32</v>
      </c>
      <c r="J6" s="60">
        <f>IF(الإعدادات!$B$14&lt;=الإعدادات!$B$11,الإعدادات!$B$14,"")</f>
        <v>46297</v>
      </c>
      <c r="K6" s="60">
        <f>IF(J6="","",IF(J6+7&lt;=الإعدادات!$B$11,J6+7,""))</f>
        <v>46304</v>
      </c>
      <c r="L6" s="60">
        <f>IF(K6="","",IF(K6+7&lt;=الإعدادات!$B$11,K6+7,""))</f>
        <v>46311</v>
      </c>
      <c r="M6" s="60">
        <f>IF(L6="","",IF(L6+7&lt;=الإعدادات!$B$11,L6+7,""))</f>
        <v>46318</v>
      </c>
      <c r="N6" s="60">
        <f>IF(M6="","",IF(M6+7&lt;=الإعدادات!$B$11,M6+7,""))</f>
        <v>46325</v>
      </c>
      <c r="O6" s="60">
        <f>IF(N6="","",IF(N6+7&lt;=الإعدادات!$B$11,N6+7,""))</f>
        <v>46332</v>
      </c>
      <c r="P6" s="60">
        <f>IF(O6="","",IF(O6+7&lt;=الإعدادات!$B$11,O6+7,""))</f>
        <v>46339</v>
      </c>
      <c r="Q6" s="60">
        <f>IF(P6="","",IF(P6+7&lt;=الإعدادات!$B$11,P6+7,""))</f>
        <v>46346</v>
      </c>
      <c r="R6" s="60">
        <f>IF(Q6="","",IF(Q6+7&lt;=الإعدادات!$B$11,Q6+7,""))</f>
        <v>46353</v>
      </c>
      <c r="S6" s="60">
        <f>IF(R6="","",IF(R6+7&lt;=الإعدادات!$B$11,R6+7,""))</f>
        <v>46360</v>
      </c>
      <c r="T6" s="60">
        <f>IF(S6="","",IF(S6+7&lt;=الإعدادات!$B$11,S6+7,""))</f>
        <v>46367</v>
      </c>
      <c r="U6" s="60">
        <f>IF(T6="","",IF(T6+7&lt;=الإعدادات!$B$11,T6+7,""))</f>
        <v>46374</v>
      </c>
      <c r="V6" s="60">
        <f>IF(U6="","",IF(U6+7&lt;=الإعدادات!$B$11,U6+7,""))</f>
        <v>46381</v>
      </c>
      <c r="W6" s="60">
        <f>IF(V6="","",IF(V6+7&lt;=الإعدادات!$B$11,V6+7,""))</f>
        <v>46388</v>
      </c>
      <c r="X6" s="60">
        <f>IF(W6="","",IF(W6+7&lt;=الإعدادات!$B$11,W6+7,""))</f>
        <v>46395</v>
      </c>
      <c r="Y6" s="60">
        <f>IF(X6="","",IF(X6+7&lt;=الإعدادات!$B$11,X6+7,""))</f>
        <v>46402</v>
      </c>
      <c r="Z6" s="60">
        <f>IF(Y6="","",IF(Y6+7&lt;=الإعدادات!$B$11,Y6+7,""))</f>
        <v>46409</v>
      </c>
      <c r="AA6" s="60">
        <f>IF(Z6="","",IF(Z6+7&lt;=الإعدادات!$B$11,Z6+7,""))</f>
        <v>46416</v>
      </c>
      <c r="AB6" s="60">
        <f>IF(AA6="","",IF(AA6+7&lt;=الإعدادات!$B$11,AA6+7,""))</f>
        <v>46423</v>
      </c>
      <c r="AC6" s="60">
        <f>IF(AB6="","",IF(AB6+7&lt;=الإعدادات!$B$11,AB6+7,""))</f>
        <v>46430</v>
      </c>
      <c r="AD6" s="60">
        <f>IF(AC6="","",IF(AC6+7&lt;=الإعدادات!$B$11,AC6+7,""))</f>
        <v>46437</v>
      </c>
      <c r="AE6" s="60">
        <f>IF(AD6="","",IF(AD6+7&lt;=الإعدادات!$B$11,AD6+7,""))</f>
        <v>46444</v>
      </c>
      <c r="AF6" s="60">
        <f>IF(AE6="","",IF(AE6+7&lt;=الإعدادات!$B$11,AE6+7,""))</f>
        <v>46451</v>
      </c>
      <c r="AG6" s="60">
        <f>IF(AF6="","",IF(AF6+7&lt;=الإعدادات!$B$11,AF6+7,""))</f>
        <v>46458</v>
      </c>
      <c r="AH6" s="60">
        <f>IF(AG6="","",IF(AG6+7&lt;=الإعدادات!$B$11,AG6+7,""))</f>
        <v>46465</v>
      </c>
      <c r="AI6" s="60">
        <f>IF(AH6="","",IF(AH6+7&lt;=الإعدادات!$B$11,AH6+7,""))</f>
        <v>46472</v>
      </c>
      <c r="AJ6" s="60">
        <f>IF(AI6="","",IF(AI6+7&lt;=الإعدادات!$B$11,AI6+7,""))</f>
        <v>46479</v>
      </c>
      <c r="AK6" s="60">
        <f>IF(AJ6="","",IF(AJ6+7&lt;=الإعدادات!$B$11,AJ6+7,""))</f>
        <v>46486</v>
      </c>
      <c r="AL6" s="60">
        <f>IF(AK6="","",IF(AK6+7&lt;=الإعدادات!$B$11,AK6+7,""))</f>
        <v>46493</v>
      </c>
      <c r="AM6" s="60">
        <f>IF(AL6="","",IF(AL6+7&lt;=الإعدادات!$B$11,AL6+7,""))</f>
        <v>46500</v>
      </c>
      <c r="AN6" s="60">
        <f>IF(AM6="","",IF(AM6+7&lt;=الإعدادات!$B$11,AM6+7,""))</f>
        <v>46507</v>
      </c>
      <c r="AO6" s="60">
        <f>IF(AN6="","",IF(AN6+7&lt;=الإعدادات!$B$11,AN6+7,""))</f>
        <v>46514</v>
      </c>
      <c r="AP6" s="60">
        <f>IF(AO6="","",IF(AO6+7&lt;=الإعدادات!$B$11,AO6+7,""))</f>
        <v>46521</v>
      </c>
      <c r="AQ6" s="60">
        <f>IF(AP6="","",IF(AP6+7&lt;=الإعدادات!$B$11,AP6+7,""))</f>
        <v>46528</v>
      </c>
      <c r="AR6" s="60">
        <f>IF(AQ6="","",IF(AQ6+7&lt;=الإعدادات!$B$11,AQ6+7,""))</f>
        <v>46535</v>
      </c>
      <c r="AS6" s="60">
        <f>IF(AR6="","",IF(AR6+7&lt;=الإعدادات!$B$11,AR6+7,""))</f>
        <v>46542</v>
      </c>
      <c r="AT6" s="60">
        <f>IF(AS6="","",IF(AS6+7&lt;=الإعدادات!$B$11,AS6+7,""))</f>
        <v>46549</v>
      </c>
      <c r="AU6" s="60">
        <f>IF(AT6="","",IF(AT6+7&lt;=الإعدادات!$B$11,AT6+7,""))</f>
        <v>46556</v>
      </c>
      <c r="AV6" s="60">
        <f>IF(AU6="","",IF(AU6+7&lt;=الإعدادات!$B$11,AU6+7,""))</f>
        <v>46563</v>
      </c>
      <c r="AW6" s="60">
        <f>IF(AV6="","",IF(AV6+7&lt;=الإعدادات!$B$11,AV6+7,""))</f>
        <v>46570</v>
      </c>
      <c r="AX6" s="60">
        <f>IF(AW6="","",IF(AW6+7&lt;=الإعدادات!$B$11,AW6+7,""))</f>
        <v>46577</v>
      </c>
      <c r="AY6" s="60">
        <f>IF(AX6="","",IF(AX6+7&lt;=الإعدادات!$B$11,AX6+7,""))</f>
        <v>46584</v>
      </c>
      <c r="AZ6" s="60">
        <f>IF(AY6="","",IF(AY6+7&lt;=الإعدادات!$B$11,AY6+7,""))</f>
        <v>46591</v>
      </c>
      <c r="BA6" s="60">
        <f>IF(AZ6="","",IF(AZ6+7&lt;=الإعدادات!$B$11,AZ6+7,""))</f>
        <v>46598</v>
      </c>
      <c r="BB6" s="60">
        <f>IF(BA6="","",IF(BA6+7&lt;=الإعدادات!$B$11,BA6+7,""))</f>
        <v>46605</v>
      </c>
      <c r="BC6" s="60">
        <f>IF(BB6="","",IF(BB6+7&lt;=الإعدادات!$B$11,BB6+7,""))</f>
        <v>46612</v>
      </c>
      <c r="BD6" s="60">
        <f>IF(BC6="","",IF(BC6+7&lt;=الإعدادات!$B$11,BC6+7,""))</f>
        <v>46619</v>
      </c>
      <c r="BE6" s="60">
        <f>IF(BD6="","",IF(BD6+7&lt;=الإعدادات!$B$11,BD6+7,""))</f>
        <v>46626</v>
      </c>
      <c r="BF6" s="60">
        <f>IF(BE6="","",IF(BE6+7&lt;=الإعدادات!$B$11,BE6+7,""))</f>
        <v>46633</v>
      </c>
      <c r="BG6" s="60">
        <f>IF(BF6="","",IF(BF6+7&lt;=الإعدادات!$B$11,BF6+7,""))</f>
        <v>46640</v>
      </c>
      <c r="BH6" s="60">
        <f>IF(BG6="","",IF(BG6+7&lt;=الإعدادات!$B$11,BG6+7,""))</f>
        <v>46647</v>
      </c>
      <c r="BI6" s="60">
        <f>IF(BH6="","",IF(BH6+7&lt;=الإعدادات!$B$11,BH6+7,""))</f>
        <v>46654</v>
      </c>
      <c r="BJ6" s="60">
        <f>IF(BI6="","",IF(BI6+7&lt;=الإعدادات!$B$11,BI6+7,""))</f>
        <v>46661</v>
      </c>
    </row>
    <row r="7" spans="1:65" ht="21.75" customHeight="1">
      <c r="A7" s="49">
        <f>IF($BL7=0,"",1)</f>
        <v>1</v>
      </c>
      <c r="B7" s="50" t="str">
        <f>IF($BL7=0,"",INDEX('قاعدة البيانات'!$C$6:$C$305,$BL7))</f>
        <v>توماس صابر صبحى</v>
      </c>
      <c r="C7" s="51">
        <f t="shared" ref="C7:C36" si="4">IF($BL7=0,"",COUNTIF($J7:$BJ7,"ح"))</f>
        <v>0</v>
      </c>
      <c r="D7" s="52">
        <f t="shared" ref="D7:D36" si="5">IF($BL7=0,"",COUNTIF($J7:$BJ7,"غ"))</f>
        <v>0</v>
      </c>
      <c r="E7" s="53">
        <f t="shared" ref="E7:E36" si="6">IF($BL7=0,"",COUNTIF($J7:$BJ7,"ع"))</f>
        <v>0</v>
      </c>
      <c r="F7" s="54" t="str">
        <f t="shared" ref="F7:F36" si="7">IF($BL7=0,"",IF(C7+D7=0,"",C7/(C7+D7)))</f>
        <v/>
      </c>
      <c r="G7" s="55">
        <f t="shared" ref="G7:G36" si="8">IF($BL7=0,"",SUMPRODUCT(($J7:$BJ7="غ")*((COLUMN($J7:$BJ7)-COLUMN($J7)+1)&gt;IFERROR(LOOKUP(2,1/($J7:$BJ7="ح"),COLUMN($J7:$BJ7)-COLUMN($J7)+1),0))))</f>
        <v>0</v>
      </c>
      <c r="H7" s="56" t="str">
        <f t="shared" ref="H7:H36" si="9">IF($BL7=0,"",IFERROR(LOOKUP(2,1/($J7:$BJ7="ح"),$J$6:$BJ$6),"—"))</f>
        <v>—</v>
      </c>
      <c r="I7" s="57" t="str">
        <f t="shared" ref="I7:I36" si="10">IF($BL7=0,"",IF($BM7=0,"⏳ لسه مفيش حضور",CHOOSE($BM7,"⭐ ممتاز","👍 جيد","⚠️ محتاج متابعة","📞 افتقاده ضروري","⛔ غير نشط")))</f>
        <v>⏳ لسه مفيش حضور</v>
      </c>
      <c r="J7" s="58"/>
      <c r="K7" s="58"/>
      <c r="L7" s="58"/>
      <c r="M7" s="58"/>
      <c r="N7" s="58"/>
      <c r="O7" s="58"/>
      <c r="P7" s="58"/>
      <c r="Q7" s="58"/>
      <c r="R7" s="58"/>
      <c r="S7" s="58"/>
      <c r="T7" s="58"/>
      <c r="U7" s="58"/>
      <c r="V7" s="58"/>
      <c r="W7" s="58"/>
      <c r="X7" s="58"/>
      <c r="Y7" s="58"/>
      <c r="Z7" s="58"/>
      <c r="AA7" s="58"/>
      <c r="AB7" s="58"/>
      <c r="AC7" s="58"/>
      <c r="AD7" s="58"/>
      <c r="AE7" s="58"/>
      <c r="AF7" s="58"/>
      <c r="AG7" s="58"/>
      <c r="AH7" s="58"/>
      <c r="AI7" s="58"/>
      <c r="AJ7" s="58"/>
      <c r="AK7" s="58"/>
      <c r="AL7" s="58"/>
      <c r="AM7" s="58"/>
      <c r="AN7" s="58"/>
      <c r="AO7" s="58"/>
      <c r="AP7" s="58"/>
      <c r="AQ7" s="58"/>
      <c r="AR7" s="58"/>
      <c r="AS7" s="58"/>
      <c r="AT7" s="58"/>
      <c r="AU7" s="58"/>
      <c r="AV7" s="58"/>
      <c r="AW7" s="58"/>
      <c r="AX7" s="58"/>
      <c r="AY7" s="58"/>
      <c r="AZ7" s="58"/>
      <c r="BA7" s="58"/>
      <c r="BB7" s="58"/>
      <c r="BC7" s="58"/>
      <c r="BD7" s="58"/>
      <c r="BE7" s="58"/>
      <c r="BF7" s="58"/>
      <c r="BG7" s="58"/>
      <c r="BH7" s="58"/>
      <c r="BI7" s="58"/>
      <c r="BJ7" s="58"/>
      <c r="BL7">
        <f>IFERROR(MATCH(الإعدادات!$B$5&amp;"|"&amp;1,'قاعدة البيانات'!$N$6:$N$305,0),0)</f>
        <v>1</v>
      </c>
      <c r="BM7">
        <f>IF($BL7=0,0,IF(INDEX('قاعدة البيانات'!$M$6:$M$305,$BL7)="غير نشط",5,IF($F7="",0,IF($G7&gt;=الإعدادات!$B$18,4,IF($F7&gt;=الإعدادات!$B$16,1,IF($F7&gt;=الإعدادات!$B$17,2,3))))))</f>
        <v>0</v>
      </c>
    </row>
    <row r="8" spans="1:65" ht="21.75" customHeight="1">
      <c r="A8" s="49">
        <f>IF($BL8=0,"",2)</f>
        <v>2</v>
      </c>
      <c r="B8" s="50" t="str">
        <f>IF($BL8=0,"",INDEX('قاعدة البيانات'!$C$6:$C$305,$BL8))</f>
        <v>سيلينا رامي رومانى</v>
      </c>
      <c r="C8" s="51">
        <f t="shared" si="4"/>
        <v>0</v>
      </c>
      <c r="D8" s="52">
        <f t="shared" si="5"/>
        <v>0</v>
      </c>
      <c r="E8" s="53">
        <f t="shared" si="6"/>
        <v>0</v>
      </c>
      <c r="F8" s="54" t="str">
        <f t="shared" si="7"/>
        <v/>
      </c>
      <c r="G8" s="55">
        <f t="shared" si="8"/>
        <v>0</v>
      </c>
      <c r="H8" s="56" t="str">
        <f t="shared" si="9"/>
        <v>—</v>
      </c>
      <c r="I8" s="57" t="str">
        <f t="shared" si="10"/>
        <v>⏳ لسه مفيش حضور</v>
      </c>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c r="AQ8" s="58"/>
      <c r="AR8" s="58"/>
      <c r="AS8" s="58"/>
      <c r="AT8" s="58"/>
      <c r="AU8" s="58"/>
      <c r="AV8" s="58"/>
      <c r="AW8" s="58"/>
      <c r="AX8" s="58"/>
      <c r="AY8" s="58"/>
      <c r="AZ8" s="58"/>
      <c r="BA8" s="58"/>
      <c r="BB8" s="58"/>
      <c r="BC8" s="58"/>
      <c r="BD8" s="58"/>
      <c r="BE8" s="58"/>
      <c r="BF8" s="58"/>
      <c r="BG8" s="58"/>
      <c r="BH8" s="58"/>
      <c r="BI8" s="58"/>
      <c r="BJ8" s="58"/>
      <c r="BL8">
        <f>IFERROR(MATCH(الإعدادات!$B$5&amp;"|"&amp;2,'قاعدة البيانات'!$N$6:$N$305,0),0)</f>
        <v>2</v>
      </c>
      <c r="BM8">
        <f>IF($BL8=0,0,IF(INDEX('قاعدة البيانات'!$M$6:$M$305,$BL8)="غير نشط",5,IF($F8="",0,IF($G8&gt;=الإعدادات!$B$18,4,IF($F8&gt;=الإعدادات!$B$16,1,IF($F8&gt;=الإعدادات!$B$17,2,3))))))</f>
        <v>0</v>
      </c>
    </row>
    <row r="9" spans="1:65" ht="21.75" customHeight="1">
      <c r="A9" s="49">
        <f>IF($BL9=0,"",3)</f>
        <v>3</v>
      </c>
      <c r="B9" s="50" t="str">
        <f>IF($BL9=0,"",INDEX('قاعدة البيانات'!$C$6:$C$305,$BL9))</f>
        <v>روبن عبد المسيح رافت</v>
      </c>
      <c r="C9" s="51">
        <f t="shared" si="4"/>
        <v>0</v>
      </c>
      <c r="D9" s="52">
        <f t="shared" si="5"/>
        <v>0</v>
      </c>
      <c r="E9" s="53">
        <f t="shared" si="6"/>
        <v>0</v>
      </c>
      <c r="F9" s="54" t="str">
        <f t="shared" si="7"/>
        <v/>
      </c>
      <c r="G9" s="55">
        <f t="shared" si="8"/>
        <v>0</v>
      </c>
      <c r="H9" s="56" t="str">
        <f t="shared" si="9"/>
        <v>—</v>
      </c>
      <c r="I9" s="57" t="str">
        <f t="shared" si="10"/>
        <v>⏳ لسه مفيش حضور</v>
      </c>
      <c r="J9" s="58"/>
      <c r="K9" s="58"/>
      <c r="L9" s="58"/>
      <c r="M9" s="58"/>
      <c r="N9" s="58"/>
      <c r="O9" s="58"/>
      <c r="P9" s="58"/>
      <c r="Q9" s="58"/>
      <c r="R9" s="58"/>
      <c r="S9" s="58"/>
      <c r="T9" s="58"/>
      <c r="U9" s="58"/>
      <c r="V9" s="58"/>
      <c r="W9" s="58"/>
      <c r="X9" s="58"/>
      <c r="Y9" s="58"/>
      <c r="Z9" s="58"/>
      <c r="AA9" s="58"/>
      <c r="AB9" s="58"/>
      <c r="AC9" s="58"/>
      <c r="AD9" s="58"/>
      <c r="AE9" s="58"/>
      <c r="AF9" s="58"/>
      <c r="AG9" s="58"/>
      <c r="AH9" s="58"/>
      <c r="AI9" s="58"/>
      <c r="AJ9" s="58"/>
      <c r="AK9" s="58"/>
      <c r="AL9" s="58"/>
      <c r="AM9" s="58"/>
      <c r="AN9" s="58"/>
      <c r="AO9" s="58"/>
      <c r="AP9" s="58"/>
      <c r="AQ9" s="58"/>
      <c r="AR9" s="58"/>
      <c r="AS9" s="58"/>
      <c r="AT9" s="58"/>
      <c r="AU9" s="58"/>
      <c r="AV9" s="58"/>
      <c r="AW9" s="58"/>
      <c r="AX9" s="58"/>
      <c r="AY9" s="58"/>
      <c r="AZ9" s="58"/>
      <c r="BA9" s="58"/>
      <c r="BB9" s="58"/>
      <c r="BC9" s="58"/>
      <c r="BD9" s="58"/>
      <c r="BE9" s="58"/>
      <c r="BF9" s="58"/>
      <c r="BG9" s="58"/>
      <c r="BH9" s="58"/>
      <c r="BI9" s="58"/>
      <c r="BJ9" s="58"/>
      <c r="BL9">
        <f>IFERROR(MATCH(الإعدادات!$B$5&amp;"|"&amp;3,'قاعدة البيانات'!$N$6:$N$305,0),0)</f>
        <v>3</v>
      </c>
      <c r="BM9">
        <f>IF($BL9=0,0,IF(INDEX('قاعدة البيانات'!$M$6:$M$305,$BL9)="غير نشط",5,IF($F9="",0,IF($G9&gt;=الإعدادات!$B$18,4,IF($F9&gt;=الإعدادات!$B$16,1,IF($F9&gt;=الإعدادات!$B$17,2,3))))))</f>
        <v>0</v>
      </c>
    </row>
    <row r="10" spans="1:65" ht="21.75" customHeight="1">
      <c r="A10" s="49">
        <f>IF($BL10=0,"",4)</f>
        <v>4</v>
      </c>
      <c r="B10" s="50" t="str">
        <f>IF($BL10=0,"",INDEX('قاعدة البيانات'!$C$6:$C$305,$BL10))</f>
        <v>جوى جورج ثابت</v>
      </c>
      <c r="C10" s="51">
        <f t="shared" si="4"/>
        <v>0</v>
      </c>
      <c r="D10" s="52">
        <f t="shared" si="5"/>
        <v>0</v>
      </c>
      <c r="E10" s="53">
        <f t="shared" si="6"/>
        <v>0</v>
      </c>
      <c r="F10" s="54" t="str">
        <f t="shared" si="7"/>
        <v/>
      </c>
      <c r="G10" s="55">
        <f t="shared" si="8"/>
        <v>0</v>
      </c>
      <c r="H10" s="56" t="str">
        <f t="shared" si="9"/>
        <v>—</v>
      </c>
      <c r="I10" s="57" t="str">
        <f t="shared" si="10"/>
        <v>⏳ لسه مفيش حضور</v>
      </c>
      <c r="J10" s="58"/>
      <c r="K10" s="58"/>
      <c r="L10" s="58"/>
      <c r="M10" s="58"/>
      <c r="N10" s="58"/>
      <c r="O10" s="58"/>
      <c r="P10" s="58"/>
      <c r="Q10" s="58"/>
      <c r="R10" s="58"/>
      <c r="S10" s="58"/>
      <c r="T10" s="58"/>
      <c r="U10" s="58"/>
      <c r="V10" s="58"/>
      <c r="W10" s="58"/>
      <c r="X10" s="58"/>
      <c r="Y10" s="58"/>
      <c r="Z10" s="58"/>
      <c r="AA10" s="58"/>
      <c r="AB10" s="58"/>
      <c r="AC10" s="58"/>
      <c r="AD10" s="58"/>
      <c r="AE10" s="58"/>
      <c r="AF10" s="58"/>
      <c r="AG10" s="58"/>
      <c r="AH10" s="58"/>
      <c r="AI10" s="58"/>
      <c r="AJ10" s="58"/>
      <c r="AK10" s="58"/>
      <c r="AL10" s="58"/>
      <c r="AM10" s="58"/>
      <c r="AN10" s="58"/>
      <c r="AO10" s="58"/>
      <c r="AP10" s="58"/>
      <c r="AQ10" s="58"/>
      <c r="AR10" s="58"/>
      <c r="AS10" s="58"/>
      <c r="AT10" s="58"/>
      <c r="AU10" s="58"/>
      <c r="AV10" s="58"/>
      <c r="AW10" s="58"/>
      <c r="AX10" s="58"/>
      <c r="AY10" s="58"/>
      <c r="AZ10" s="58"/>
      <c r="BA10" s="58"/>
      <c r="BB10" s="58"/>
      <c r="BC10" s="58"/>
      <c r="BD10" s="58"/>
      <c r="BE10" s="58"/>
      <c r="BF10" s="58"/>
      <c r="BG10" s="58"/>
      <c r="BH10" s="58"/>
      <c r="BI10" s="58"/>
      <c r="BJ10" s="58"/>
      <c r="BL10">
        <f>IFERROR(MATCH(الإعدادات!$B$5&amp;"|"&amp;4,'قاعدة البيانات'!$N$6:$N$305,0),0)</f>
        <v>4</v>
      </c>
      <c r="BM10">
        <f>IF($BL10=0,0,IF(INDEX('قاعدة البيانات'!$M$6:$M$305,$BL10)="غير نشط",5,IF($F10="",0,IF($G10&gt;=الإعدادات!$B$18,4,IF($F10&gt;=الإعدادات!$B$16,1,IF($F10&gt;=الإعدادات!$B$17,2,3))))))</f>
        <v>0</v>
      </c>
    </row>
    <row r="11" spans="1:65" ht="21.75" customHeight="1">
      <c r="A11" s="49">
        <f>IF($BL11=0,"",5)</f>
        <v>5</v>
      </c>
      <c r="B11" s="50" t="str">
        <f>IF($BL11=0,"",INDEX('قاعدة البيانات'!$C$6:$C$305,$BL11))</f>
        <v>بارثينيا رامز منير شفيق</v>
      </c>
      <c r="C11" s="51">
        <f t="shared" si="4"/>
        <v>0</v>
      </c>
      <c r="D11" s="52">
        <f t="shared" si="5"/>
        <v>0</v>
      </c>
      <c r="E11" s="53">
        <f t="shared" si="6"/>
        <v>0</v>
      </c>
      <c r="F11" s="54" t="str">
        <f t="shared" si="7"/>
        <v/>
      </c>
      <c r="G11" s="55">
        <f t="shared" si="8"/>
        <v>0</v>
      </c>
      <c r="H11" s="56" t="str">
        <f t="shared" si="9"/>
        <v>—</v>
      </c>
      <c r="I11" s="57" t="str">
        <f t="shared" si="10"/>
        <v>⏳ لسه مفيش حضور</v>
      </c>
      <c r="J11" s="58"/>
      <c r="K11" s="58"/>
      <c r="L11" s="58"/>
      <c r="M11" s="58"/>
      <c r="N11" s="58"/>
      <c r="O11" s="58"/>
      <c r="P11" s="58"/>
      <c r="Q11" s="58"/>
      <c r="R11" s="58"/>
      <c r="S11" s="58"/>
      <c r="T11" s="58"/>
      <c r="U11" s="58"/>
      <c r="V11" s="58"/>
      <c r="W11" s="58"/>
      <c r="X11" s="58"/>
      <c r="Y11" s="58"/>
      <c r="Z11" s="58"/>
      <c r="AA11" s="58"/>
      <c r="AB11" s="58"/>
      <c r="AC11" s="58"/>
      <c r="AD11" s="58"/>
      <c r="AE11" s="58"/>
      <c r="AF11" s="58"/>
      <c r="AG11" s="58"/>
      <c r="AH11" s="58"/>
      <c r="AI11" s="58"/>
      <c r="AJ11" s="58"/>
      <c r="AK11" s="58"/>
      <c r="AL11" s="58"/>
      <c r="AM11" s="58"/>
      <c r="AN11" s="58"/>
      <c r="AO11" s="58"/>
      <c r="AP11" s="58"/>
      <c r="AQ11" s="58"/>
      <c r="AR11" s="58"/>
      <c r="AS11" s="58"/>
      <c r="AT11" s="58"/>
      <c r="AU11" s="58"/>
      <c r="AV11" s="58"/>
      <c r="AW11" s="58"/>
      <c r="AX11" s="58"/>
      <c r="AY11" s="58"/>
      <c r="AZ11" s="58"/>
      <c r="BA11" s="58"/>
      <c r="BB11" s="58"/>
      <c r="BC11" s="58"/>
      <c r="BD11" s="58"/>
      <c r="BE11" s="58"/>
      <c r="BF11" s="58"/>
      <c r="BG11" s="58"/>
      <c r="BH11" s="58"/>
      <c r="BI11" s="58"/>
      <c r="BJ11" s="58"/>
      <c r="BL11">
        <f>IFERROR(MATCH(الإعدادات!$B$5&amp;"|"&amp;5,'قاعدة البيانات'!$N$6:$N$305,0),0)</f>
        <v>5</v>
      </c>
      <c r="BM11">
        <f>IF($BL11=0,0,IF(INDEX('قاعدة البيانات'!$M$6:$M$305,$BL11)="غير نشط",5,IF($F11="",0,IF($G11&gt;=الإعدادات!$B$18,4,IF($F11&gt;=الإعدادات!$B$16,1,IF($F11&gt;=الإعدادات!$B$17,2,3))))))</f>
        <v>0</v>
      </c>
    </row>
    <row r="12" spans="1:65" ht="21.75" customHeight="1">
      <c r="A12" s="49">
        <f>IF($BL12=0,"",6)</f>
        <v>6</v>
      </c>
      <c r="B12" s="50" t="str">
        <f>IF($BL12=0,"",INDEX('قاعدة البيانات'!$C$6:$C$305,$BL12))</f>
        <v>مينا رفيق زكريا عبد الشهيد</v>
      </c>
      <c r="C12" s="51">
        <f t="shared" si="4"/>
        <v>0</v>
      </c>
      <c r="D12" s="52">
        <f t="shared" si="5"/>
        <v>0</v>
      </c>
      <c r="E12" s="53">
        <f t="shared" si="6"/>
        <v>0</v>
      </c>
      <c r="F12" s="54" t="str">
        <f t="shared" si="7"/>
        <v/>
      </c>
      <c r="G12" s="55">
        <f t="shared" si="8"/>
        <v>0</v>
      </c>
      <c r="H12" s="56" t="str">
        <f t="shared" si="9"/>
        <v>—</v>
      </c>
      <c r="I12" s="57" t="str">
        <f t="shared" si="10"/>
        <v>⏳ لسه مفيش حضور</v>
      </c>
      <c r="J12" s="58"/>
      <c r="K12" s="58"/>
      <c r="L12" s="58"/>
      <c r="M12" s="58"/>
      <c r="N12" s="58"/>
      <c r="O12" s="58"/>
      <c r="P12" s="58"/>
      <c r="Q12" s="58"/>
      <c r="R12" s="58"/>
      <c r="S12" s="58"/>
      <c r="T12" s="58"/>
      <c r="U12" s="58"/>
      <c r="V12" s="58"/>
      <c r="W12" s="58"/>
      <c r="X12" s="58"/>
      <c r="Y12" s="58"/>
      <c r="Z12" s="58"/>
      <c r="AA12" s="58"/>
      <c r="AB12" s="58"/>
      <c r="AC12" s="58"/>
      <c r="AD12" s="58"/>
      <c r="AE12" s="58"/>
      <c r="AF12" s="58"/>
      <c r="AG12" s="58"/>
      <c r="AH12" s="58"/>
      <c r="AI12" s="58"/>
      <c r="AJ12" s="58"/>
      <c r="AK12" s="58"/>
      <c r="AL12" s="58"/>
      <c r="AM12" s="58"/>
      <c r="AN12" s="58"/>
      <c r="AO12" s="58"/>
      <c r="AP12" s="58"/>
      <c r="AQ12" s="58"/>
      <c r="AR12" s="58"/>
      <c r="AS12" s="58"/>
      <c r="AT12" s="58"/>
      <c r="AU12" s="58"/>
      <c r="AV12" s="58"/>
      <c r="AW12" s="58"/>
      <c r="AX12" s="58"/>
      <c r="AY12" s="58"/>
      <c r="AZ12" s="58"/>
      <c r="BA12" s="58"/>
      <c r="BB12" s="58"/>
      <c r="BC12" s="58"/>
      <c r="BD12" s="58"/>
      <c r="BE12" s="58"/>
      <c r="BF12" s="58"/>
      <c r="BG12" s="58"/>
      <c r="BH12" s="58"/>
      <c r="BI12" s="58"/>
      <c r="BJ12" s="58"/>
      <c r="BL12">
        <f>IFERROR(MATCH(الإعدادات!$B$5&amp;"|"&amp;6,'قاعدة البيانات'!$N$6:$N$305,0),0)</f>
        <v>6</v>
      </c>
      <c r="BM12">
        <f>IF($BL12=0,0,IF(INDEX('قاعدة البيانات'!$M$6:$M$305,$BL12)="غير نشط",5,IF($F12="",0,IF($G12&gt;=الإعدادات!$B$18,4,IF($F12&gt;=الإعدادات!$B$16,1,IF($F12&gt;=الإعدادات!$B$17,2,3))))))</f>
        <v>0</v>
      </c>
    </row>
    <row r="13" spans="1:65" ht="21.75" customHeight="1">
      <c r="A13" s="49">
        <f>IF($BL13=0,"",7)</f>
        <v>7</v>
      </c>
      <c r="B13" s="50" t="str">
        <f>IF($BL13=0,"",INDEX('قاعدة البيانات'!$C$6:$C$305,$BL13))</f>
        <v>بولا غالى توفيق</v>
      </c>
      <c r="C13" s="51">
        <f t="shared" si="4"/>
        <v>0</v>
      </c>
      <c r="D13" s="52">
        <f t="shared" si="5"/>
        <v>0</v>
      </c>
      <c r="E13" s="53">
        <f t="shared" si="6"/>
        <v>0</v>
      </c>
      <c r="F13" s="54" t="str">
        <f t="shared" si="7"/>
        <v/>
      </c>
      <c r="G13" s="55">
        <f t="shared" si="8"/>
        <v>0</v>
      </c>
      <c r="H13" s="56" t="str">
        <f t="shared" si="9"/>
        <v>—</v>
      </c>
      <c r="I13" s="57" t="str">
        <f t="shared" si="10"/>
        <v>⏳ لسه مفيش حضور</v>
      </c>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c r="AQ13" s="58"/>
      <c r="AR13" s="58"/>
      <c r="AS13" s="58"/>
      <c r="AT13" s="58"/>
      <c r="AU13" s="58"/>
      <c r="AV13" s="58"/>
      <c r="AW13" s="58"/>
      <c r="AX13" s="58"/>
      <c r="AY13" s="58"/>
      <c r="AZ13" s="58"/>
      <c r="BA13" s="58"/>
      <c r="BB13" s="58"/>
      <c r="BC13" s="58"/>
      <c r="BD13" s="58"/>
      <c r="BE13" s="58"/>
      <c r="BF13" s="58"/>
      <c r="BG13" s="58"/>
      <c r="BH13" s="58"/>
      <c r="BI13" s="58"/>
      <c r="BJ13" s="58"/>
      <c r="BL13">
        <f>IFERROR(MATCH(الإعدادات!$B$5&amp;"|"&amp;7,'قاعدة البيانات'!$N$6:$N$305,0),0)</f>
        <v>7</v>
      </c>
      <c r="BM13">
        <f>IF($BL13=0,0,IF(INDEX('قاعدة البيانات'!$M$6:$M$305,$BL13)="غير نشط",5,IF($F13="",0,IF($G13&gt;=الإعدادات!$B$18,4,IF($F13&gt;=الإعدادات!$B$16,1,IF($F13&gt;=الإعدادات!$B$17,2,3))))))</f>
        <v>0</v>
      </c>
    </row>
    <row r="14" spans="1:65" ht="21.75" customHeight="1">
      <c r="A14" s="49">
        <f>IF($BL14=0,"",8)</f>
        <v>8</v>
      </c>
      <c r="B14" s="50" t="str">
        <f>IF($BL14=0,"",INDEX('قاعدة البيانات'!$C$6:$C$305,$BL14))</f>
        <v>ماري جرجس اسحق عطا الله</v>
      </c>
      <c r="C14" s="51">
        <f t="shared" si="4"/>
        <v>0</v>
      </c>
      <c r="D14" s="52">
        <f t="shared" si="5"/>
        <v>0</v>
      </c>
      <c r="E14" s="53">
        <f t="shared" si="6"/>
        <v>0</v>
      </c>
      <c r="F14" s="54" t="str">
        <f t="shared" si="7"/>
        <v/>
      </c>
      <c r="G14" s="55">
        <f t="shared" si="8"/>
        <v>0</v>
      </c>
      <c r="H14" s="56" t="str">
        <f t="shared" si="9"/>
        <v>—</v>
      </c>
      <c r="I14" s="57" t="str">
        <f t="shared" si="10"/>
        <v>⏳ لسه مفيش حضور</v>
      </c>
      <c r="J14" s="58"/>
      <c r="K14" s="58"/>
      <c r="L14" s="58"/>
      <c r="M14" s="58"/>
      <c r="N14" s="58"/>
      <c r="O14" s="58"/>
      <c r="P14" s="58"/>
      <c r="Q14" s="58"/>
      <c r="R14" s="58"/>
      <c r="S14" s="58"/>
      <c r="T14" s="58"/>
      <c r="U14" s="58"/>
      <c r="V14" s="58"/>
      <c r="W14" s="58"/>
      <c r="X14" s="58"/>
      <c r="Y14" s="58"/>
      <c r="Z14" s="58"/>
      <c r="AA14" s="58"/>
      <c r="AB14" s="58"/>
      <c r="AC14" s="58"/>
      <c r="AD14" s="58"/>
      <c r="AE14" s="58"/>
      <c r="AF14" s="58"/>
      <c r="AG14" s="58"/>
      <c r="AH14" s="58"/>
      <c r="AI14" s="58"/>
      <c r="AJ14" s="58"/>
      <c r="AK14" s="58"/>
      <c r="AL14" s="58"/>
      <c r="AM14" s="58"/>
      <c r="AN14" s="58"/>
      <c r="AO14" s="58"/>
      <c r="AP14" s="58"/>
      <c r="AQ14" s="58"/>
      <c r="AR14" s="58"/>
      <c r="AS14" s="58"/>
      <c r="AT14" s="58"/>
      <c r="AU14" s="58"/>
      <c r="AV14" s="58"/>
      <c r="AW14" s="58"/>
      <c r="AX14" s="58"/>
      <c r="AY14" s="58"/>
      <c r="AZ14" s="58"/>
      <c r="BA14" s="58"/>
      <c r="BB14" s="58"/>
      <c r="BC14" s="58"/>
      <c r="BD14" s="58"/>
      <c r="BE14" s="58"/>
      <c r="BF14" s="58"/>
      <c r="BG14" s="58"/>
      <c r="BH14" s="58"/>
      <c r="BI14" s="58"/>
      <c r="BJ14" s="58"/>
      <c r="BL14">
        <f>IFERROR(MATCH(الإعدادات!$B$5&amp;"|"&amp;8,'قاعدة البيانات'!$N$6:$N$305,0),0)</f>
        <v>8</v>
      </c>
      <c r="BM14">
        <f>IF($BL14=0,0,IF(INDEX('قاعدة البيانات'!$M$6:$M$305,$BL14)="غير نشط",5,IF($F14="",0,IF($G14&gt;=الإعدادات!$B$18,4,IF($F14&gt;=الإعدادات!$B$16,1,IF($F14&gt;=الإعدادات!$B$17,2,3))))))</f>
        <v>0</v>
      </c>
    </row>
    <row r="15" spans="1:65" ht="21.75" customHeight="1">
      <c r="A15" s="49">
        <f>IF($BL15=0,"",9)</f>
        <v>9</v>
      </c>
      <c r="B15" s="50" t="str">
        <f>IF($BL15=0,"",INDEX('قاعدة البيانات'!$C$6:$C$305,$BL15))</f>
        <v>بيشوى سمير ميخائيل فيلته</v>
      </c>
      <c r="C15" s="51">
        <f t="shared" si="4"/>
        <v>0</v>
      </c>
      <c r="D15" s="52">
        <f t="shared" si="5"/>
        <v>0</v>
      </c>
      <c r="E15" s="53">
        <f t="shared" si="6"/>
        <v>0</v>
      </c>
      <c r="F15" s="54" t="str">
        <f t="shared" si="7"/>
        <v/>
      </c>
      <c r="G15" s="55">
        <f t="shared" si="8"/>
        <v>0</v>
      </c>
      <c r="H15" s="56" t="str">
        <f t="shared" si="9"/>
        <v>—</v>
      </c>
      <c r="I15" s="57" t="str">
        <f t="shared" si="10"/>
        <v>⏳ لسه مفيش حضور</v>
      </c>
      <c r="J15" s="58"/>
      <c r="K15" s="58"/>
      <c r="L15" s="58"/>
      <c r="M15" s="58"/>
      <c r="N15" s="58"/>
      <c r="O15" s="58"/>
      <c r="P15" s="58"/>
      <c r="Q15" s="58"/>
      <c r="R15" s="58"/>
      <c r="S15" s="58"/>
      <c r="T15" s="58"/>
      <c r="U15" s="58"/>
      <c r="V15" s="58"/>
      <c r="W15" s="58"/>
      <c r="X15" s="58"/>
      <c r="Y15" s="58"/>
      <c r="Z15" s="58"/>
      <c r="AA15" s="58"/>
      <c r="AB15" s="58"/>
      <c r="AC15" s="58"/>
      <c r="AD15" s="58"/>
      <c r="AE15" s="58"/>
      <c r="AF15" s="58"/>
      <c r="AG15" s="58"/>
      <c r="AH15" s="58"/>
      <c r="AI15" s="58"/>
      <c r="AJ15" s="58"/>
      <c r="AK15" s="58"/>
      <c r="AL15" s="58"/>
      <c r="AM15" s="58"/>
      <c r="AN15" s="58"/>
      <c r="AO15" s="58"/>
      <c r="AP15" s="58"/>
      <c r="AQ15" s="58"/>
      <c r="AR15" s="58"/>
      <c r="AS15" s="58"/>
      <c r="AT15" s="58"/>
      <c r="AU15" s="58"/>
      <c r="AV15" s="58"/>
      <c r="AW15" s="58"/>
      <c r="AX15" s="58"/>
      <c r="AY15" s="58"/>
      <c r="AZ15" s="58"/>
      <c r="BA15" s="58"/>
      <c r="BB15" s="58"/>
      <c r="BC15" s="58"/>
      <c r="BD15" s="58"/>
      <c r="BE15" s="58"/>
      <c r="BF15" s="58"/>
      <c r="BG15" s="58"/>
      <c r="BH15" s="58"/>
      <c r="BI15" s="58"/>
      <c r="BJ15" s="58"/>
      <c r="BL15">
        <f>IFERROR(MATCH(الإعدادات!$B$5&amp;"|"&amp;9,'قاعدة البيانات'!$N$6:$N$305,0),0)</f>
        <v>9</v>
      </c>
      <c r="BM15">
        <f>IF($BL15=0,0,IF(INDEX('قاعدة البيانات'!$M$6:$M$305,$BL15)="غير نشط",5,IF($F15="",0,IF($G15&gt;=الإعدادات!$B$18,4,IF($F15&gt;=الإعدادات!$B$16,1,IF($F15&gt;=الإعدادات!$B$17,2,3))))))</f>
        <v>0</v>
      </c>
    </row>
    <row r="16" spans="1:65" ht="21.75" customHeight="1">
      <c r="A16" s="49">
        <f>IF($BL16=0,"",10)</f>
        <v>10</v>
      </c>
      <c r="B16" s="50" t="str">
        <f>IF($BL16=0,"",INDEX('قاعدة البيانات'!$C$6:$C$305,$BL16))</f>
        <v>دانييلا توفيق شوقي</v>
      </c>
      <c r="C16" s="51">
        <f t="shared" si="4"/>
        <v>0</v>
      </c>
      <c r="D16" s="52">
        <f t="shared" si="5"/>
        <v>0</v>
      </c>
      <c r="E16" s="53">
        <f t="shared" si="6"/>
        <v>0</v>
      </c>
      <c r="F16" s="54" t="str">
        <f t="shared" si="7"/>
        <v/>
      </c>
      <c r="G16" s="55">
        <f t="shared" si="8"/>
        <v>0</v>
      </c>
      <c r="H16" s="56" t="str">
        <f t="shared" si="9"/>
        <v>—</v>
      </c>
      <c r="I16" s="57" t="str">
        <f t="shared" si="10"/>
        <v>⏳ لسه مفيش حضور</v>
      </c>
      <c r="J16" s="58"/>
      <c r="K16" s="58"/>
      <c r="L16" s="58"/>
      <c r="M16" s="58"/>
      <c r="N16" s="58"/>
      <c r="O16" s="58"/>
      <c r="P16" s="58"/>
      <c r="Q16" s="58"/>
      <c r="R16" s="58"/>
      <c r="S16" s="58"/>
      <c r="T16" s="58"/>
      <c r="U16" s="58"/>
      <c r="V16" s="58"/>
      <c r="W16" s="58"/>
      <c r="X16" s="58"/>
      <c r="Y16" s="58"/>
      <c r="Z16" s="58"/>
      <c r="AA16" s="58"/>
      <c r="AB16" s="58"/>
      <c r="AC16" s="58"/>
      <c r="AD16" s="58"/>
      <c r="AE16" s="58"/>
      <c r="AF16" s="58"/>
      <c r="AG16" s="58"/>
      <c r="AH16" s="58"/>
      <c r="AI16" s="58"/>
      <c r="AJ16" s="58"/>
      <c r="AK16" s="58"/>
      <c r="AL16" s="58"/>
      <c r="AM16" s="58"/>
      <c r="AN16" s="58"/>
      <c r="AO16" s="58"/>
      <c r="AP16" s="58"/>
      <c r="AQ16" s="58"/>
      <c r="AR16" s="58"/>
      <c r="AS16" s="58"/>
      <c r="AT16" s="58"/>
      <c r="AU16" s="58"/>
      <c r="AV16" s="58"/>
      <c r="AW16" s="58"/>
      <c r="AX16" s="58"/>
      <c r="AY16" s="58"/>
      <c r="AZ16" s="58"/>
      <c r="BA16" s="58"/>
      <c r="BB16" s="58"/>
      <c r="BC16" s="58"/>
      <c r="BD16" s="58"/>
      <c r="BE16" s="58"/>
      <c r="BF16" s="58"/>
      <c r="BG16" s="58"/>
      <c r="BH16" s="58"/>
      <c r="BI16" s="58"/>
      <c r="BJ16" s="58"/>
      <c r="BL16">
        <f>IFERROR(MATCH(الإعدادات!$B$5&amp;"|"&amp;10,'قاعدة البيانات'!$N$6:$N$305,0),0)</f>
        <v>10</v>
      </c>
      <c r="BM16">
        <f>IF($BL16=0,0,IF(INDEX('قاعدة البيانات'!$M$6:$M$305,$BL16)="غير نشط",5,IF($F16="",0,IF($G16&gt;=الإعدادات!$B$18,4,IF($F16&gt;=الإعدادات!$B$16,1,IF($F16&gt;=الإعدادات!$B$17,2,3))))))</f>
        <v>0</v>
      </c>
    </row>
    <row r="17" spans="1:65" ht="21.75" customHeight="1">
      <c r="A17" s="49">
        <f>IF($BL17=0,"",11)</f>
        <v>11</v>
      </c>
      <c r="B17" s="50" t="str">
        <f>IF($BL17=0,"",INDEX('قاعدة البيانات'!$C$6:$C$305,$BL17))</f>
        <v>بولا ابانوب كرم شلبى</v>
      </c>
      <c r="C17" s="51">
        <f t="shared" si="4"/>
        <v>0</v>
      </c>
      <c r="D17" s="52">
        <f t="shared" si="5"/>
        <v>0</v>
      </c>
      <c r="E17" s="53">
        <f t="shared" si="6"/>
        <v>0</v>
      </c>
      <c r="F17" s="54" t="str">
        <f t="shared" si="7"/>
        <v/>
      </c>
      <c r="G17" s="55">
        <f t="shared" si="8"/>
        <v>0</v>
      </c>
      <c r="H17" s="56" t="str">
        <f t="shared" si="9"/>
        <v>—</v>
      </c>
      <c r="I17" s="57" t="str">
        <f t="shared" si="10"/>
        <v>⏳ لسه مفيش حضور</v>
      </c>
      <c r="J17" s="58"/>
      <c r="K17" s="58"/>
      <c r="L17" s="58"/>
      <c r="M17" s="58"/>
      <c r="N17" s="58"/>
      <c r="O17" s="58"/>
      <c r="P17" s="58"/>
      <c r="Q17" s="58"/>
      <c r="R17" s="58"/>
      <c r="S17" s="58"/>
      <c r="T17" s="58"/>
      <c r="U17" s="58"/>
      <c r="V17" s="58"/>
      <c r="W17" s="58"/>
      <c r="X17" s="58"/>
      <c r="Y17" s="58"/>
      <c r="Z17" s="58"/>
      <c r="AA17" s="58"/>
      <c r="AB17" s="58"/>
      <c r="AC17" s="58"/>
      <c r="AD17" s="58"/>
      <c r="AE17" s="58"/>
      <c r="AF17" s="58"/>
      <c r="AG17" s="58"/>
      <c r="AH17" s="58"/>
      <c r="AI17" s="58"/>
      <c r="AJ17" s="58"/>
      <c r="AK17" s="58"/>
      <c r="AL17" s="58"/>
      <c r="AM17" s="58"/>
      <c r="AN17" s="58"/>
      <c r="AO17" s="58"/>
      <c r="AP17" s="58"/>
      <c r="AQ17" s="58"/>
      <c r="AR17" s="58"/>
      <c r="AS17" s="58"/>
      <c r="AT17" s="58"/>
      <c r="AU17" s="58"/>
      <c r="AV17" s="58"/>
      <c r="AW17" s="58"/>
      <c r="AX17" s="58"/>
      <c r="AY17" s="58"/>
      <c r="AZ17" s="58"/>
      <c r="BA17" s="58"/>
      <c r="BB17" s="58"/>
      <c r="BC17" s="58"/>
      <c r="BD17" s="58"/>
      <c r="BE17" s="58"/>
      <c r="BF17" s="58"/>
      <c r="BG17" s="58"/>
      <c r="BH17" s="58"/>
      <c r="BI17" s="58"/>
      <c r="BJ17" s="58"/>
      <c r="BL17">
        <f>IFERROR(MATCH(الإعدادات!$B$5&amp;"|"&amp;11,'قاعدة البيانات'!$N$6:$N$305,0),0)</f>
        <v>11</v>
      </c>
      <c r="BM17">
        <f>IF($BL17=0,0,IF(INDEX('قاعدة البيانات'!$M$6:$M$305,$BL17)="غير نشط",5,IF($F17="",0,IF($G17&gt;=الإعدادات!$B$18,4,IF($F17&gt;=الإعدادات!$B$16,1,IF($F17&gt;=الإعدادات!$B$17,2,3))))))</f>
        <v>0</v>
      </c>
    </row>
    <row r="18" spans="1:65" ht="21.75" customHeight="1">
      <c r="A18" s="49">
        <f>IF($BL18=0,"",12)</f>
        <v>12</v>
      </c>
      <c r="B18" s="50" t="str">
        <f>IF($BL18=0,"",INDEX('قاعدة البيانات'!$C$6:$C$305,$BL18))</f>
        <v>دولوريس جوزيف رزق الله</v>
      </c>
      <c r="C18" s="51">
        <f t="shared" si="4"/>
        <v>0</v>
      </c>
      <c r="D18" s="52">
        <f t="shared" si="5"/>
        <v>0</v>
      </c>
      <c r="E18" s="53">
        <f t="shared" si="6"/>
        <v>0</v>
      </c>
      <c r="F18" s="54" t="str">
        <f t="shared" si="7"/>
        <v/>
      </c>
      <c r="G18" s="55">
        <f t="shared" si="8"/>
        <v>0</v>
      </c>
      <c r="H18" s="56" t="str">
        <f t="shared" si="9"/>
        <v>—</v>
      </c>
      <c r="I18" s="57" t="str">
        <f t="shared" si="10"/>
        <v>⏳ لسه مفيش حضور</v>
      </c>
      <c r="J18" s="58"/>
      <c r="K18" s="58"/>
      <c r="L18" s="58"/>
      <c r="M18" s="58"/>
      <c r="N18" s="58"/>
      <c r="O18" s="58"/>
      <c r="P18" s="58"/>
      <c r="Q18" s="58"/>
      <c r="R18" s="58"/>
      <c r="S18" s="58"/>
      <c r="T18" s="58"/>
      <c r="U18" s="58"/>
      <c r="V18" s="58"/>
      <c r="W18" s="58"/>
      <c r="X18" s="58"/>
      <c r="Y18" s="58"/>
      <c r="Z18" s="58"/>
      <c r="AA18" s="58"/>
      <c r="AB18" s="58"/>
      <c r="AC18" s="58"/>
      <c r="AD18" s="58"/>
      <c r="AE18" s="58"/>
      <c r="AF18" s="58"/>
      <c r="AG18" s="58"/>
      <c r="AH18" s="58"/>
      <c r="AI18" s="58"/>
      <c r="AJ18" s="58"/>
      <c r="AK18" s="58"/>
      <c r="AL18" s="58"/>
      <c r="AM18" s="58"/>
      <c r="AN18" s="58"/>
      <c r="AO18" s="58"/>
      <c r="AP18" s="58"/>
      <c r="AQ18" s="58"/>
      <c r="AR18" s="58"/>
      <c r="AS18" s="58"/>
      <c r="AT18" s="58"/>
      <c r="AU18" s="58"/>
      <c r="AV18" s="58"/>
      <c r="AW18" s="58"/>
      <c r="AX18" s="58"/>
      <c r="AY18" s="58"/>
      <c r="AZ18" s="58"/>
      <c r="BA18" s="58"/>
      <c r="BB18" s="58"/>
      <c r="BC18" s="58"/>
      <c r="BD18" s="58"/>
      <c r="BE18" s="58"/>
      <c r="BF18" s="58"/>
      <c r="BG18" s="58"/>
      <c r="BH18" s="58"/>
      <c r="BI18" s="58"/>
      <c r="BJ18" s="58"/>
      <c r="BL18">
        <f>IFERROR(MATCH(الإعدادات!$B$5&amp;"|"&amp;12,'قاعدة البيانات'!$N$6:$N$305,0),0)</f>
        <v>12</v>
      </c>
      <c r="BM18">
        <f>IF($BL18=0,0,IF(INDEX('قاعدة البيانات'!$M$6:$M$305,$BL18)="غير نشط",5,IF($F18="",0,IF($G18&gt;=الإعدادات!$B$18,4,IF($F18&gt;=الإعدادات!$B$16,1,IF($F18&gt;=الإعدادات!$B$17,2,3))))))</f>
        <v>0</v>
      </c>
    </row>
    <row r="19" spans="1:65" ht="21.75" customHeight="1">
      <c r="A19" s="49">
        <f>IF($BL19=0,"",13)</f>
        <v>13</v>
      </c>
      <c r="B19" s="50" t="str">
        <f>IF($BL19=0,"",INDEX('قاعدة البيانات'!$C$6:$C$305,$BL19))</f>
        <v>جاستن مينا عبد السيد عطيه</v>
      </c>
      <c r="C19" s="51">
        <f t="shared" si="4"/>
        <v>0</v>
      </c>
      <c r="D19" s="52">
        <f t="shared" si="5"/>
        <v>0</v>
      </c>
      <c r="E19" s="53">
        <f t="shared" si="6"/>
        <v>0</v>
      </c>
      <c r="F19" s="54" t="str">
        <f t="shared" si="7"/>
        <v/>
      </c>
      <c r="G19" s="55">
        <f t="shared" si="8"/>
        <v>0</v>
      </c>
      <c r="H19" s="56" t="str">
        <f t="shared" si="9"/>
        <v>—</v>
      </c>
      <c r="I19" s="57" t="str">
        <f t="shared" si="10"/>
        <v>⏳ لسه مفيش حضور</v>
      </c>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c r="AQ19" s="58"/>
      <c r="AR19" s="58"/>
      <c r="AS19" s="58"/>
      <c r="AT19" s="58"/>
      <c r="AU19" s="58"/>
      <c r="AV19" s="58"/>
      <c r="AW19" s="58"/>
      <c r="AX19" s="58"/>
      <c r="AY19" s="58"/>
      <c r="AZ19" s="58"/>
      <c r="BA19" s="58"/>
      <c r="BB19" s="58"/>
      <c r="BC19" s="58"/>
      <c r="BD19" s="58"/>
      <c r="BE19" s="58"/>
      <c r="BF19" s="58"/>
      <c r="BG19" s="58"/>
      <c r="BH19" s="58"/>
      <c r="BI19" s="58"/>
      <c r="BJ19" s="58"/>
      <c r="BL19">
        <f>IFERROR(MATCH(الإعدادات!$B$5&amp;"|"&amp;13,'قاعدة البيانات'!$N$6:$N$305,0),0)</f>
        <v>13</v>
      </c>
      <c r="BM19">
        <f>IF($BL19=0,0,IF(INDEX('قاعدة البيانات'!$M$6:$M$305,$BL19)="غير نشط",5,IF($F19="",0,IF($G19&gt;=الإعدادات!$B$18,4,IF($F19&gt;=الإعدادات!$B$16,1,IF($F19&gt;=الإعدادات!$B$17,2,3))))))</f>
        <v>0</v>
      </c>
    </row>
    <row r="20" spans="1:65" ht="21.75" customHeight="1">
      <c r="A20" s="49">
        <f>IF($BL20=0,"",14)</f>
        <v>14</v>
      </c>
      <c r="B20" s="50" t="str">
        <f>IF($BL20=0,"",INDEX('قاعدة البيانات'!$C$6:$C$305,$BL20))</f>
        <v>جانا عبادى يوسف عبادى</v>
      </c>
      <c r="C20" s="51">
        <f t="shared" si="4"/>
        <v>0</v>
      </c>
      <c r="D20" s="52">
        <f t="shared" si="5"/>
        <v>0</v>
      </c>
      <c r="E20" s="53">
        <f t="shared" si="6"/>
        <v>0</v>
      </c>
      <c r="F20" s="54" t="str">
        <f t="shared" si="7"/>
        <v/>
      </c>
      <c r="G20" s="55">
        <f t="shared" si="8"/>
        <v>0</v>
      </c>
      <c r="H20" s="56" t="str">
        <f t="shared" si="9"/>
        <v>—</v>
      </c>
      <c r="I20" s="57" t="str">
        <f t="shared" si="10"/>
        <v>⏳ لسه مفيش حضور</v>
      </c>
      <c r="J20" s="58"/>
      <c r="K20" s="58"/>
      <c r="L20" s="58"/>
      <c r="M20" s="58"/>
      <c r="N20" s="58"/>
      <c r="O20" s="58"/>
      <c r="P20" s="58"/>
      <c r="Q20" s="58"/>
      <c r="R20" s="58"/>
      <c r="S20" s="58"/>
      <c r="T20" s="58"/>
      <c r="U20" s="58"/>
      <c r="V20" s="58"/>
      <c r="W20" s="58"/>
      <c r="X20" s="58"/>
      <c r="Y20" s="58"/>
      <c r="Z20" s="58"/>
      <c r="AA20" s="58"/>
      <c r="AB20" s="58"/>
      <c r="AC20" s="58"/>
      <c r="AD20" s="58"/>
      <c r="AE20" s="58"/>
      <c r="AF20" s="58"/>
      <c r="AG20" s="58"/>
      <c r="AH20" s="58"/>
      <c r="AI20" s="58"/>
      <c r="AJ20" s="58"/>
      <c r="AK20" s="58"/>
      <c r="AL20" s="58"/>
      <c r="AM20" s="58"/>
      <c r="AN20" s="58"/>
      <c r="AO20" s="58"/>
      <c r="AP20" s="58"/>
      <c r="AQ20" s="58"/>
      <c r="AR20" s="58"/>
      <c r="AS20" s="58"/>
      <c r="AT20" s="58"/>
      <c r="AU20" s="58"/>
      <c r="AV20" s="58"/>
      <c r="AW20" s="58"/>
      <c r="AX20" s="58"/>
      <c r="AY20" s="58"/>
      <c r="AZ20" s="58"/>
      <c r="BA20" s="58"/>
      <c r="BB20" s="58"/>
      <c r="BC20" s="58"/>
      <c r="BD20" s="58"/>
      <c r="BE20" s="58"/>
      <c r="BF20" s="58"/>
      <c r="BG20" s="58"/>
      <c r="BH20" s="58"/>
      <c r="BI20" s="58"/>
      <c r="BJ20" s="58"/>
      <c r="BL20">
        <f>IFERROR(MATCH(الإعدادات!$B$5&amp;"|"&amp;14,'قاعدة البيانات'!$N$6:$N$305,0),0)</f>
        <v>14</v>
      </c>
      <c r="BM20">
        <f>IF($BL20=0,0,IF(INDEX('قاعدة البيانات'!$M$6:$M$305,$BL20)="غير نشط",5,IF($F20="",0,IF($G20&gt;=الإعدادات!$B$18,4,IF($F20&gt;=الإعدادات!$B$16,1,IF($F20&gt;=الإعدادات!$B$17,2,3))))))</f>
        <v>0</v>
      </c>
    </row>
    <row r="21" spans="1:65" ht="21.75" customHeight="1">
      <c r="A21" s="49">
        <f>IF($BL21=0,"",15)</f>
        <v>15</v>
      </c>
      <c r="B21" s="50" t="str">
        <f>IF($BL21=0,"",INDEX('قاعدة البيانات'!$C$6:$C$305,$BL21))</f>
        <v>يوسف ميلاد رسمى بقطر</v>
      </c>
      <c r="C21" s="51">
        <f t="shared" si="4"/>
        <v>0</v>
      </c>
      <c r="D21" s="52">
        <f t="shared" si="5"/>
        <v>0</v>
      </c>
      <c r="E21" s="53">
        <f t="shared" si="6"/>
        <v>0</v>
      </c>
      <c r="F21" s="54" t="str">
        <f t="shared" si="7"/>
        <v/>
      </c>
      <c r="G21" s="55">
        <f t="shared" si="8"/>
        <v>0</v>
      </c>
      <c r="H21" s="56" t="str">
        <f t="shared" si="9"/>
        <v>—</v>
      </c>
      <c r="I21" s="57" t="str">
        <f t="shared" si="10"/>
        <v>⏳ لسه مفيش حضور</v>
      </c>
      <c r="J21" s="58"/>
      <c r="K21" s="58"/>
      <c r="L21" s="58"/>
      <c r="M21" s="58"/>
      <c r="N21" s="58"/>
      <c r="O21" s="58"/>
      <c r="P21" s="58"/>
      <c r="Q21" s="58"/>
      <c r="R21" s="58"/>
      <c r="S21" s="58"/>
      <c r="T21" s="58"/>
      <c r="U21" s="58"/>
      <c r="V21" s="58"/>
      <c r="W21" s="58"/>
      <c r="X21" s="58"/>
      <c r="Y21" s="58"/>
      <c r="Z21" s="58"/>
      <c r="AA21" s="58"/>
      <c r="AB21" s="58"/>
      <c r="AC21" s="58"/>
      <c r="AD21" s="58"/>
      <c r="AE21" s="58"/>
      <c r="AF21" s="58"/>
      <c r="AG21" s="58"/>
      <c r="AH21" s="58"/>
      <c r="AI21" s="58"/>
      <c r="AJ21" s="58"/>
      <c r="AK21" s="58"/>
      <c r="AL21" s="58"/>
      <c r="AM21" s="58"/>
      <c r="AN21" s="58"/>
      <c r="AO21" s="58"/>
      <c r="AP21" s="58"/>
      <c r="AQ21" s="58"/>
      <c r="AR21" s="58"/>
      <c r="AS21" s="58"/>
      <c r="AT21" s="58"/>
      <c r="AU21" s="58"/>
      <c r="AV21" s="58"/>
      <c r="AW21" s="58"/>
      <c r="AX21" s="58"/>
      <c r="AY21" s="58"/>
      <c r="AZ21" s="58"/>
      <c r="BA21" s="58"/>
      <c r="BB21" s="58"/>
      <c r="BC21" s="58"/>
      <c r="BD21" s="58"/>
      <c r="BE21" s="58"/>
      <c r="BF21" s="58"/>
      <c r="BG21" s="58"/>
      <c r="BH21" s="58"/>
      <c r="BI21" s="58"/>
      <c r="BJ21" s="58"/>
      <c r="BL21">
        <f>IFERROR(MATCH(الإعدادات!$B$5&amp;"|"&amp;15,'قاعدة البيانات'!$N$6:$N$305,0),0)</f>
        <v>15</v>
      </c>
      <c r="BM21">
        <f>IF($BL21=0,0,IF(INDEX('قاعدة البيانات'!$M$6:$M$305,$BL21)="غير نشط",5,IF($F21="",0,IF($G21&gt;=الإعدادات!$B$18,4,IF($F21&gt;=الإعدادات!$B$16,1,IF($F21&gt;=الإعدادات!$B$17,2,3))))))</f>
        <v>0</v>
      </c>
    </row>
    <row r="22" spans="1:65" ht="21.75" customHeight="1">
      <c r="A22" s="49">
        <f>IF($BL22=0,"",16)</f>
        <v>16</v>
      </c>
      <c r="B22" s="50" t="str">
        <f>IF($BL22=0,"",INDEX('قاعدة البيانات'!$C$6:$C$305,$BL22))</f>
        <v>ايرينى ريمون حنا</v>
      </c>
      <c r="C22" s="51">
        <f t="shared" si="4"/>
        <v>0</v>
      </c>
      <c r="D22" s="52">
        <f t="shared" si="5"/>
        <v>0</v>
      </c>
      <c r="E22" s="53">
        <f t="shared" si="6"/>
        <v>0</v>
      </c>
      <c r="F22" s="54" t="str">
        <f t="shared" si="7"/>
        <v/>
      </c>
      <c r="G22" s="55">
        <f t="shared" si="8"/>
        <v>0</v>
      </c>
      <c r="H22" s="56" t="str">
        <f t="shared" si="9"/>
        <v>—</v>
      </c>
      <c r="I22" s="57" t="str">
        <f t="shared" si="10"/>
        <v>⏳ لسه مفيش حضور</v>
      </c>
      <c r="J22" s="58"/>
      <c r="K22" s="58"/>
      <c r="L22" s="58"/>
      <c r="M22" s="58"/>
      <c r="N22" s="58"/>
      <c r="O22" s="58"/>
      <c r="P22" s="58"/>
      <c r="Q22" s="58"/>
      <c r="R22" s="58"/>
      <c r="S22" s="58"/>
      <c r="T22" s="58"/>
      <c r="U22" s="58"/>
      <c r="V22" s="58"/>
      <c r="W22" s="58"/>
      <c r="X22" s="58"/>
      <c r="Y22" s="58"/>
      <c r="Z22" s="58"/>
      <c r="AA22" s="58"/>
      <c r="AB22" s="58"/>
      <c r="AC22" s="58"/>
      <c r="AD22" s="58"/>
      <c r="AE22" s="58"/>
      <c r="AF22" s="58"/>
      <c r="AG22" s="58"/>
      <c r="AH22" s="58"/>
      <c r="AI22" s="58"/>
      <c r="AJ22" s="58"/>
      <c r="AK22" s="58"/>
      <c r="AL22" s="58"/>
      <c r="AM22" s="58"/>
      <c r="AN22" s="58"/>
      <c r="AO22" s="58"/>
      <c r="AP22" s="58"/>
      <c r="AQ22" s="58"/>
      <c r="AR22" s="58"/>
      <c r="AS22" s="58"/>
      <c r="AT22" s="58"/>
      <c r="AU22" s="58"/>
      <c r="AV22" s="58"/>
      <c r="AW22" s="58"/>
      <c r="AX22" s="58"/>
      <c r="AY22" s="58"/>
      <c r="AZ22" s="58"/>
      <c r="BA22" s="58"/>
      <c r="BB22" s="58"/>
      <c r="BC22" s="58"/>
      <c r="BD22" s="58"/>
      <c r="BE22" s="58"/>
      <c r="BF22" s="58"/>
      <c r="BG22" s="58"/>
      <c r="BH22" s="58"/>
      <c r="BI22" s="58"/>
      <c r="BJ22" s="58"/>
      <c r="BL22">
        <f>IFERROR(MATCH(الإعدادات!$B$5&amp;"|"&amp;16,'قاعدة البيانات'!$N$6:$N$305,0),0)</f>
        <v>16</v>
      </c>
      <c r="BM22">
        <f>IF($BL22=0,0,IF(INDEX('قاعدة البيانات'!$M$6:$M$305,$BL22)="غير نشط",5,IF($F22="",0,IF($G22&gt;=الإعدادات!$B$18,4,IF($F22&gt;=الإعدادات!$B$16,1,IF($F22&gt;=الإعدادات!$B$17,2,3))))))</f>
        <v>0</v>
      </c>
    </row>
    <row r="23" spans="1:65" ht="21.75" customHeight="1">
      <c r="A23" s="49">
        <f>IF($BL23=0,"",17)</f>
        <v>17</v>
      </c>
      <c r="B23" s="50" t="str">
        <f>IF($BL23=0,"",INDEX('قاعدة البيانات'!$C$6:$C$305,$BL23))</f>
        <v>يوستينا سامي عريان سامى فرج</v>
      </c>
      <c r="C23" s="51">
        <f t="shared" si="4"/>
        <v>0</v>
      </c>
      <c r="D23" s="52">
        <f t="shared" si="5"/>
        <v>0</v>
      </c>
      <c r="E23" s="53">
        <f t="shared" si="6"/>
        <v>0</v>
      </c>
      <c r="F23" s="54" t="str">
        <f t="shared" si="7"/>
        <v/>
      </c>
      <c r="G23" s="55">
        <f t="shared" si="8"/>
        <v>0</v>
      </c>
      <c r="H23" s="56" t="str">
        <f t="shared" si="9"/>
        <v>—</v>
      </c>
      <c r="I23" s="57" t="str">
        <f t="shared" si="10"/>
        <v>⏳ لسه مفيش حضور</v>
      </c>
      <c r="J23" s="58"/>
      <c r="K23" s="58"/>
      <c r="L23" s="58"/>
      <c r="M23" s="58"/>
      <c r="N23" s="58"/>
      <c r="O23" s="58"/>
      <c r="P23" s="58"/>
      <c r="Q23" s="58"/>
      <c r="R23" s="58"/>
      <c r="S23" s="58"/>
      <c r="T23" s="58"/>
      <c r="U23" s="58"/>
      <c r="V23" s="58"/>
      <c r="W23" s="58"/>
      <c r="X23" s="58"/>
      <c r="Y23" s="58"/>
      <c r="Z23" s="58"/>
      <c r="AA23" s="58"/>
      <c r="AB23" s="58"/>
      <c r="AC23" s="58"/>
      <c r="AD23" s="58"/>
      <c r="AE23" s="58"/>
      <c r="AF23" s="58"/>
      <c r="AG23" s="58"/>
      <c r="AH23" s="58"/>
      <c r="AI23" s="58"/>
      <c r="AJ23" s="58"/>
      <c r="AK23" s="58"/>
      <c r="AL23" s="58"/>
      <c r="AM23" s="58"/>
      <c r="AN23" s="58"/>
      <c r="AO23" s="58"/>
      <c r="AP23" s="58"/>
      <c r="AQ23" s="58"/>
      <c r="AR23" s="58"/>
      <c r="AS23" s="58"/>
      <c r="AT23" s="58"/>
      <c r="AU23" s="58"/>
      <c r="AV23" s="58"/>
      <c r="AW23" s="58"/>
      <c r="AX23" s="58"/>
      <c r="AY23" s="58"/>
      <c r="AZ23" s="58"/>
      <c r="BA23" s="58"/>
      <c r="BB23" s="58"/>
      <c r="BC23" s="58"/>
      <c r="BD23" s="58"/>
      <c r="BE23" s="58"/>
      <c r="BF23" s="58"/>
      <c r="BG23" s="58"/>
      <c r="BH23" s="58"/>
      <c r="BI23" s="58"/>
      <c r="BJ23" s="58"/>
      <c r="BL23">
        <f>IFERROR(MATCH(الإعدادات!$B$5&amp;"|"&amp;17,'قاعدة البيانات'!$N$6:$N$305,0),0)</f>
        <v>17</v>
      </c>
      <c r="BM23">
        <f>IF($BL23=0,0,IF(INDEX('قاعدة البيانات'!$M$6:$M$305,$BL23)="غير نشط",5,IF($F23="",0,IF($G23&gt;=الإعدادات!$B$18,4,IF($F23&gt;=الإعدادات!$B$16,1,IF($F23&gt;=الإعدادات!$B$17,2,3))))))</f>
        <v>0</v>
      </c>
    </row>
    <row r="24" spans="1:65" ht="21.75" customHeight="1">
      <c r="A24" s="49">
        <f>IF($BL24=0,"",18)</f>
        <v>18</v>
      </c>
      <c r="B24" s="50" t="str">
        <f>IF($BL24=0,"",INDEX('قاعدة البيانات'!$C$6:$C$305,$BL24))</f>
        <v>مارتينوس مايكل ميشيل</v>
      </c>
      <c r="C24" s="51">
        <f t="shared" si="4"/>
        <v>0</v>
      </c>
      <c r="D24" s="52">
        <f t="shared" si="5"/>
        <v>0</v>
      </c>
      <c r="E24" s="53">
        <f t="shared" si="6"/>
        <v>0</v>
      </c>
      <c r="F24" s="54" t="str">
        <f t="shared" si="7"/>
        <v/>
      </c>
      <c r="G24" s="55">
        <f t="shared" si="8"/>
        <v>0</v>
      </c>
      <c r="H24" s="56" t="str">
        <f t="shared" si="9"/>
        <v>—</v>
      </c>
      <c r="I24" s="57" t="str">
        <f t="shared" si="10"/>
        <v>⏳ لسه مفيش حضور</v>
      </c>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c r="AQ24" s="58"/>
      <c r="AR24" s="58"/>
      <c r="AS24" s="58"/>
      <c r="AT24" s="58"/>
      <c r="AU24" s="58"/>
      <c r="AV24" s="58"/>
      <c r="AW24" s="58"/>
      <c r="AX24" s="58"/>
      <c r="AY24" s="58"/>
      <c r="AZ24" s="58"/>
      <c r="BA24" s="58"/>
      <c r="BB24" s="58"/>
      <c r="BC24" s="58"/>
      <c r="BD24" s="58"/>
      <c r="BE24" s="58"/>
      <c r="BF24" s="58"/>
      <c r="BG24" s="58"/>
      <c r="BH24" s="58"/>
      <c r="BI24" s="58"/>
      <c r="BJ24" s="58"/>
      <c r="BL24">
        <f>IFERROR(MATCH(الإعدادات!$B$5&amp;"|"&amp;18,'قاعدة البيانات'!$N$6:$N$305,0),0)</f>
        <v>18</v>
      </c>
      <c r="BM24">
        <f>IF($BL24=0,0,IF(INDEX('قاعدة البيانات'!$M$6:$M$305,$BL24)="غير نشط",5,IF($F24="",0,IF($G24&gt;=الإعدادات!$B$18,4,IF($F24&gt;=الإعدادات!$B$16,1,IF($F24&gt;=الإعدادات!$B$17,2,3))))))</f>
        <v>0</v>
      </c>
    </row>
    <row r="25" spans="1:65" ht="21.75" customHeight="1">
      <c r="A25" s="49">
        <f>IF($BL25=0,"",19)</f>
        <v>19</v>
      </c>
      <c r="B25" s="50" t="str">
        <f>IF($BL25=0,"",INDEX('قاعدة البيانات'!$C$6:$C$305,$BL25))</f>
        <v>جونير بسام نصرى مكرم</v>
      </c>
      <c r="C25" s="51">
        <f t="shared" si="4"/>
        <v>0</v>
      </c>
      <c r="D25" s="52">
        <f t="shared" si="5"/>
        <v>0</v>
      </c>
      <c r="E25" s="53">
        <f t="shared" si="6"/>
        <v>0</v>
      </c>
      <c r="F25" s="54" t="str">
        <f t="shared" si="7"/>
        <v/>
      </c>
      <c r="G25" s="55">
        <f t="shared" si="8"/>
        <v>0</v>
      </c>
      <c r="H25" s="56" t="str">
        <f t="shared" si="9"/>
        <v>—</v>
      </c>
      <c r="I25" s="57" t="str">
        <f t="shared" si="10"/>
        <v>⏳ لسه مفيش حضور</v>
      </c>
      <c r="J25" s="58"/>
      <c r="K25" s="58"/>
      <c r="L25" s="58"/>
      <c r="M25" s="58"/>
      <c r="N25" s="58"/>
      <c r="O25" s="58"/>
      <c r="P25" s="58"/>
      <c r="Q25" s="58"/>
      <c r="R25" s="58"/>
      <c r="S25" s="58"/>
      <c r="T25" s="58"/>
      <c r="U25" s="58"/>
      <c r="V25" s="58"/>
      <c r="W25" s="58"/>
      <c r="X25" s="58"/>
      <c r="Y25" s="58"/>
      <c r="Z25" s="58"/>
      <c r="AA25" s="58"/>
      <c r="AB25" s="58"/>
      <c r="AC25" s="58"/>
      <c r="AD25" s="58"/>
      <c r="AE25" s="58"/>
      <c r="AF25" s="58"/>
      <c r="AG25" s="58"/>
      <c r="AH25" s="58"/>
      <c r="AI25" s="58"/>
      <c r="AJ25" s="58"/>
      <c r="AK25" s="58"/>
      <c r="AL25" s="58"/>
      <c r="AM25" s="58"/>
      <c r="AN25" s="58"/>
      <c r="AO25" s="58"/>
      <c r="AP25" s="58"/>
      <c r="AQ25" s="58"/>
      <c r="AR25" s="58"/>
      <c r="AS25" s="58"/>
      <c r="AT25" s="58"/>
      <c r="AU25" s="58"/>
      <c r="AV25" s="58"/>
      <c r="AW25" s="58"/>
      <c r="AX25" s="58"/>
      <c r="AY25" s="58"/>
      <c r="AZ25" s="58"/>
      <c r="BA25" s="58"/>
      <c r="BB25" s="58"/>
      <c r="BC25" s="58"/>
      <c r="BD25" s="58"/>
      <c r="BE25" s="58"/>
      <c r="BF25" s="58"/>
      <c r="BG25" s="58"/>
      <c r="BH25" s="58"/>
      <c r="BI25" s="58"/>
      <c r="BJ25" s="58"/>
      <c r="BL25">
        <f>IFERROR(MATCH(الإعدادات!$B$5&amp;"|"&amp;19,'قاعدة البيانات'!$N$6:$N$305,0),0)</f>
        <v>19</v>
      </c>
      <c r="BM25">
        <f>IF($BL25=0,0,IF(INDEX('قاعدة البيانات'!$M$6:$M$305,$BL25)="غير نشط",5,IF($F25="",0,IF($G25&gt;=الإعدادات!$B$18,4,IF($F25&gt;=الإعدادات!$B$16,1,IF($F25&gt;=الإعدادات!$B$17,2,3))))))</f>
        <v>0</v>
      </c>
    </row>
    <row r="26" spans="1:65" ht="21.75" customHeight="1">
      <c r="A26" s="49">
        <f>IF($BL26=0,"",20)</f>
        <v>20</v>
      </c>
      <c r="B26" s="50" t="str">
        <f>IF($BL26=0,"",INDEX('قاعدة البيانات'!$C$6:$C$305,$BL26))</f>
        <v>مريم عماد زارع</v>
      </c>
      <c r="C26" s="51">
        <f t="shared" si="4"/>
        <v>0</v>
      </c>
      <c r="D26" s="52">
        <f t="shared" si="5"/>
        <v>0</v>
      </c>
      <c r="E26" s="53">
        <f t="shared" si="6"/>
        <v>0</v>
      </c>
      <c r="F26" s="54" t="str">
        <f t="shared" si="7"/>
        <v/>
      </c>
      <c r="G26" s="55">
        <f t="shared" si="8"/>
        <v>0</v>
      </c>
      <c r="H26" s="56" t="str">
        <f t="shared" si="9"/>
        <v>—</v>
      </c>
      <c r="I26" s="57" t="str">
        <f t="shared" si="10"/>
        <v>⏳ لسه مفيش حضور</v>
      </c>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L26" s="58"/>
      <c r="AM26" s="58"/>
      <c r="AN26" s="58"/>
      <c r="AO26" s="58"/>
      <c r="AP26" s="58"/>
      <c r="AQ26" s="58"/>
      <c r="AR26" s="58"/>
      <c r="AS26" s="58"/>
      <c r="AT26" s="58"/>
      <c r="AU26" s="58"/>
      <c r="AV26" s="58"/>
      <c r="AW26" s="58"/>
      <c r="AX26" s="58"/>
      <c r="AY26" s="58"/>
      <c r="AZ26" s="58"/>
      <c r="BA26" s="58"/>
      <c r="BB26" s="58"/>
      <c r="BC26" s="58"/>
      <c r="BD26" s="58"/>
      <c r="BE26" s="58"/>
      <c r="BF26" s="58"/>
      <c r="BG26" s="58"/>
      <c r="BH26" s="58"/>
      <c r="BI26" s="58"/>
      <c r="BJ26" s="58"/>
      <c r="BL26">
        <f>IFERROR(MATCH(الإعدادات!$B$5&amp;"|"&amp;20,'قاعدة البيانات'!$N$6:$N$305,0),0)</f>
        <v>20</v>
      </c>
      <c r="BM26">
        <f>IF($BL26=0,0,IF(INDEX('قاعدة البيانات'!$M$6:$M$305,$BL26)="غير نشط",5,IF($F26="",0,IF($G26&gt;=الإعدادات!$B$18,4,IF($F26&gt;=الإعدادات!$B$16,1,IF($F26&gt;=الإعدادات!$B$17,2,3))))))</f>
        <v>0</v>
      </c>
    </row>
    <row r="27" spans="1:65" ht="21.75" customHeight="1">
      <c r="A27" s="49">
        <f>IF($BL27=0,"",21)</f>
        <v>21</v>
      </c>
      <c r="B27" s="50" t="str">
        <f>IF($BL27=0,"",INDEX('قاعدة البيانات'!$C$6:$C$305,$BL27))</f>
        <v>ماروسكا ميشيل ثروت</v>
      </c>
      <c r="C27" s="51">
        <f t="shared" si="4"/>
        <v>0</v>
      </c>
      <c r="D27" s="52">
        <f t="shared" si="5"/>
        <v>0</v>
      </c>
      <c r="E27" s="53">
        <f t="shared" si="6"/>
        <v>0</v>
      </c>
      <c r="F27" s="54" t="str">
        <f t="shared" si="7"/>
        <v/>
      </c>
      <c r="G27" s="55">
        <f t="shared" si="8"/>
        <v>0</v>
      </c>
      <c r="H27" s="56" t="str">
        <f t="shared" si="9"/>
        <v>—</v>
      </c>
      <c r="I27" s="57" t="str">
        <f t="shared" si="10"/>
        <v>⏳ لسه مفيش حضور</v>
      </c>
      <c r="J27" s="58"/>
      <c r="K27" s="58"/>
      <c r="L27" s="58"/>
      <c r="M27" s="58"/>
      <c r="N27" s="58"/>
      <c r="O27" s="58"/>
      <c r="P27" s="58"/>
      <c r="Q27" s="58"/>
      <c r="R27" s="58"/>
      <c r="S27" s="58"/>
      <c r="T27" s="58"/>
      <c r="U27" s="58"/>
      <c r="V27" s="58"/>
      <c r="W27" s="58"/>
      <c r="X27" s="58"/>
      <c r="Y27" s="58"/>
      <c r="Z27" s="58"/>
      <c r="AA27" s="58"/>
      <c r="AB27" s="58"/>
      <c r="AC27" s="58"/>
      <c r="AD27" s="58"/>
      <c r="AE27" s="58"/>
      <c r="AF27" s="58"/>
      <c r="AG27" s="58"/>
      <c r="AH27" s="58"/>
      <c r="AI27" s="58"/>
      <c r="AJ27" s="58"/>
      <c r="AK27" s="58"/>
      <c r="AL27" s="58"/>
      <c r="AM27" s="58"/>
      <c r="AN27" s="58"/>
      <c r="AO27" s="58"/>
      <c r="AP27" s="58"/>
      <c r="AQ27" s="58"/>
      <c r="AR27" s="58"/>
      <c r="AS27" s="58"/>
      <c r="AT27" s="58"/>
      <c r="AU27" s="58"/>
      <c r="AV27" s="58"/>
      <c r="AW27" s="58"/>
      <c r="AX27" s="58"/>
      <c r="AY27" s="58"/>
      <c r="AZ27" s="58"/>
      <c r="BA27" s="58"/>
      <c r="BB27" s="58"/>
      <c r="BC27" s="58"/>
      <c r="BD27" s="58"/>
      <c r="BE27" s="58"/>
      <c r="BF27" s="58"/>
      <c r="BG27" s="58"/>
      <c r="BH27" s="58"/>
      <c r="BI27" s="58"/>
      <c r="BJ27" s="58"/>
      <c r="BL27">
        <f>IFERROR(MATCH(الإعدادات!$B$5&amp;"|"&amp;21,'قاعدة البيانات'!$N$6:$N$305,0),0)</f>
        <v>21</v>
      </c>
      <c r="BM27">
        <f>IF($BL27=0,0,IF(INDEX('قاعدة البيانات'!$M$6:$M$305,$BL27)="غير نشط",5,IF($F27="",0,IF($G27&gt;=الإعدادات!$B$18,4,IF($F27&gt;=الإعدادات!$B$16,1,IF($F27&gt;=الإعدادات!$B$17,2,3))))))</f>
        <v>0</v>
      </c>
    </row>
    <row r="28" spans="1:65" ht="21.75" customHeight="1">
      <c r="A28" s="49">
        <f>IF($BL28=0,"",22)</f>
        <v>22</v>
      </c>
      <c r="B28" s="50" t="str">
        <f>IF($BL28=0,"",INDEX('قاعدة البيانات'!$C$6:$C$305,$BL28))</f>
        <v>بيرلا مايكل خليل</v>
      </c>
      <c r="C28" s="51">
        <f t="shared" si="4"/>
        <v>0</v>
      </c>
      <c r="D28" s="52">
        <f t="shared" si="5"/>
        <v>0</v>
      </c>
      <c r="E28" s="53">
        <f t="shared" si="6"/>
        <v>0</v>
      </c>
      <c r="F28" s="54" t="str">
        <f t="shared" si="7"/>
        <v/>
      </c>
      <c r="G28" s="55">
        <f t="shared" si="8"/>
        <v>0</v>
      </c>
      <c r="H28" s="56" t="str">
        <f t="shared" si="9"/>
        <v>—</v>
      </c>
      <c r="I28" s="57" t="str">
        <f t="shared" si="10"/>
        <v>⏳ لسه مفيش حضور</v>
      </c>
      <c r="J28" s="58"/>
      <c r="K28" s="58"/>
      <c r="L28" s="58"/>
      <c r="M28" s="58"/>
      <c r="N28" s="58"/>
      <c r="O28" s="58"/>
      <c r="P28" s="58"/>
      <c r="Q28" s="58"/>
      <c r="R28" s="58"/>
      <c r="S28" s="58"/>
      <c r="T28" s="58"/>
      <c r="U28" s="58"/>
      <c r="V28" s="58"/>
      <c r="W28" s="58"/>
      <c r="X28" s="58"/>
      <c r="Y28" s="58"/>
      <c r="Z28" s="58"/>
      <c r="AA28" s="58"/>
      <c r="AB28" s="58"/>
      <c r="AC28" s="58"/>
      <c r="AD28" s="58"/>
      <c r="AE28" s="58"/>
      <c r="AF28" s="58"/>
      <c r="AG28" s="58"/>
      <c r="AH28" s="58"/>
      <c r="AI28" s="58"/>
      <c r="AJ28" s="58"/>
      <c r="AK28" s="58"/>
      <c r="AL28" s="58"/>
      <c r="AM28" s="58"/>
      <c r="AN28" s="58"/>
      <c r="AO28" s="58"/>
      <c r="AP28" s="58"/>
      <c r="AQ28" s="58"/>
      <c r="AR28" s="58"/>
      <c r="AS28" s="58"/>
      <c r="AT28" s="58"/>
      <c r="AU28" s="58"/>
      <c r="AV28" s="58"/>
      <c r="AW28" s="58"/>
      <c r="AX28" s="58"/>
      <c r="AY28" s="58"/>
      <c r="AZ28" s="58"/>
      <c r="BA28" s="58"/>
      <c r="BB28" s="58"/>
      <c r="BC28" s="58"/>
      <c r="BD28" s="58"/>
      <c r="BE28" s="58"/>
      <c r="BF28" s="58"/>
      <c r="BG28" s="58"/>
      <c r="BH28" s="58"/>
      <c r="BI28" s="58"/>
      <c r="BJ28" s="58"/>
      <c r="BL28">
        <f>IFERROR(MATCH(الإعدادات!$B$5&amp;"|"&amp;22,'قاعدة البيانات'!$N$6:$N$305,0),0)</f>
        <v>22</v>
      </c>
      <c r="BM28">
        <f>IF($BL28=0,0,IF(INDEX('قاعدة البيانات'!$M$6:$M$305,$BL28)="غير نشط",5,IF($F28="",0,IF($G28&gt;=الإعدادات!$B$18,4,IF($F28&gt;=الإعدادات!$B$16,1,IF($F28&gt;=الإعدادات!$B$17,2,3))))))</f>
        <v>0</v>
      </c>
    </row>
    <row r="29" spans="1:65" ht="21.75" customHeight="1">
      <c r="A29" s="49">
        <f>IF($BL29=0,"",23)</f>
        <v>23</v>
      </c>
      <c r="B29" s="50" t="str">
        <f>IF($BL29=0,"",INDEX('قاعدة البيانات'!$C$6:$C$305,$BL29))</f>
        <v>مورين مينا عوض</v>
      </c>
      <c r="C29" s="51">
        <f t="shared" si="4"/>
        <v>0</v>
      </c>
      <c r="D29" s="52">
        <f t="shared" si="5"/>
        <v>0</v>
      </c>
      <c r="E29" s="53">
        <f t="shared" si="6"/>
        <v>0</v>
      </c>
      <c r="F29" s="54" t="str">
        <f t="shared" si="7"/>
        <v/>
      </c>
      <c r="G29" s="55">
        <f t="shared" si="8"/>
        <v>0</v>
      </c>
      <c r="H29" s="56" t="str">
        <f t="shared" si="9"/>
        <v>—</v>
      </c>
      <c r="I29" s="57" t="str">
        <f t="shared" si="10"/>
        <v>⏳ لسه مفيش حضور</v>
      </c>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AQ29" s="58"/>
      <c r="AR29" s="58"/>
      <c r="AS29" s="58"/>
      <c r="AT29" s="58"/>
      <c r="AU29" s="58"/>
      <c r="AV29" s="58"/>
      <c r="AW29" s="58"/>
      <c r="AX29" s="58"/>
      <c r="AY29" s="58"/>
      <c r="AZ29" s="58"/>
      <c r="BA29" s="58"/>
      <c r="BB29" s="58"/>
      <c r="BC29" s="58"/>
      <c r="BD29" s="58"/>
      <c r="BE29" s="58"/>
      <c r="BF29" s="58"/>
      <c r="BG29" s="58"/>
      <c r="BH29" s="58"/>
      <c r="BI29" s="58"/>
      <c r="BJ29" s="58"/>
      <c r="BL29">
        <f>IFERROR(MATCH(الإعدادات!$B$5&amp;"|"&amp;23,'قاعدة البيانات'!$N$6:$N$305,0),0)</f>
        <v>23</v>
      </c>
      <c r="BM29">
        <f>IF($BL29=0,0,IF(INDEX('قاعدة البيانات'!$M$6:$M$305,$BL29)="غير نشط",5,IF($F29="",0,IF($G29&gt;=الإعدادات!$B$18,4,IF($F29&gt;=الإعدادات!$B$16,1,IF($F29&gt;=الإعدادات!$B$17,2,3))))))</f>
        <v>0</v>
      </c>
    </row>
    <row r="30" spans="1:65" ht="21.75" customHeight="1">
      <c r="A30" s="49">
        <f>IF($BL30=0,"",24)</f>
        <v>24</v>
      </c>
      <c r="B30" s="50" t="str">
        <f>IF($BL30=0,"",INDEX('قاعدة البيانات'!$C$6:$C$305,$BL30))</f>
        <v>كارين وليم منير</v>
      </c>
      <c r="C30" s="51">
        <f t="shared" si="4"/>
        <v>0</v>
      </c>
      <c r="D30" s="52">
        <f t="shared" si="5"/>
        <v>0</v>
      </c>
      <c r="E30" s="53">
        <f t="shared" si="6"/>
        <v>0</v>
      </c>
      <c r="F30" s="54" t="str">
        <f t="shared" si="7"/>
        <v/>
      </c>
      <c r="G30" s="55">
        <f t="shared" si="8"/>
        <v>0</v>
      </c>
      <c r="H30" s="56" t="str">
        <f t="shared" si="9"/>
        <v>—</v>
      </c>
      <c r="I30" s="57" t="str">
        <f t="shared" si="10"/>
        <v>⏳ لسه مفيش حضور</v>
      </c>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AQ30" s="58"/>
      <c r="AR30" s="58"/>
      <c r="AS30" s="58"/>
      <c r="AT30" s="58"/>
      <c r="AU30" s="58"/>
      <c r="AV30" s="58"/>
      <c r="AW30" s="58"/>
      <c r="AX30" s="58"/>
      <c r="AY30" s="58"/>
      <c r="AZ30" s="58"/>
      <c r="BA30" s="58"/>
      <c r="BB30" s="58"/>
      <c r="BC30" s="58"/>
      <c r="BD30" s="58"/>
      <c r="BE30" s="58"/>
      <c r="BF30" s="58"/>
      <c r="BG30" s="58"/>
      <c r="BH30" s="58"/>
      <c r="BI30" s="58"/>
      <c r="BJ30" s="58"/>
      <c r="BL30">
        <f>IFERROR(MATCH(الإعدادات!$B$5&amp;"|"&amp;24,'قاعدة البيانات'!$N$6:$N$305,0),0)</f>
        <v>24</v>
      </c>
      <c r="BM30">
        <f>IF($BL30=0,0,IF(INDEX('قاعدة البيانات'!$M$6:$M$305,$BL30)="غير نشط",5,IF($F30="",0,IF($G30&gt;=الإعدادات!$B$18,4,IF($F30&gt;=الإعدادات!$B$16,1,IF($F30&gt;=الإعدادات!$B$17,2,3))))))</f>
        <v>0</v>
      </c>
    </row>
    <row r="31" spans="1:65" ht="21.75" customHeight="1">
      <c r="A31" s="49" t="str">
        <f>IF($BL31=0,"",25)</f>
        <v/>
      </c>
      <c r="B31" s="50" t="str">
        <f>IF($BL31=0,"",INDEX('قاعدة البيانات'!$C$6:$C$305,$BL31))</f>
        <v/>
      </c>
      <c r="C31" s="51" t="str">
        <f t="shared" si="4"/>
        <v/>
      </c>
      <c r="D31" s="52" t="str">
        <f t="shared" si="5"/>
        <v/>
      </c>
      <c r="E31" s="53" t="str">
        <f t="shared" si="6"/>
        <v/>
      </c>
      <c r="F31" s="54" t="str">
        <f t="shared" si="7"/>
        <v/>
      </c>
      <c r="G31" s="55" t="str">
        <f t="shared" si="8"/>
        <v/>
      </c>
      <c r="H31" s="56" t="str">
        <f t="shared" si="9"/>
        <v/>
      </c>
      <c r="I31" s="57" t="str">
        <f t="shared" si="10"/>
        <v/>
      </c>
      <c r="J31" s="58"/>
      <c r="K31" s="58"/>
      <c r="L31" s="58"/>
      <c r="M31" s="58"/>
      <c r="N31" s="58"/>
      <c r="O31" s="58"/>
      <c r="P31" s="58"/>
      <c r="Q31" s="58"/>
      <c r="R31" s="58"/>
      <c r="S31" s="58"/>
      <c r="T31" s="58"/>
      <c r="U31" s="58"/>
      <c r="V31" s="58"/>
      <c r="W31" s="58"/>
      <c r="X31" s="58"/>
      <c r="Y31" s="58"/>
      <c r="Z31" s="58"/>
      <c r="AA31" s="58"/>
      <c r="AB31" s="58"/>
      <c r="AC31" s="58"/>
      <c r="AD31" s="58"/>
      <c r="AE31" s="58"/>
      <c r="AF31" s="58"/>
      <c r="AG31" s="58"/>
      <c r="AH31" s="58"/>
      <c r="AI31" s="58"/>
      <c r="AJ31" s="58"/>
      <c r="AK31" s="58"/>
      <c r="AL31" s="58"/>
      <c r="AM31" s="58"/>
      <c r="AN31" s="58"/>
      <c r="AO31" s="58"/>
      <c r="AP31" s="58"/>
      <c r="AQ31" s="58"/>
      <c r="AR31" s="58"/>
      <c r="AS31" s="58"/>
      <c r="AT31" s="58"/>
      <c r="AU31" s="58"/>
      <c r="AV31" s="58"/>
      <c r="AW31" s="58"/>
      <c r="AX31" s="58"/>
      <c r="AY31" s="58"/>
      <c r="AZ31" s="58"/>
      <c r="BA31" s="58"/>
      <c r="BB31" s="58"/>
      <c r="BC31" s="58"/>
      <c r="BD31" s="58"/>
      <c r="BE31" s="58"/>
      <c r="BF31" s="58"/>
      <c r="BG31" s="58"/>
      <c r="BH31" s="58"/>
      <c r="BI31" s="58"/>
      <c r="BJ31" s="58"/>
      <c r="BL31">
        <f>IFERROR(MATCH(الإعدادات!$B$5&amp;"|"&amp;25,'قاعدة البيانات'!$N$6:$N$305,0),0)</f>
        <v>0</v>
      </c>
      <c r="BM31">
        <f>IF($BL31=0,0,IF(INDEX('قاعدة البيانات'!$M$6:$M$305,$BL31)="غير نشط",5,IF($F31="",0,IF($G31&gt;=الإعدادات!$B$18,4,IF($F31&gt;=الإعدادات!$B$16,1,IF($F31&gt;=الإعدادات!$B$17,2,3))))))</f>
        <v>0</v>
      </c>
    </row>
    <row r="32" spans="1:65" ht="21.75" customHeight="1">
      <c r="A32" s="49" t="str">
        <f>IF($BL32=0,"",26)</f>
        <v/>
      </c>
      <c r="B32" s="50" t="str">
        <f>IF($BL32=0,"",INDEX('قاعدة البيانات'!$C$6:$C$305,$BL32))</f>
        <v/>
      </c>
      <c r="C32" s="51" t="str">
        <f t="shared" si="4"/>
        <v/>
      </c>
      <c r="D32" s="52" t="str">
        <f t="shared" si="5"/>
        <v/>
      </c>
      <c r="E32" s="53" t="str">
        <f t="shared" si="6"/>
        <v/>
      </c>
      <c r="F32" s="54" t="str">
        <f t="shared" si="7"/>
        <v/>
      </c>
      <c r="G32" s="55" t="str">
        <f t="shared" si="8"/>
        <v/>
      </c>
      <c r="H32" s="56" t="str">
        <f t="shared" si="9"/>
        <v/>
      </c>
      <c r="I32" s="57" t="str">
        <f t="shared" si="10"/>
        <v/>
      </c>
      <c r="J32" s="58"/>
      <c r="K32" s="58"/>
      <c r="L32" s="58"/>
      <c r="M32" s="58"/>
      <c r="N32" s="58"/>
      <c r="O32" s="58"/>
      <c r="P32" s="58"/>
      <c r="Q32" s="58"/>
      <c r="R32" s="58"/>
      <c r="S32" s="58"/>
      <c r="T32" s="58"/>
      <c r="U32" s="58"/>
      <c r="V32" s="58"/>
      <c r="W32" s="58"/>
      <c r="X32" s="58"/>
      <c r="Y32" s="58"/>
      <c r="Z32" s="58"/>
      <c r="AA32" s="58"/>
      <c r="AB32" s="58"/>
      <c r="AC32" s="58"/>
      <c r="AD32" s="58"/>
      <c r="AE32" s="58"/>
      <c r="AF32" s="58"/>
      <c r="AG32" s="58"/>
      <c r="AH32" s="58"/>
      <c r="AI32" s="58"/>
      <c r="AJ32" s="58"/>
      <c r="AK32" s="58"/>
      <c r="AL32" s="58"/>
      <c r="AM32" s="58"/>
      <c r="AN32" s="58"/>
      <c r="AO32" s="58"/>
      <c r="AP32" s="58"/>
      <c r="AQ32" s="58"/>
      <c r="AR32" s="58"/>
      <c r="AS32" s="58"/>
      <c r="AT32" s="58"/>
      <c r="AU32" s="58"/>
      <c r="AV32" s="58"/>
      <c r="AW32" s="58"/>
      <c r="AX32" s="58"/>
      <c r="AY32" s="58"/>
      <c r="AZ32" s="58"/>
      <c r="BA32" s="58"/>
      <c r="BB32" s="58"/>
      <c r="BC32" s="58"/>
      <c r="BD32" s="58"/>
      <c r="BE32" s="58"/>
      <c r="BF32" s="58"/>
      <c r="BG32" s="58"/>
      <c r="BH32" s="58"/>
      <c r="BI32" s="58"/>
      <c r="BJ32" s="58"/>
      <c r="BL32">
        <f>IFERROR(MATCH(الإعدادات!$B$5&amp;"|"&amp;26,'قاعدة البيانات'!$N$6:$N$305,0),0)</f>
        <v>0</v>
      </c>
      <c r="BM32">
        <f>IF($BL32=0,0,IF(INDEX('قاعدة البيانات'!$M$6:$M$305,$BL32)="غير نشط",5,IF($F32="",0,IF($G32&gt;=الإعدادات!$B$18,4,IF($F32&gt;=الإعدادات!$B$16,1,IF($F32&gt;=الإعدادات!$B$17,2,3))))))</f>
        <v>0</v>
      </c>
    </row>
    <row r="33" spans="1:65" ht="21.75" customHeight="1">
      <c r="A33" s="49" t="str">
        <f>IF($BL33=0,"",27)</f>
        <v/>
      </c>
      <c r="B33" s="50" t="str">
        <f>IF($BL33=0,"",INDEX('قاعدة البيانات'!$C$6:$C$305,$BL33))</f>
        <v/>
      </c>
      <c r="C33" s="51" t="str">
        <f t="shared" si="4"/>
        <v/>
      </c>
      <c r="D33" s="52" t="str">
        <f t="shared" si="5"/>
        <v/>
      </c>
      <c r="E33" s="53" t="str">
        <f t="shared" si="6"/>
        <v/>
      </c>
      <c r="F33" s="54" t="str">
        <f t="shared" si="7"/>
        <v/>
      </c>
      <c r="G33" s="55" t="str">
        <f t="shared" si="8"/>
        <v/>
      </c>
      <c r="H33" s="56" t="str">
        <f t="shared" si="9"/>
        <v/>
      </c>
      <c r="I33" s="57" t="str">
        <f t="shared" si="10"/>
        <v/>
      </c>
      <c r="J33" s="58"/>
      <c r="K33" s="58"/>
      <c r="L33" s="58"/>
      <c r="M33" s="58"/>
      <c r="N33" s="58"/>
      <c r="O33" s="58"/>
      <c r="P33" s="58"/>
      <c r="Q33" s="58"/>
      <c r="R33" s="58"/>
      <c r="S33" s="58"/>
      <c r="T33" s="58"/>
      <c r="U33" s="58"/>
      <c r="V33" s="58"/>
      <c r="W33" s="58"/>
      <c r="X33" s="58"/>
      <c r="Y33" s="58"/>
      <c r="Z33" s="58"/>
      <c r="AA33" s="58"/>
      <c r="AB33" s="58"/>
      <c r="AC33" s="58"/>
      <c r="AD33" s="58"/>
      <c r="AE33" s="58"/>
      <c r="AF33" s="58"/>
      <c r="AG33" s="58"/>
      <c r="AH33" s="58"/>
      <c r="AI33" s="58"/>
      <c r="AJ33" s="58"/>
      <c r="AK33" s="58"/>
      <c r="AL33" s="58"/>
      <c r="AM33" s="58"/>
      <c r="AN33" s="58"/>
      <c r="AO33" s="58"/>
      <c r="AP33" s="58"/>
      <c r="AQ33" s="58"/>
      <c r="AR33" s="58"/>
      <c r="AS33" s="58"/>
      <c r="AT33" s="58"/>
      <c r="AU33" s="58"/>
      <c r="AV33" s="58"/>
      <c r="AW33" s="58"/>
      <c r="AX33" s="58"/>
      <c r="AY33" s="58"/>
      <c r="AZ33" s="58"/>
      <c r="BA33" s="58"/>
      <c r="BB33" s="58"/>
      <c r="BC33" s="58"/>
      <c r="BD33" s="58"/>
      <c r="BE33" s="58"/>
      <c r="BF33" s="58"/>
      <c r="BG33" s="58"/>
      <c r="BH33" s="58"/>
      <c r="BI33" s="58"/>
      <c r="BJ33" s="58"/>
      <c r="BL33">
        <f>IFERROR(MATCH(الإعدادات!$B$5&amp;"|"&amp;27,'قاعدة البيانات'!$N$6:$N$305,0),0)</f>
        <v>0</v>
      </c>
      <c r="BM33">
        <f>IF($BL33=0,0,IF(INDEX('قاعدة البيانات'!$M$6:$M$305,$BL33)="غير نشط",5,IF($F33="",0,IF($G33&gt;=الإعدادات!$B$18,4,IF($F33&gt;=الإعدادات!$B$16,1,IF($F33&gt;=الإعدادات!$B$17,2,3))))))</f>
        <v>0</v>
      </c>
    </row>
    <row r="34" spans="1:65" ht="21.75" customHeight="1">
      <c r="A34" s="49" t="str">
        <f>IF($BL34=0,"",28)</f>
        <v/>
      </c>
      <c r="B34" s="50" t="str">
        <f>IF($BL34=0,"",INDEX('قاعدة البيانات'!$C$6:$C$305,$BL34))</f>
        <v/>
      </c>
      <c r="C34" s="51" t="str">
        <f t="shared" si="4"/>
        <v/>
      </c>
      <c r="D34" s="52" t="str">
        <f t="shared" si="5"/>
        <v/>
      </c>
      <c r="E34" s="53" t="str">
        <f t="shared" si="6"/>
        <v/>
      </c>
      <c r="F34" s="54" t="str">
        <f t="shared" si="7"/>
        <v/>
      </c>
      <c r="G34" s="55" t="str">
        <f t="shared" si="8"/>
        <v/>
      </c>
      <c r="H34" s="56" t="str">
        <f t="shared" si="9"/>
        <v/>
      </c>
      <c r="I34" s="57" t="str">
        <f t="shared" si="10"/>
        <v/>
      </c>
      <c r="J34" s="58"/>
      <c r="K34" s="58"/>
      <c r="L34" s="58"/>
      <c r="M34" s="58"/>
      <c r="N34" s="58"/>
      <c r="O34" s="58"/>
      <c r="P34" s="58"/>
      <c r="Q34" s="58"/>
      <c r="R34" s="58"/>
      <c r="S34" s="58"/>
      <c r="T34" s="58"/>
      <c r="U34" s="58"/>
      <c r="V34" s="58"/>
      <c r="W34" s="58"/>
      <c r="X34" s="58"/>
      <c r="Y34" s="58"/>
      <c r="Z34" s="58"/>
      <c r="AA34" s="58"/>
      <c r="AB34" s="58"/>
      <c r="AC34" s="58"/>
      <c r="AD34" s="58"/>
      <c r="AE34" s="58"/>
      <c r="AF34" s="58"/>
      <c r="AG34" s="58"/>
      <c r="AH34" s="58"/>
      <c r="AI34" s="58"/>
      <c r="AJ34" s="58"/>
      <c r="AK34" s="58"/>
      <c r="AL34" s="58"/>
      <c r="AM34" s="58"/>
      <c r="AN34" s="58"/>
      <c r="AO34" s="58"/>
      <c r="AP34" s="58"/>
      <c r="AQ34" s="58"/>
      <c r="AR34" s="58"/>
      <c r="AS34" s="58"/>
      <c r="AT34" s="58"/>
      <c r="AU34" s="58"/>
      <c r="AV34" s="58"/>
      <c r="AW34" s="58"/>
      <c r="AX34" s="58"/>
      <c r="AY34" s="58"/>
      <c r="AZ34" s="58"/>
      <c r="BA34" s="58"/>
      <c r="BB34" s="58"/>
      <c r="BC34" s="58"/>
      <c r="BD34" s="58"/>
      <c r="BE34" s="58"/>
      <c r="BF34" s="58"/>
      <c r="BG34" s="58"/>
      <c r="BH34" s="58"/>
      <c r="BI34" s="58"/>
      <c r="BJ34" s="58"/>
      <c r="BL34">
        <f>IFERROR(MATCH(الإعدادات!$B$5&amp;"|"&amp;28,'قاعدة البيانات'!$N$6:$N$305,0),0)</f>
        <v>0</v>
      </c>
      <c r="BM34">
        <f>IF($BL34=0,0,IF(INDEX('قاعدة البيانات'!$M$6:$M$305,$BL34)="غير نشط",5,IF($F34="",0,IF($G34&gt;=الإعدادات!$B$18,4,IF($F34&gt;=الإعدادات!$B$16,1,IF($F34&gt;=الإعدادات!$B$17,2,3))))))</f>
        <v>0</v>
      </c>
    </row>
    <row r="35" spans="1:65" ht="21.75" customHeight="1">
      <c r="A35" s="49" t="str">
        <f>IF($BL35=0,"",29)</f>
        <v/>
      </c>
      <c r="B35" s="50" t="str">
        <f>IF($BL35=0,"",INDEX('قاعدة البيانات'!$C$6:$C$305,$BL35))</f>
        <v/>
      </c>
      <c r="C35" s="51" t="str">
        <f t="shared" si="4"/>
        <v/>
      </c>
      <c r="D35" s="52" t="str">
        <f t="shared" si="5"/>
        <v/>
      </c>
      <c r="E35" s="53" t="str">
        <f t="shared" si="6"/>
        <v/>
      </c>
      <c r="F35" s="54" t="str">
        <f t="shared" si="7"/>
        <v/>
      </c>
      <c r="G35" s="55" t="str">
        <f t="shared" si="8"/>
        <v/>
      </c>
      <c r="H35" s="56" t="str">
        <f t="shared" si="9"/>
        <v/>
      </c>
      <c r="I35" s="57" t="str">
        <f t="shared" si="10"/>
        <v/>
      </c>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c r="AQ35" s="58"/>
      <c r="AR35" s="58"/>
      <c r="AS35" s="58"/>
      <c r="AT35" s="58"/>
      <c r="AU35" s="58"/>
      <c r="AV35" s="58"/>
      <c r="AW35" s="58"/>
      <c r="AX35" s="58"/>
      <c r="AY35" s="58"/>
      <c r="AZ35" s="58"/>
      <c r="BA35" s="58"/>
      <c r="BB35" s="58"/>
      <c r="BC35" s="58"/>
      <c r="BD35" s="58"/>
      <c r="BE35" s="58"/>
      <c r="BF35" s="58"/>
      <c r="BG35" s="58"/>
      <c r="BH35" s="58"/>
      <c r="BI35" s="58"/>
      <c r="BJ35" s="58"/>
      <c r="BL35">
        <f>IFERROR(MATCH(الإعدادات!$B$5&amp;"|"&amp;29,'قاعدة البيانات'!$N$6:$N$305,0),0)</f>
        <v>0</v>
      </c>
      <c r="BM35">
        <f>IF($BL35=0,0,IF(INDEX('قاعدة البيانات'!$M$6:$M$305,$BL35)="غير نشط",5,IF($F35="",0,IF($G35&gt;=الإعدادات!$B$18,4,IF($F35&gt;=الإعدادات!$B$16,1,IF($F35&gt;=الإعدادات!$B$17,2,3))))))</f>
        <v>0</v>
      </c>
    </row>
    <row r="36" spans="1:65" ht="21.75" customHeight="1">
      <c r="A36" s="49" t="str">
        <f>IF($BL36=0,"",30)</f>
        <v/>
      </c>
      <c r="B36" s="50" t="str">
        <f>IF($BL36=0,"",INDEX('قاعدة البيانات'!$C$6:$C$305,$BL36))</f>
        <v/>
      </c>
      <c r="C36" s="51" t="str">
        <f t="shared" si="4"/>
        <v/>
      </c>
      <c r="D36" s="52" t="str">
        <f t="shared" si="5"/>
        <v/>
      </c>
      <c r="E36" s="53" t="str">
        <f t="shared" si="6"/>
        <v/>
      </c>
      <c r="F36" s="54" t="str">
        <f t="shared" si="7"/>
        <v/>
      </c>
      <c r="G36" s="55" t="str">
        <f t="shared" si="8"/>
        <v/>
      </c>
      <c r="H36" s="56" t="str">
        <f t="shared" si="9"/>
        <v/>
      </c>
      <c r="I36" s="57" t="str">
        <f t="shared" si="10"/>
        <v/>
      </c>
      <c r="J36" s="58"/>
      <c r="K36" s="58"/>
      <c r="L36" s="58"/>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58"/>
      <c r="AL36" s="58"/>
      <c r="AM36" s="58"/>
      <c r="AN36" s="58"/>
      <c r="AO36" s="58"/>
      <c r="AP36" s="58"/>
      <c r="AQ36" s="58"/>
      <c r="AR36" s="58"/>
      <c r="AS36" s="58"/>
      <c r="AT36" s="58"/>
      <c r="AU36" s="58"/>
      <c r="AV36" s="58"/>
      <c r="AW36" s="58"/>
      <c r="AX36" s="58"/>
      <c r="AY36" s="58"/>
      <c r="AZ36" s="58"/>
      <c r="BA36" s="58"/>
      <c r="BB36" s="58"/>
      <c r="BC36" s="58"/>
      <c r="BD36" s="58"/>
      <c r="BE36" s="58"/>
      <c r="BF36" s="58"/>
      <c r="BG36" s="58"/>
      <c r="BH36" s="58"/>
      <c r="BI36" s="58"/>
      <c r="BJ36" s="58"/>
      <c r="BL36">
        <f>IFERROR(MATCH(الإعدادات!$B$5&amp;"|"&amp;30,'قاعدة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47" priority="2">
      <formula>$BL7=0</formula>
    </cfRule>
  </conditionalFormatting>
  <conditionalFormatting sqref="F7:F36">
    <cfRule type="expression" dxfId="46" priority="9">
      <formula>$BM7=1</formula>
    </cfRule>
    <cfRule type="expression" dxfId="45" priority="10">
      <formula>$BM7=2</formula>
    </cfRule>
    <cfRule type="expression" dxfId="44" priority="11">
      <formula>OR($BM7=3,$BM7=4)</formula>
    </cfRule>
  </conditionalFormatting>
  <conditionalFormatting sqref="I7:I36">
    <cfRule type="expression" dxfId="42" priority="12">
      <formula>$BM7=1</formula>
    </cfRule>
    <cfRule type="expression" dxfId="41" priority="13">
      <formula>$BM7=2</formula>
    </cfRule>
    <cfRule type="expression" dxfId="40" priority="14">
      <formula>$BM7=3</formula>
    </cfRule>
    <cfRule type="expression" dxfId="39" priority="15">
      <formula>$BM7=4</formula>
    </cfRule>
  </conditionalFormatting>
  <conditionalFormatting sqref="J6:BJ6">
    <cfRule type="expression" dxfId="38" priority="7">
      <formula>AND(J$6&lt;&gt;"",J$6&lt;=TODAY(),J$6+7&gt;TODAY())</formula>
    </cfRule>
    <cfRule type="expression" dxfId="37" priority="8">
      <formula>MOD(MONTH(J$6),2)=0</formula>
    </cfRule>
  </conditionalFormatting>
  <conditionalFormatting sqref="J7:BJ36">
    <cfRule type="expression" dxfId="36" priority="3">
      <formula>J7="ح"</formula>
    </cfRule>
    <cfRule type="expression" dxfId="35" priority="4">
      <formula>J7="غ"</formula>
    </cfRule>
    <cfRule type="expression" dxfId="34" priority="5">
      <formula>J7="ع"</formula>
    </cfRule>
    <cfRule type="expression" dxfId="33" priority="6">
      <formula>AND(J$6&lt;&gt;"",J$6&lt;=TODAY(),J$6+7&gt;TODAY())</formula>
    </cfRule>
  </conditionalFormatting>
  <dataValidations count="1">
    <dataValidation type="list" allowBlank="1" showErrorMessage="1" errorTitle="حضور" error="اختار ح أو غ أو ع." sqref="J7:BJ36" xr:uid="{00000000-0002-0000-07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7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pageSetUpPr fitToPage="1"/>
  </sheetPr>
  <dimension ref="A1:BM36"/>
  <sheetViews>
    <sheetView showGridLines="0" rightToLeft="1" zoomScale="90" zoomScaleNormal="90" workbookViewId="0">
      <pane xSplit="2" ySplit="6" topLeftCell="C7" activePane="bottomRight" state="frozen"/>
      <selection pane="topRight" activeCell="C1" sqref="C1"/>
      <selection pane="bottomLeft" activeCell="A7" sqref="A7"/>
      <selection pane="bottomRight" sqref="A1:R1"/>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53" t="str">
        <f>"📅 قايمة حضور ملاك "&amp;الإعدادات!$B$6</f>
        <v>📅 قايمة حضور ملاك رفائيل</v>
      </c>
      <c r="B1" s="153"/>
      <c r="C1" s="153"/>
      <c r="D1" s="153"/>
      <c r="E1" s="153"/>
      <c r="F1" s="153"/>
      <c r="G1" s="153"/>
      <c r="H1" s="153"/>
      <c r="I1" s="153"/>
      <c r="J1" s="153"/>
      <c r="K1" s="153"/>
      <c r="L1" s="153"/>
      <c r="M1" s="153"/>
      <c r="N1" s="153"/>
      <c r="O1" s="153"/>
      <c r="P1" s="153"/>
      <c r="Q1" s="153"/>
      <c r="R1" s="153"/>
    </row>
    <row r="2" spans="1:65" ht="27.75" customHeight="1">
      <c r="A2" s="111" t="str">
        <f>HYPERLINK("#'الرئيسية'!A1","🏠 الرئيسية")</f>
        <v>🏠 الرئيسية</v>
      </c>
      <c r="B2" s="111"/>
      <c r="C2" s="135" t="str">
        <f>HYPERLINK("#'فصل رفائيل'!A1","🪪 كروت الفصل")</f>
        <v>🪪 كروت الفصل</v>
      </c>
      <c r="D2" s="135"/>
      <c r="E2" s="135"/>
      <c r="F2" s="135"/>
      <c r="G2" s="115" t="str">
        <f>HYPERLINK("#'قاعدة البيانات'!C"&amp;MIN(305,6+COUNTA('قاعدة البيانات'!$C$6:$C$305)),"➕ إضافة طفل")</f>
        <v>➕ إضافة طفل</v>
      </c>
      <c r="H2" s="115"/>
      <c r="I2" s="115"/>
      <c r="J2" s="111" t="str">
        <f>HYPERLINK("#'الافتقاد'!A1","📞 الافتقاد")</f>
        <v>📞 الافتقاد</v>
      </c>
      <c r="K2" s="111"/>
      <c r="L2" s="111"/>
      <c r="M2" s="111"/>
      <c r="N2" s="111"/>
      <c r="O2" s="111"/>
      <c r="P2" s="111" t="str">
        <f>HYPERLINK("#'قاعدة البيانات'!A1","📋 القاعدة")</f>
        <v>📋 القاعدة</v>
      </c>
      <c r="Q2" s="111"/>
      <c r="R2" s="111"/>
      <c r="S2" s="111"/>
      <c r="T2" s="111"/>
      <c r="U2" s="111"/>
      <c r="V2" s="111"/>
    </row>
    <row r="3" spans="1:65" ht="25.5" customHeight="1">
      <c r="A3" s="154" t="str">
        <f>"📅 جمع مسجلة: "&amp;COUNT(J4:BJ4)&amp;"  |  📊 "&amp;IFERROR(ROUND(SUM(C7:C36)/(SUM(C7:C36)+SUM(D7:D36))*100,0)&amp;"%","—")</f>
        <v>📅 جمع مسجلة: 0  |  📊 —</v>
      </c>
      <c r="B3" s="154"/>
      <c r="C3" s="148" t="s">
        <v>55</v>
      </c>
      <c r="D3" s="148"/>
      <c r="E3" s="148"/>
      <c r="F3" s="148"/>
      <c r="G3" s="148"/>
      <c r="H3" s="148"/>
      <c r="I3" s="148"/>
      <c r="J3" s="149" t="s">
        <v>56</v>
      </c>
      <c r="K3" s="149"/>
      <c r="L3" s="149"/>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row>
    <row r="4" spans="1:65" ht="21.75" customHeight="1">
      <c r="A4" s="150" t="s">
        <v>57</v>
      </c>
      <c r="B4" s="150"/>
      <c r="C4" s="150"/>
      <c r="D4" s="150"/>
      <c r="E4" s="150"/>
      <c r="F4" s="150"/>
      <c r="G4" s="150"/>
      <c r="H4" s="150"/>
      <c r="I4" s="150"/>
      <c r="J4" s="45" t="str">
        <f t="shared" ref="J4:AO4" si="0">IF(J$6="","",IF(COUNTA(J$7:J$36)=0,"",COUNTIF(J$7:J$36,"ح")))</f>
        <v/>
      </c>
      <c r="K4" s="45" t="str">
        <f t="shared" si="0"/>
        <v/>
      </c>
      <c r="L4" s="45" t="str">
        <f t="shared" si="0"/>
        <v/>
      </c>
      <c r="M4" s="45" t="str">
        <f t="shared" si="0"/>
        <v/>
      </c>
      <c r="N4" s="45" t="str">
        <f t="shared" si="0"/>
        <v/>
      </c>
      <c r="O4" s="45" t="str">
        <f t="shared" si="0"/>
        <v/>
      </c>
      <c r="P4" s="45" t="str">
        <f t="shared" si="0"/>
        <v/>
      </c>
      <c r="Q4" s="45" t="str">
        <f t="shared" si="0"/>
        <v/>
      </c>
      <c r="R4" s="45" t="str">
        <f t="shared" si="0"/>
        <v/>
      </c>
      <c r="S4" s="45" t="str">
        <f t="shared" si="0"/>
        <v/>
      </c>
      <c r="T4" s="45" t="str">
        <f t="shared" si="0"/>
        <v/>
      </c>
      <c r="U4" s="45" t="str">
        <f t="shared" si="0"/>
        <v/>
      </c>
      <c r="V4" s="45" t="str">
        <f t="shared" si="0"/>
        <v/>
      </c>
      <c r="W4" s="45" t="str">
        <f t="shared" si="0"/>
        <v/>
      </c>
      <c r="X4" s="45" t="str">
        <f t="shared" si="0"/>
        <v/>
      </c>
      <c r="Y4" s="45" t="str">
        <f t="shared" si="0"/>
        <v/>
      </c>
      <c r="Z4" s="45" t="str">
        <f t="shared" si="0"/>
        <v/>
      </c>
      <c r="AA4" s="45" t="str">
        <f t="shared" si="0"/>
        <v/>
      </c>
      <c r="AB4" s="45" t="str">
        <f t="shared" si="0"/>
        <v/>
      </c>
      <c r="AC4" s="45" t="str">
        <f t="shared" si="0"/>
        <v/>
      </c>
      <c r="AD4" s="45" t="str">
        <f t="shared" si="0"/>
        <v/>
      </c>
      <c r="AE4" s="45" t="str">
        <f t="shared" si="0"/>
        <v/>
      </c>
      <c r="AF4" s="45" t="str">
        <f t="shared" si="0"/>
        <v/>
      </c>
      <c r="AG4" s="45" t="str">
        <f t="shared" si="0"/>
        <v/>
      </c>
      <c r="AH4" s="45" t="str">
        <f t="shared" si="0"/>
        <v/>
      </c>
      <c r="AI4" s="45" t="str">
        <f t="shared" si="0"/>
        <v/>
      </c>
      <c r="AJ4" s="45" t="str">
        <f t="shared" si="0"/>
        <v/>
      </c>
      <c r="AK4" s="45" t="str">
        <f t="shared" si="0"/>
        <v/>
      </c>
      <c r="AL4" s="45" t="str">
        <f t="shared" si="0"/>
        <v/>
      </c>
      <c r="AM4" s="45" t="str">
        <f t="shared" si="0"/>
        <v/>
      </c>
      <c r="AN4" s="45" t="str">
        <f t="shared" si="0"/>
        <v/>
      </c>
      <c r="AO4" s="45" t="str">
        <f t="shared" si="0"/>
        <v/>
      </c>
      <c r="AP4" s="45" t="str">
        <f t="shared" ref="AP4:BJ4" si="1">IF(AP$6="","",IF(COUNTA(AP$7:AP$36)=0,"",COUNTIF(AP$7:AP$36,"ح")))</f>
        <v/>
      </c>
      <c r="AQ4" s="45" t="str">
        <f t="shared" si="1"/>
        <v/>
      </c>
      <c r="AR4" s="45" t="str">
        <f t="shared" si="1"/>
        <v/>
      </c>
      <c r="AS4" s="45" t="str">
        <f t="shared" si="1"/>
        <v/>
      </c>
      <c r="AT4" s="45" t="str">
        <f t="shared" si="1"/>
        <v/>
      </c>
      <c r="AU4" s="45" t="str">
        <f t="shared" si="1"/>
        <v/>
      </c>
      <c r="AV4" s="45" t="str">
        <f t="shared" si="1"/>
        <v/>
      </c>
      <c r="AW4" s="45" t="str">
        <f t="shared" si="1"/>
        <v/>
      </c>
      <c r="AX4" s="45" t="str">
        <f t="shared" si="1"/>
        <v/>
      </c>
      <c r="AY4" s="45" t="str">
        <f t="shared" si="1"/>
        <v/>
      </c>
      <c r="AZ4" s="45" t="str">
        <f t="shared" si="1"/>
        <v/>
      </c>
      <c r="BA4" s="45" t="str">
        <f t="shared" si="1"/>
        <v/>
      </c>
      <c r="BB4" s="45" t="str">
        <f t="shared" si="1"/>
        <v/>
      </c>
      <c r="BC4" s="45" t="str">
        <f t="shared" si="1"/>
        <v/>
      </c>
      <c r="BD4" s="45" t="str">
        <f t="shared" si="1"/>
        <v/>
      </c>
      <c r="BE4" s="45" t="str">
        <f t="shared" si="1"/>
        <v/>
      </c>
      <c r="BF4" s="45" t="str">
        <f t="shared" si="1"/>
        <v/>
      </c>
      <c r="BG4" s="45" t="str">
        <f t="shared" si="1"/>
        <v/>
      </c>
      <c r="BH4" s="45" t="str">
        <f t="shared" si="1"/>
        <v/>
      </c>
      <c r="BI4" s="45" t="str">
        <f t="shared" si="1"/>
        <v/>
      </c>
      <c r="BJ4" s="45" t="str">
        <f t="shared" si="1"/>
        <v/>
      </c>
    </row>
    <row r="5" spans="1:65" ht="21.75" customHeight="1">
      <c r="A5" s="150" t="s">
        <v>58</v>
      </c>
      <c r="B5" s="150"/>
      <c r="C5" s="150"/>
      <c r="D5" s="150"/>
      <c r="E5" s="150"/>
      <c r="F5" s="150"/>
      <c r="G5" s="150"/>
      <c r="H5" s="150"/>
      <c r="I5" s="150"/>
      <c r="J5" s="46" t="str">
        <f t="shared" ref="J5:AO5" si="2">IF(J4="","",IFERROR(J4/(COUNTIF(J$7:J$36,"ح")+COUNTIF(J$7:J$36,"غ")),""))</f>
        <v/>
      </c>
      <c r="K5" s="46" t="str">
        <f t="shared" si="2"/>
        <v/>
      </c>
      <c r="L5" s="46" t="str">
        <f t="shared" si="2"/>
        <v/>
      </c>
      <c r="M5" s="46" t="str">
        <f t="shared" si="2"/>
        <v/>
      </c>
      <c r="N5" s="46" t="str">
        <f t="shared" si="2"/>
        <v/>
      </c>
      <c r="O5" s="46" t="str">
        <f t="shared" si="2"/>
        <v/>
      </c>
      <c r="P5" s="46" t="str">
        <f t="shared" si="2"/>
        <v/>
      </c>
      <c r="Q5" s="46" t="str">
        <f t="shared" si="2"/>
        <v/>
      </c>
      <c r="R5" s="46" t="str">
        <f t="shared" si="2"/>
        <v/>
      </c>
      <c r="S5" s="46" t="str">
        <f t="shared" si="2"/>
        <v/>
      </c>
      <c r="T5" s="46" t="str">
        <f t="shared" si="2"/>
        <v/>
      </c>
      <c r="U5" s="46" t="str">
        <f t="shared" si="2"/>
        <v/>
      </c>
      <c r="V5" s="46" t="str">
        <f t="shared" si="2"/>
        <v/>
      </c>
      <c r="W5" s="46" t="str">
        <f t="shared" si="2"/>
        <v/>
      </c>
      <c r="X5" s="46" t="str">
        <f t="shared" si="2"/>
        <v/>
      </c>
      <c r="Y5" s="46" t="str">
        <f t="shared" si="2"/>
        <v/>
      </c>
      <c r="Z5" s="46" t="str">
        <f t="shared" si="2"/>
        <v/>
      </c>
      <c r="AA5" s="46" t="str">
        <f t="shared" si="2"/>
        <v/>
      </c>
      <c r="AB5" s="46" t="str">
        <f t="shared" si="2"/>
        <v/>
      </c>
      <c r="AC5" s="46" t="str">
        <f t="shared" si="2"/>
        <v/>
      </c>
      <c r="AD5" s="46" t="str">
        <f t="shared" si="2"/>
        <v/>
      </c>
      <c r="AE5" s="46" t="str">
        <f t="shared" si="2"/>
        <v/>
      </c>
      <c r="AF5" s="46" t="str">
        <f t="shared" si="2"/>
        <v/>
      </c>
      <c r="AG5" s="46" t="str">
        <f t="shared" si="2"/>
        <v/>
      </c>
      <c r="AH5" s="46" t="str">
        <f t="shared" si="2"/>
        <v/>
      </c>
      <c r="AI5" s="46" t="str">
        <f t="shared" si="2"/>
        <v/>
      </c>
      <c r="AJ5" s="46" t="str">
        <f t="shared" si="2"/>
        <v/>
      </c>
      <c r="AK5" s="46" t="str">
        <f t="shared" si="2"/>
        <v/>
      </c>
      <c r="AL5" s="46" t="str">
        <f t="shared" si="2"/>
        <v/>
      </c>
      <c r="AM5" s="46" t="str">
        <f t="shared" si="2"/>
        <v/>
      </c>
      <c r="AN5" s="46" t="str">
        <f t="shared" si="2"/>
        <v/>
      </c>
      <c r="AO5" s="46" t="str">
        <f t="shared" si="2"/>
        <v/>
      </c>
      <c r="AP5" s="46" t="str">
        <f t="shared" ref="AP5:BU5" si="3">IF(AP4="","",IFERROR(AP4/(COUNTIF(AP$7:AP$36,"ح")+COUNTIF(AP$7:AP$36,"غ")),""))</f>
        <v/>
      </c>
      <c r="AQ5" s="46" t="str">
        <f t="shared" si="3"/>
        <v/>
      </c>
      <c r="AR5" s="46" t="str">
        <f t="shared" si="3"/>
        <v/>
      </c>
      <c r="AS5" s="46" t="str">
        <f t="shared" si="3"/>
        <v/>
      </c>
      <c r="AT5" s="46" t="str">
        <f t="shared" si="3"/>
        <v/>
      </c>
      <c r="AU5" s="46" t="str">
        <f t="shared" si="3"/>
        <v/>
      </c>
      <c r="AV5" s="46" t="str">
        <f t="shared" si="3"/>
        <v/>
      </c>
      <c r="AW5" s="46" t="str">
        <f t="shared" si="3"/>
        <v/>
      </c>
      <c r="AX5" s="46" t="str">
        <f t="shared" si="3"/>
        <v/>
      </c>
      <c r="AY5" s="46" t="str">
        <f t="shared" si="3"/>
        <v/>
      </c>
      <c r="AZ5" s="46" t="str">
        <f t="shared" si="3"/>
        <v/>
      </c>
      <c r="BA5" s="46" t="str">
        <f t="shared" si="3"/>
        <v/>
      </c>
      <c r="BB5" s="46" t="str">
        <f t="shared" si="3"/>
        <v/>
      </c>
      <c r="BC5" s="46" t="str">
        <f t="shared" si="3"/>
        <v/>
      </c>
      <c r="BD5" s="46" t="str">
        <f t="shared" si="3"/>
        <v/>
      </c>
      <c r="BE5" s="46" t="str">
        <f t="shared" si="3"/>
        <v/>
      </c>
      <c r="BF5" s="46" t="str">
        <f t="shared" si="3"/>
        <v/>
      </c>
      <c r="BG5" s="46" t="str">
        <f t="shared" si="3"/>
        <v/>
      </c>
      <c r="BH5" s="46" t="str">
        <f t="shared" si="3"/>
        <v/>
      </c>
      <c r="BI5" s="46" t="str">
        <f t="shared" si="3"/>
        <v/>
      </c>
      <c r="BJ5" s="46" t="str">
        <f t="shared" si="3"/>
        <v/>
      </c>
    </row>
    <row r="6" spans="1:65" ht="36" customHeight="1">
      <c r="A6" s="61" t="s">
        <v>20</v>
      </c>
      <c r="B6" s="61" t="s">
        <v>22</v>
      </c>
      <c r="C6" s="61" t="s">
        <v>35</v>
      </c>
      <c r="D6" s="61" t="s">
        <v>36</v>
      </c>
      <c r="E6" s="61" t="s">
        <v>59</v>
      </c>
      <c r="F6" s="61" t="s">
        <v>37</v>
      </c>
      <c r="G6" s="61" t="s">
        <v>38</v>
      </c>
      <c r="H6" s="61" t="s">
        <v>39</v>
      </c>
      <c r="I6" s="61" t="s">
        <v>32</v>
      </c>
      <c r="J6" s="62">
        <f>IF(الإعدادات!$B$14&lt;=الإعدادات!$B$11,الإعدادات!$B$14,"")</f>
        <v>46297</v>
      </c>
      <c r="K6" s="62">
        <f>IF(J6="","",IF(J6+7&lt;=الإعدادات!$B$11,J6+7,""))</f>
        <v>46304</v>
      </c>
      <c r="L6" s="62">
        <f>IF(K6="","",IF(K6+7&lt;=الإعدادات!$B$11,K6+7,""))</f>
        <v>46311</v>
      </c>
      <c r="M6" s="62">
        <f>IF(L6="","",IF(L6+7&lt;=الإعدادات!$B$11,L6+7,""))</f>
        <v>46318</v>
      </c>
      <c r="N6" s="62">
        <f>IF(M6="","",IF(M6+7&lt;=الإعدادات!$B$11,M6+7,""))</f>
        <v>46325</v>
      </c>
      <c r="O6" s="62">
        <f>IF(N6="","",IF(N6+7&lt;=الإعدادات!$B$11,N6+7,""))</f>
        <v>46332</v>
      </c>
      <c r="P6" s="62">
        <f>IF(O6="","",IF(O6+7&lt;=الإعدادات!$B$11,O6+7,""))</f>
        <v>46339</v>
      </c>
      <c r="Q6" s="62">
        <f>IF(P6="","",IF(P6+7&lt;=الإعدادات!$B$11,P6+7,""))</f>
        <v>46346</v>
      </c>
      <c r="R6" s="62">
        <f>IF(Q6="","",IF(Q6+7&lt;=الإعدادات!$B$11,Q6+7,""))</f>
        <v>46353</v>
      </c>
      <c r="S6" s="62">
        <f>IF(R6="","",IF(R6+7&lt;=الإعدادات!$B$11,R6+7,""))</f>
        <v>46360</v>
      </c>
      <c r="T6" s="62">
        <f>IF(S6="","",IF(S6+7&lt;=الإعدادات!$B$11,S6+7,""))</f>
        <v>46367</v>
      </c>
      <c r="U6" s="62">
        <f>IF(T6="","",IF(T6+7&lt;=الإعدادات!$B$11,T6+7,""))</f>
        <v>46374</v>
      </c>
      <c r="V6" s="62">
        <f>IF(U6="","",IF(U6+7&lt;=الإعدادات!$B$11,U6+7,""))</f>
        <v>46381</v>
      </c>
      <c r="W6" s="62">
        <f>IF(V6="","",IF(V6+7&lt;=الإعدادات!$B$11,V6+7,""))</f>
        <v>46388</v>
      </c>
      <c r="X6" s="62">
        <f>IF(W6="","",IF(W6+7&lt;=الإعدادات!$B$11,W6+7,""))</f>
        <v>46395</v>
      </c>
      <c r="Y6" s="62">
        <f>IF(X6="","",IF(X6+7&lt;=الإعدادات!$B$11,X6+7,""))</f>
        <v>46402</v>
      </c>
      <c r="Z6" s="62">
        <f>IF(Y6="","",IF(Y6+7&lt;=الإعدادات!$B$11,Y6+7,""))</f>
        <v>46409</v>
      </c>
      <c r="AA6" s="62">
        <f>IF(Z6="","",IF(Z6+7&lt;=الإعدادات!$B$11,Z6+7,""))</f>
        <v>46416</v>
      </c>
      <c r="AB6" s="62">
        <f>IF(AA6="","",IF(AA6+7&lt;=الإعدادات!$B$11,AA6+7,""))</f>
        <v>46423</v>
      </c>
      <c r="AC6" s="62">
        <f>IF(AB6="","",IF(AB6+7&lt;=الإعدادات!$B$11,AB6+7,""))</f>
        <v>46430</v>
      </c>
      <c r="AD6" s="62">
        <f>IF(AC6="","",IF(AC6+7&lt;=الإعدادات!$B$11,AC6+7,""))</f>
        <v>46437</v>
      </c>
      <c r="AE6" s="62">
        <f>IF(AD6="","",IF(AD6+7&lt;=الإعدادات!$B$11,AD6+7,""))</f>
        <v>46444</v>
      </c>
      <c r="AF6" s="62">
        <f>IF(AE6="","",IF(AE6+7&lt;=الإعدادات!$B$11,AE6+7,""))</f>
        <v>46451</v>
      </c>
      <c r="AG6" s="62">
        <f>IF(AF6="","",IF(AF6+7&lt;=الإعدادات!$B$11,AF6+7,""))</f>
        <v>46458</v>
      </c>
      <c r="AH6" s="62">
        <f>IF(AG6="","",IF(AG6+7&lt;=الإعدادات!$B$11,AG6+7,""))</f>
        <v>46465</v>
      </c>
      <c r="AI6" s="62">
        <f>IF(AH6="","",IF(AH6+7&lt;=الإعدادات!$B$11,AH6+7,""))</f>
        <v>46472</v>
      </c>
      <c r="AJ6" s="62">
        <f>IF(AI6="","",IF(AI6+7&lt;=الإعدادات!$B$11,AI6+7,""))</f>
        <v>46479</v>
      </c>
      <c r="AK6" s="62">
        <f>IF(AJ6="","",IF(AJ6+7&lt;=الإعدادات!$B$11,AJ6+7,""))</f>
        <v>46486</v>
      </c>
      <c r="AL6" s="62">
        <f>IF(AK6="","",IF(AK6+7&lt;=الإعدادات!$B$11,AK6+7,""))</f>
        <v>46493</v>
      </c>
      <c r="AM6" s="62">
        <f>IF(AL6="","",IF(AL6+7&lt;=الإعدادات!$B$11,AL6+7,""))</f>
        <v>46500</v>
      </c>
      <c r="AN6" s="62">
        <f>IF(AM6="","",IF(AM6+7&lt;=الإعدادات!$B$11,AM6+7,""))</f>
        <v>46507</v>
      </c>
      <c r="AO6" s="62">
        <f>IF(AN6="","",IF(AN6+7&lt;=الإعدادات!$B$11,AN6+7,""))</f>
        <v>46514</v>
      </c>
      <c r="AP6" s="62">
        <f>IF(AO6="","",IF(AO6+7&lt;=الإعدادات!$B$11,AO6+7,""))</f>
        <v>46521</v>
      </c>
      <c r="AQ6" s="62">
        <f>IF(AP6="","",IF(AP6+7&lt;=الإعدادات!$B$11,AP6+7,""))</f>
        <v>46528</v>
      </c>
      <c r="AR6" s="62">
        <f>IF(AQ6="","",IF(AQ6+7&lt;=الإعدادات!$B$11,AQ6+7,""))</f>
        <v>46535</v>
      </c>
      <c r="AS6" s="62">
        <f>IF(AR6="","",IF(AR6+7&lt;=الإعدادات!$B$11,AR6+7,""))</f>
        <v>46542</v>
      </c>
      <c r="AT6" s="62">
        <f>IF(AS6="","",IF(AS6+7&lt;=الإعدادات!$B$11,AS6+7,""))</f>
        <v>46549</v>
      </c>
      <c r="AU6" s="62">
        <f>IF(AT6="","",IF(AT6+7&lt;=الإعدادات!$B$11,AT6+7,""))</f>
        <v>46556</v>
      </c>
      <c r="AV6" s="62">
        <f>IF(AU6="","",IF(AU6+7&lt;=الإعدادات!$B$11,AU6+7,""))</f>
        <v>46563</v>
      </c>
      <c r="AW6" s="62">
        <f>IF(AV6="","",IF(AV6+7&lt;=الإعدادات!$B$11,AV6+7,""))</f>
        <v>46570</v>
      </c>
      <c r="AX6" s="62">
        <f>IF(AW6="","",IF(AW6+7&lt;=الإعدادات!$B$11,AW6+7,""))</f>
        <v>46577</v>
      </c>
      <c r="AY6" s="62">
        <f>IF(AX6="","",IF(AX6+7&lt;=الإعدادات!$B$11,AX6+7,""))</f>
        <v>46584</v>
      </c>
      <c r="AZ6" s="62">
        <f>IF(AY6="","",IF(AY6+7&lt;=الإعدادات!$B$11,AY6+7,""))</f>
        <v>46591</v>
      </c>
      <c r="BA6" s="62">
        <f>IF(AZ6="","",IF(AZ6+7&lt;=الإعدادات!$B$11,AZ6+7,""))</f>
        <v>46598</v>
      </c>
      <c r="BB6" s="62">
        <f>IF(BA6="","",IF(BA6+7&lt;=الإعدادات!$B$11,BA6+7,""))</f>
        <v>46605</v>
      </c>
      <c r="BC6" s="62">
        <f>IF(BB6="","",IF(BB6+7&lt;=الإعدادات!$B$11,BB6+7,""))</f>
        <v>46612</v>
      </c>
      <c r="BD6" s="62">
        <f>IF(BC6="","",IF(BC6+7&lt;=الإعدادات!$B$11,BC6+7,""))</f>
        <v>46619</v>
      </c>
      <c r="BE6" s="62">
        <f>IF(BD6="","",IF(BD6+7&lt;=الإعدادات!$B$11,BD6+7,""))</f>
        <v>46626</v>
      </c>
      <c r="BF6" s="62">
        <f>IF(BE6="","",IF(BE6+7&lt;=الإعدادات!$B$11,BE6+7,""))</f>
        <v>46633</v>
      </c>
      <c r="BG6" s="62">
        <f>IF(BF6="","",IF(BF6+7&lt;=الإعدادات!$B$11,BF6+7,""))</f>
        <v>46640</v>
      </c>
      <c r="BH6" s="62">
        <f>IF(BG6="","",IF(BG6+7&lt;=الإعدادات!$B$11,BG6+7,""))</f>
        <v>46647</v>
      </c>
      <c r="BI6" s="62">
        <f>IF(BH6="","",IF(BH6+7&lt;=الإعدادات!$B$11,BH6+7,""))</f>
        <v>46654</v>
      </c>
      <c r="BJ6" s="62">
        <f>IF(BI6="","",IF(BI6+7&lt;=الإعدادات!$B$11,BI6+7,""))</f>
        <v>46661</v>
      </c>
    </row>
    <row r="7" spans="1:65" ht="21.75" customHeight="1">
      <c r="A7" s="49" t="str">
        <f>IF($BL7=0,"",1)</f>
        <v/>
      </c>
      <c r="B7" s="50" t="str">
        <f>IF($BL7=0,"",INDEX('قاعدة البيانات'!$C$6:$C$305,$BL7))</f>
        <v/>
      </c>
      <c r="C7" s="51" t="str">
        <f t="shared" ref="C7:C36" si="4">IF($BL7=0,"",COUNTIF($J7:$BJ7,"ح"))</f>
        <v/>
      </c>
      <c r="D7" s="52" t="str">
        <f t="shared" ref="D7:D36" si="5">IF($BL7=0,"",COUNTIF($J7:$BJ7,"غ"))</f>
        <v/>
      </c>
      <c r="E7" s="53" t="str">
        <f t="shared" ref="E7:E36" si="6">IF($BL7=0,"",COUNTIF($J7:$BJ7,"ع"))</f>
        <v/>
      </c>
      <c r="F7" s="54" t="str">
        <f t="shared" ref="F7:F36" si="7">IF($BL7=0,"",IF(C7+D7=0,"",C7/(C7+D7)))</f>
        <v/>
      </c>
      <c r="G7" s="55" t="str">
        <f t="shared" ref="G7:G36" si="8">IF($BL7=0,"",SUMPRODUCT(($J7:$BJ7="غ")*((COLUMN($J7:$BJ7)-COLUMN($J7)+1)&gt;IFERROR(LOOKUP(2,1/($J7:$BJ7="ح"),COLUMN($J7:$BJ7)-COLUMN($J7)+1),0))))</f>
        <v/>
      </c>
      <c r="H7" s="56" t="str">
        <f t="shared" ref="H7:H36" si="9">IF($BL7=0,"",IFERROR(LOOKUP(2,1/($J7:$BJ7="ح"),$J$6:$BJ$6),"—"))</f>
        <v/>
      </c>
      <c r="I7" s="57" t="str">
        <f t="shared" ref="I7:I36" si="10">IF($BL7=0,"",IF($BM7=0,"⏳ لسه مفيش حضور",CHOOSE($BM7,"⭐ ممتاز","👍 جيد","⚠️ محتاج متابعة","📞 افتقاده ضروري","⛔ غير نشط")))</f>
        <v/>
      </c>
      <c r="J7" s="58"/>
      <c r="K7" s="58"/>
      <c r="L7" s="58"/>
      <c r="M7" s="58"/>
      <c r="N7" s="58"/>
      <c r="O7" s="58"/>
      <c r="P7" s="58"/>
      <c r="Q7" s="58"/>
      <c r="R7" s="58"/>
      <c r="S7" s="58"/>
      <c r="T7" s="58"/>
      <c r="U7" s="58"/>
      <c r="V7" s="58"/>
      <c r="W7" s="58"/>
      <c r="X7" s="58"/>
      <c r="Y7" s="58"/>
      <c r="Z7" s="58"/>
      <c r="AA7" s="58"/>
      <c r="AB7" s="58"/>
      <c r="AC7" s="58"/>
      <c r="AD7" s="58"/>
      <c r="AE7" s="58"/>
      <c r="AF7" s="58"/>
      <c r="AG7" s="58"/>
      <c r="AH7" s="58"/>
      <c r="AI7" s="58"/>
      <c r="AJ7" s="58"/>
      <c r="AK7" s="58"/>
      <c r="AL7" s="58"/>
      <c r="AM7" s="58"/>
      <c r="AN7" s="58"/>
      <c r="AO7" s="58"/>
      <c r="AP7" s="58"/>
      <c r="AQ7" s="58"/>
      <c r="AR7" s="58"/>
      <c r="AS7" s="58"/>
      <c r="AT7" s="58"/>
      <c r="AU7" s="58"/>
      <c r="AV7" s="58"/>
      <c r="AW7" s="58"/>
      <c r="AX7" s="58"/>
      <c r="AY7" s="58"/>
      <c r="AZ7" s="58"/>
      <c r="BA7" s="58"/>
      <c r="BB7" s="58"/>
      <c r="BC7" s="58"/>
      <c r="BD7" s="58"/>
      <c r="BE7" s="58"/>
      <c r="BF7" s="58"/>
      <c r="BG7" s="58"/>
      <c r="BH7" s="58"/>
      <c r="BI7" s="58"/>
      <c r="BJ7" s="58"/>
      <c r="BL7">
        <f>IFERROR(MATCH(الإعدادات!$B$6&amp;"|"&amp;1,'قاعدة البيانات'!$N$6:$N$305,0),0)</f>
        <v>0</v>
      </c>
      <c r="BM7">
        <f>IF($BL7=0,0,IF(INDEX('قاعدة البيانات'!$M$6:$M$305,$BL7)="غير نشط",5,IF($F7="",0,IF($G7&gt;=الإعدادات!$B$18,4,IF($F7&gt;=الإعدادات!$B$16,1,IF($F7&gt;=الإعدادات!$B$17,2,3))))))</f>
        <v>0</v>
      </c>
    </row>
    <row r="8" spans="1:65" ht="21.75" customHeight="1">
      <c r="A8" s="49" t="str">
        <f>IF($BL8=0,"",2)</f>
        <v/>
      </c>
      <c r="B8" s="50" t="str">
        <f>IF($BL8=0,"",INDEX('قاعدة البيانات'!$C$6:$C$305,$BL8))</f>
        <v/>
      </c>
      <c r="C8" s="51" t="str">
        <f t="shared" si="4"/>
        <v/>
      </c>
      <c r="D8" s="52" t="str">
        <f t="shared" si="5"/>
        <v/>
      </c>
      <c r="E8" s="53" t="str">
        <f t="shared" si="6"/>
        <v/>
      </c>
      <c r="F8" s="54" t="str">
        <f t="shared" si="7"/>
        <v/>
      </c>
      <c r="G8" s="55" t="str">
        <f t="shared" si="8"/>
        <v/>
      </c>
      <c r="H8" s="56" t="str">
        <f t="shared" si="9"/>
        <v/>
      </c>
      <c r="I8" s="57" t="str">
        <f t="shared" si="10"/>
        <v/>
      </c>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c r="AQ8" s="58"/>
      <c r="AR8" s="58"/>
      <c r="AS8" s="58"/>
      <c r="AT8" s="58"/>
      <c r="AU8" s="58"/>
      <c r="AV8" s="58"/>
      <c r="AW8" s="58"/>
      <c r="AX8" s="58"/>
      <c r="AY8" s="58"/>
      <c r="AZ8" s="58"/>
      <c r="BA8" s="58"/>
      <c r="BB8" s="58"/>
      <c r="BC8" s="58"/>
      <c r="BD8" s="58"/>
      <c r="BE8" s="58"/>
      <c r="BF8" s="58"/>
      <c r="BG8" s="58"/>
      <c r="BH8" s="58"/>
      <c r="BI8" s="58"/>
      <c r="BJ8" s="58"/>
      <c r="BL8">
        <f>IFERROR(MATCH(الإعدادات!$B$6&amp;"|"&amp;2,'قاعدة البيانات'!$N$6:$N$305,0),0)</f>
        <v>0</v>
      </c>
      <c r="BM8">
        <f>IF($BL8=0,0,IF(INDEX('قاعدة البيانات'!$M$6:$M$305,$BL8)="غير نشط",5,IF($F8="",0,IF($G8&gt;=الإعدادات!$B$18,4,IF($F8&gt;=الإعدادات!$B$16,1,IF($F8&gt;=الإعدادات!$B$17,2,3))))))</f>
        <v>0</v>
      </c>
    </row>
    <row r="9" spans="1:65" ht="21.75" customHeight="1">
      <c r="A9" s="49" t="str">
        <f>IF($BL9=0,"",3)</f>
        <v/>
      </c>
      <c r="B9" s="50" t="str">
        <f>IF($BL9=0,"",INDEX('قاعدة البيانات'!$C$6:$C$305,$BL9))</f>
        <v/>
      </c>
      <c r="C9" s="51" t="str">
        <f t="shared" si="4"/>
        <v/>
      </c>
      <c r="D9" s="52" t="str">
        <f t="shared" si="5"/>
        <v/>
      </c>
      <c r="E9" s="53" t="str">
        <f t="shared" si="6"/>
        <v/>
      </c>
      <c r="F9" s="54" t="str">
        <f t="shared" si="7"/>
        <v/>
      </c>
      <c r="G9" s="55" t="str">
        <f t="shared" si="8"/>
        <v/>
      </c>
      <c r="H9" s="56" t="str">
        <f t="shared" si="9"/>
        <v/>
      </c>
      <c r="I9" s="57" t="str">
        <f t="shared" si="10"/>
        <v/>
      </c>
      <c r="J9" s="58"/>
      <c r="K9" s="58"/>
      <c r="L9" s="58"/>
      <c r="M9" s="58"/>
      <c r="N9" s="58"/>
      <c r="O9" s="58"/>
      <c r="P9" s="58"/>
      <c r="Q9" s="58"/>
      <c r="R9" s="58"/>
      <c r="S9" s="58"/>
      <c r="T9" s="58"/>
      <c r="U9" s="58"/>
      <c r="V9" s="58"/>
      <c r="W9" s="58"/>
      <c r="X9" s="58"/>
      <c r="Y9" s="58"/>
      <c r="Z9" s="58"/>
      <c r="AA9" s="58"/>
      <c r="AB9" s="58"/>
      <c r="AC9" s="58"/>
      <c r="AD9" s="58"/>
      <c r="AE9" s="58"/>
      <c r="AF9" s="58"/>
      <c r="AG9" s="58"/>
      <c r="AH9" s="58"/>
      <c r="AI9" s="58"/>
      <c r="AJ9" s="58"/>
      <c r="AK9" s="58"/>
      <c r="AL9" s="58"/>
      <c r="AM9" s="58"/>
      <c r="AN9" s="58"/>
      <c r="AO9" s="58"/>
      <c r="AP9" s="58"/>
      <c r="AQ9" s="58"/>
      <c r="AR9" s="58"/>
      <c r="AS9" s="58"/>
      <c r="AT9" s="58"/>
      <c r="AU9" s="58"/>
      <c r="AV9" s="58"/>
      <c r="AW9" s="58"/>
      <c r="AX9" s="58"/>
      <c r="AY9" s="58"/>
      <c r="AZ9" s="58"/>
      <c r="BA9" s="58"/>
      <c r="BB9" s="58"/>
      <c r="BC9" s="58"/>
      <c r="BD9" s="58"/>
      <c r="BE9" s="58"/>
      <c r="BF9" s="58"/>
      <c r="BG9" s="58"/>
      <c r="BH9" s="58"/>
      <c r="BI9" s="58"/>
      <c r="BJ9" s="58"/>
      <c r="BL9">
        <f>IFERROR(MATCH(الإعدادات!$B$6&amp;"|"&amp;3,'قاعدة البيانات'!$N$6:$N$305,0),0)</f>
        <v>0</v>
      </c>
      <c r="BM9">
        <f>IF($BL9=0,0,IF(INDEX('قاعدة البيانات'!$M$6:$M$305,$BL9)="غير نشط",5,IF($F9="",0,IF($G9&gt;=الإعدادات!$B$18,4,IF($F9&gt;=الإعدادات!$B$16,1,IF($F9&gt;=الإعدادات!$B$17,2,3))))))</f>
        <v>0</v>
      </c>
    </row>
    <row r="10" spans="1:65" ht="21.75" customHeight="1">
      <c r="A10" s="49" t="str">
        <f>IF($BL10=0,"",4)</f>
        <v/>
      </c>
      <c r="B10" s="50" t="str">
        <f>IF($BL10=0,"",INDEX('قاعدة البيانات'!$C$6:$C$305,$BL10))</f>
        <v/>
      </c>
      <c r="C10" s="51" t="str">
        <f t="shared" si="4"/>
        <v/>
      </c>
      <c r="D10" s="52" t="str">
        <f t="shared" si="5"/>
        <v/>
      </c>
      <c r="E10" s="53" t="str">
        <f t="shared" si="6"/>
        <v/>
      </c>
      <c r="F10" s="54" t="str">
        <f t="shared" si="7"/>
        <v/>
      </c>
      <c r="G10" s="55" t="str">
        <f t="shared" si="8"/>
        <v/>
      </c>
      <c r="H10" s="56" t="str">
        <f t="shared" si="9"/>
        <v/>
      </c>
      <c r="I10" s="57" t="str">
        <f t="shared" si="10"/>
        <v/>
      </c>
      <c r="J10" s="58"/>
      <c r="K10" s="58"/>
      <c r="L10" s="58"/>
      <c r="M10" s="58"/>
      <c r="N10" s="58"/>
      <c r="O10" s="58"/>
      <c r="P10" s="58"/>
      <c r="Q10" s="58"/>
      <c r="R10" s="58"/>
      <c r="S10" s="58"/>
      <c r="T10" s="58"/>
      <c r="U10" s="58"/>
      <c r="V10" s="58"/>
      <c r="W10" s="58"/>
      <c r="X10" s="58"/>
      <c r="Y10" s="58"/>
      <c r="Z10" s="58"/>
      <c r="AA10" s="58"/>
      <c r="AB10" s="58"/>
      <c r="AC10" s="58"/>
      <c r="AD10" s="58"/>
      <c r="AE10" s="58"/>
      <c r="AF10" s="58"/>
      <c r="AG10" s="58"/>
      <c r="AH10" s="58"/>
      <c r="AI10" s="58"/>
      <c r="AJ10" s="58"/>
      <c r="AK10" s="58"/>
      <c r="AL10" s="58"/>
      <c r="AM10" s="58"/>
      <c r="AN10" s="58"/>
      <c r="AO10" s="58"/>
      <c r="AP10" s="58"/>
      <c r="AQ10" s="58"/>
      <c r="AR10" s="58"/>
      <c r="AS10" s="58"/>
      <c r="AT10" s="58"/>
      <c r="AU10" s="58"/>
      <c r="AV10" s="58"/>
      <c r="AW10" s="58"/>
      <c r="AX10" s="58"/>
      <c r="AY10" s="58"/>
      <c r="AZ10" s="58"/>
      <c r="BA10" s="58"/>
      <c r="BB10" s="58"/>
      <c r="BC10" s="58"/>
      <c r="BD10" s="58"/>
      <c r="BE10" s="58"/>
      <c r="BF10" s="58"/>
      <c r="BG10" s="58"/>
      <c r="BH10" s="58"/>
      <c r="BI10" s="58"/>
      <c r="BJ10" s="58"/>
      <c r="BL10">
        <f>IFERROR(MATCH(الإعدادات!$B$6&amp;"|"&amp;4,'قاعدة البيانات'!$N$6:$N$305,0),0)</f>
        <v>0</v>
      </c>
      <c r="BM10">
        <f>IF($BL10=0,0,IF(INDEX('قاعدة البيانات'!$M$6:$M$305,$BL10)="غير نشط",5,IF($F10="",0,IF($G10&gt;=الإعدادات!$B$18,4,IF($F10&gt;=الإعدادات!$B$16,1,IF($F10&gt;=الإعدادات!$B$17,2,3))))))</f>
        <v>0</v>
      </c>
    </row>
    <row r="11" spans="1:65" ht="21.75" customHeight="1">
      <c r="A11" s="49" t="str">
        <f>IF($BL11=0,"",5)</f>
        <v/>
      </c>
      <c r="B11" s="50" t="str">
        <f>IF($BL11=0,"",INDEX('قاعدة البيانات'!$C$6:$C$305,$BL11))</f>
        <v/>
      </c>
      <c r="C11" s="51" t="str">
        <f t="shared" si="4"/>
        <v/>
      </c>
      <c r="D11" s="52" t="str">
        <f t="shared" si="5"/>
        <v/>
      </c>
      <c r="E11" s="53" t="str">
        <f t="shared" si="6"/>
        <v/>
      </c>
      <c r="F11" s="54" t="str">
        <f t="shared" si="7"/>
        <v/>
      </c>
      <c r="G11" s="55" t="str">
        <f t="shared" si="8"/>
        <v/>
      </c>
      <c r="H11" s="56" t="str">
        <f t="shared" si="9"/>
        <v/>
      </c>
      <c r="I11" s="57" t="str">
        <f t="shared" si="10"/>
        <v/>
      </c>
      <c r="J11" s="58"/>
      <c r="K11" s="58"/>
      <c r="L11" s="58"/>
      <c r="M11" s="58"/>
      <c r="N11" s="58"/>
      <c r="O11" s="58"/>
      <c r="P11" s="58"/>
      <c r="Q11" s="58"/>
      <c r="R11" s="58"/>
      <c r="S11" s="58"/>
      <c r="T11" s="58"/>
      <c r="U11" s="58"/>
      <c r="V11" s="58"/>
      <c r="W11" s="58"/>
      <c r="X11" s="58"/>
      <c r="Y11" s="58"/>
      <c r="Z11" s="58"/>
      <c r="AA11" s="58"/>
      <c r="AB11" s="58"/>
      <c r="AC11" s="58"/>
      <c r="AD11" s="58"/>
      <c r="AE11" s="58"/>
      <c r="AF11" s="58"/>
      <c r="AG11" s="58"/>
      <c r="AH11" s="58"/>
      <c r="AI11" s="58"/>
      <c r="AJ11" s="58"/>
      <c r="AK11" s="58"/>
      <c r="AL11" s="58"/>
      <c r="AM11" s="58"/>
      <c r="AN11" s="58"/>
      <c r="AO11" s="58"/>
      <c r="AP11" s="58"/>
      <c r="AQ11" s="58"/>
      <c r="AR11" s="58"/>
      <c r="AS11" s="58"/>
      <c r="AT11" s="58"/>
      <c r="AU11" s="58"/>
      <c r="AV11" s="58"/>
      <c r="AW11" s="58"/>
      <c r="AX11" s="58"/>
      <c r="AY11" s="58"/>
      <c r="AZ11" s="58"/>
      <c r="BA11" s="58"/>
      <c r="BB11" s="58"/>
      <c r="BC11" s="58"/>
      <c r="BD11" s="58"/>
      <c r="BE11" s="58"/>
      <c r="BF11" s="58"/>
      <c r="BG11" s="58"/>
      <c r="BH11" s="58"/>
      <c r="BI11" s="58"/>
      <c r="BJ11" s="58"/>
      <c r="BL11">
        <f>IFERROR(MATCH(الإعدادات!$B$6&amp;"|"&amp;5,'قاعدة البيانات'!$N$6:$N$305,0),0)</f>
        <v>0</v>
      </c>
      <c r="BM11">
        <f>IF($BL11=0,0,IF(INDEX('قاعدة البيانات'!$M$6:$M$305,$BL11)="غير نشط",5,IF($F11="",0,IF($G11&gt;=الإعدادات!$B$18,4,IF($F11&gt;=الإعدادات!$B$16,1,IF($F11&gt;=الإعدادات!$B$17,2,3))))))</f>
        <v>0</v>
      </c>
    </row>
    <row r="12" spans="1:65" ht="21.75" customHeight="1">
      <c r="A12" s="49" t="str">
        <f>IF($BL12=0,"",6)</f>
        <v/>
      </c>
      <c r="B12" s="50" t="str">
        <f>IF($BL12=0,"",INDEX('قاعدة البيانات'!$C$6:$C$305,$BL12))</f>
        <v/>
      </c>
      <c r="C12" s="51" t="str">
        <f t="shared" si="4"/>
        <v/>
      </c>
      <c r="D12" s="52" t="str">
        <f t="shared" si="5"/>
        <v/>
      </c>
      <c r="E12" s="53" t="str">
        <f t="shared" si="6"/>
        <v/>
      </c>
      <c r="F12" s="54" t="str">
        <f t="shared" si="7"/>
        <v/>
      </c>
      <c r="G12" s="55" t="str">
        <f t="shared" si="8"/>
        <v/>
      </c>
      <c r="H12" s="56" t="str">
        <f t="shared" si="9"/>
        <v/>
      </c>
      <c r="I12" s="57" t="str">
        <f t="shared" si="10"/>
        <v/>
      </c>
      <c r="J12" s="58"/>
      <c r="K12" s="58"/>
      <c r="L12" s="58"/>
      <c r="M12" s="58"/>
      <c r="N12" s="58"/>
      <c r="O12" s="58"/>
      <c r="P12" s="58"/>
      <c r="Q12" s="58"/>
      <c r="R12" s="58"/>
      <c r="S12" s="58"/>
      <c r="T12" s="58"/>
      <c r="U12" s="58"/>
      <c r="V12" s="58"/>
      <c r="W12" s="58"/>
      <c r="X12" s="58"/>
      <c r="Y12" s="58"/>
      <c r="Z12" s="58"/>
      <c r="AA12" s="58"/>
      <c r="AB12" s="58"/>
      <c r="AC12" s="58"/>
      <c r="AD12" s="58"/>
      <c r="AE12" s="58"/>
      <c r="AF12" s="58"/>
      <c r="AG12" s="58"/>
      <c r="AH12" s="58"/>
      <c r="AI12" s="58"/>
      <c r="AJ12" s="58"/>
      <c r="AK12" s="58"/>
      <c r="AL12" s="58"/>
      <c r="AM12" s="58"/>
      <c r="AN12" s="58"/>
      <c r="AO12" s="58"/>
      <c r="AP12" s="58"/>
      <c r="AQ12" s="58"/>
      <c r="AR12" s="58"/>
      <c r="AS12" s="58"/>
      <c r="AT12" s="58"/>
      <c r="AU12" s="58"/>
      <c r="AV12" s="58"/>
      <c r="AW12" s="58"/>
      <c r="AX12" s="58"/>
      <c r="AY12" s="58"/>
      <c r="AZ12" s="58"/>
      <c r="BA12" s="58"/>
      <c r="BB12" s="58"/>
      <c r="BC12" s="58"/>
      <c r="BD12" s="58"/>
      <c r="BE12" s="58"/>
      <c r="BF12" s="58"/>
      <c r="BG12" s="58"/>
      <c r="BH12" s="58"/>
      <c r="BI12" s="58"/>
      <c r="BJ12" s="58"/>
      <c r="BL12">
        <f>IFERROR(MATCH(الإعدادات!$B$6&amp;"|"&amp;6,'قاعدة البيانات'!$N$6:$N$305,0),0)</f>
        <v>0</v>
      </c>
      <c r="BM12">
        <f>IF($BL12=0,0,IF(INDEX('قاعدة البيانات'!$M$6:$M$305,$BL12)="غير نشط",5,IF($F12="",0,IF($G12&gt;=الإعدادات!$B$18,4,IF($F12&gt;=الإعدادات!$B$16,1,IF($F12&gt;=الإعدادات!$B$17,2,3))))))</f>
        <v>0</v>
      </c>
    </row>
    <row r="13" spans="1:65" ht="21.75" customHeight="1">
      <c r="A13" s="49" t="str">
        <f>IF($BL13=0,"",7)</f>
        <v/>
      </c>
      <c r="B13" s="50" t="str">
        <f>IF($BL13=0,"",INDEX('قاعدة البيانات'!$C$6:$C$305,$BL13))</f>
        <v/>
      </c>
      <c r="C13" s="51" t="str">
        <f t="shared" si="4"/>
        <v/>
      </c>
      <c r="D13" s="52" t="str">
        <f t="shared" si="5"/>
        <v/>
      </c>
      <c r="E13" s="53" t="str">
        <f t="shared" si="6"/>
        <v/>
      </c>
      <c r="F13" s="54" t="str">
        <f t="shared" si="7"/>
        <v/>
      </c>
      <c r="G13" s="55" t="str">
        <f t="shared" si="8"/>
        <v/>
      </c>
      <c r="H13" s="56" t="str">
        <f t="shared" si="9"/>
        <v/>
      </c>
      <c r="I13" s="57" t="str">
        <f t="shared" si="10"/>
        <v/>
      </c>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c r="AQ13" s="58"/>
      <c r="AR13" s="58"/>
      <c r="AS13" s="58"/>
      <c r="AT13" s="58"/>
      <c r="AU13" s="58"/>
      <c r="AV13" s="58"/>
      <c r="AW13" s="58"/>
      <c r="AX13" s="58"/>
      <c r="AY13" s="58"/>
      <c r="AZ13" s="58"/>
      <c r="BA13" s="58"/>
      <c r="BB13" s="58"/>
      <c r="BC13" s="58"/>
      <c r="BD13" s="58"/>
      <c r="BE13" s="58"/>
      <c r="BF13" s="58"/>
      <c r="BG13" s="58"/>
      <c r="BH13" s="58"/>
      <c r="BI13" s="58"/>
      <c r="BJ13" s="58"/>
      <c r="BL13">
        <f>IFERROR(MATCH(الإعدادات!$B$6&amp;"|"&amp;7,'قاعدة البيانات'!$N$6:$N$305,0),0)</f>
        <v>0</v>
      </c>
      <c r="BM13">
        <f>IF($BL13=0,0,IF(INDEX('قاعدة البيانات'!$M$6:$M$305,$BL13)="غير نشط",5,IF($F13="",0,IF($G13&gt;=الإعدادات!$B$18,4,IF($F13&gt;=الإعدادات!$B$16,1,IF($F13&gt;=الإعدادات!$B$17,2,3))))))</f>
        <v>0</v>
      </c>
    </row>
    <row r="14" spans="1:65" ht="21.75" customHeight="1">
      <c r="A14" s="49" t="str">
        <f>IF($BL14=0,"",8)</f>
        <v/>
      </c>
      <c r="B14" s="50" t="str">
        <f>IF($BL14=0,"",INDEX('قاعدة البيانات'!$C$6:$C$305,$BL14))</f>
        <v/>
      </c>
      <c r="C14" s="51" t="str">
        <f t="shared" si="4"/>
        <v/>
      </c>
      <c r="D14" s="52" t="str">
        <f t="shared" si="5"/>
        <v/>
      </c>
      <c r="E14" s="53" t="str">
        <f t="shared" si="6"/>
        <v/>
      </c>
      <c r="F14" s="54" t="str">
        <f t="shared" si="7"/>
        <v/>
      </c>
      <c r="G14" s="55" t="str">
        <f t="shared" si="8"/>
        <v/>
      </c>
      <c r="H14" s="56" t="str">
        <f t="shared" si="9"/>
        <v/>
      </c>
      <c r="I14" s="57" t="str">
        <f t="shared" si="10"/>
        <v/>
      </c>
      <c r="J14" s="58"/>
      <c r="K14" s="58"/>
      <c r="L14" s="58"/>
      <c r="M14" s="58"/>
      <c r="N14" s="58"/>
      <c r="O14" s="58"/>
      <c r="P14" s="58"/>
      <c r="Q14" s="58"/>
      <c r="R14" s="58"/>
      <c r="S14" s="58"/>
      <c r="T14" s="58"/>
      <c r="U14" s="58"/>
      <c r="V14" s="58"/>
      <c r="W14" s="58"/>
      <c r="X14" s="58"/>
      <c r="Y14" s="58"/>
      <c r="Z14" s="58"/>
      <c r="AA14" s="58"/>
      <c r="AB14" s="58"/>
      <c r="AC14" s="58"/>
      <c r="AD14" s="58"/>
      <c r="AE14" s="58"/>
      <c r="AF14" s="58"/>
      <c r="AG14" s="58"/>
      <c r="AH14" s="58"/>
      <c r="AI14" s="58"/>
      <c r="AJ14" s="58"/>
      <c r="AK14" s="58"/>
      <c r="AL14" s="58"/>
      <c r="AM14" s="58"/>
      <c r="AN14" s="58"/>
      <c r="AO14" s="58"/>
      <c r="AP14" s="58"/>
      <c r="AQ14" s="58"/>
      <c r="AR14" s="58"/>
      <c r="AS14" s="58"/>
      <c r="AT14" s="58"/>
      <c r="AU14" s="58"/>
      <c r="AV14" s="58"/>
      <c r="AW14" s="58"/>
      <c r="AX14" s="58"/>
      <c r="AY14" s="58"/>
      <c r="AZ14" s="58"/>
      <c r="BA14" s="58"/>
      <c r="BB14" s="58"/>
      <c r="BC14" s="58"/>
      <c r="BD14" s="58"/>
      <c r="BE14" s="58"/>
      <c r="BF14" s="58"/>
      <c r="BG14" s="58"/>
      <c r="BH14" s="58"/>
      <c r="BI14" s="58"/>
      <c r="BJ14" s="58"/>
      <c r="BL14">
        <f>IFERROR(MATCH(الإعدادات!$B$6&amp;"|"&amp;8,'قاعدة البيانات'!$N$6:$N$305,0),0)</f>
        <v>0</v>
      </c>
      <c r="BM14">
        <f>IF($BL14=0,0,IF(INDEX('قاعدة البيانات'!$M$6:$M$305,$BL14)="غير نشط",5,IF($F14="",0,IF($G14&gt;=الإعدادات!$B$18,4,IF($F14&gt;=الإعدادات!$B$16,1,IF($F14&gt;=الإعدادات!$B$17,2,3))))))</f>
        <v>0</v>
      </c>
    </row>
    <row r="15" spans="1:65" ht="21.75" customHeight="1">
      <c r="A15" s="49" t="str">
        <f>IF($BL15=0,"",9)</f>
        <v/>
      </c>
      <c r="B15" s="50" t="str">
        <f>IF($BL15=0,"",INDEX('قاعدة البيانات'!$C$6:$C$305,$BL15))</f>
        <v/>
      </c>
      <c r="C15" s="51" t="str">
        <f t="shared" si="4"/>
        <v/>
      </c>
      <c r="D15" s="52" t="str">
        <f t="shared" si="5"/>
        <v/>
      </c>
      <c r="E15" s="53" t="str">
        <f t="shared" si="6"/>
        <v/>
      </c>
      <c r="F15" s="54" t="str">
        <f t="shared" si="7"/>
        <v/>
      </c>
      <c r="G15" s="55" t="str">
        <f t="shared" si="8"/>
        <v/>
      </c>
      <c r="H15" s="56" t="str">
        <f t="shared" si="9"/>
        <v/>
      </c>
      <c r="I15" s="57" t="str">
        <f t="shared" si="10"/>
        <v/>
      </c>
      <c r="J15" s="58"/>
      <c r="K15" s="58"/>
      <c r="L15" s="58"/>
      <c r="M15" s="58"/>
      <c r="N15" s="58"/>
      <c r="O15" s="58"/>
      <c r="P15" s="58"/>
      <c r="Q15" s="58"/>
      <c r="R15" s="58"/>
      <c r="S15" s="58"/>
      <c r="T15" s="58"/>
      <c r="U15" s="58"/>
      <c r="V15" s="58"/>
      <c r="W15" s="58"/>
      <c r="X15" s="58"/>
      <c r="Y15" s="58"/>
      <c r="Z15" s="58"/>
      <c r="AA15" s="58"/>
      <c r="AB15" s="58"/>
      <c r="AC15" s="58"/>
      <c r="AD15" s="58"/>
      <c r="AE15" s="58"/>
      <c r="AF15" s="58"/>
      <c r="AG15" s="58"/>
      <c r="AH15" s="58"/>
      <c r="AI15" s="58"/>
      <c r="AJ15" s="58"/>
      <c r="AK15" s="58"/>
      <c r="AL15" s="58"/>
      <c r="AM15" s="58"/>
      <c r="AN15" s="58"/>
      <c r="AO15" s="58"/>
      <c r="AP15" s="58"/>
      <c r="AQ15" s="58"/>
      <c r="AR15" s="58"/>
      <c r="AS15" s="58"/>
      <c r="AT15" s="58"/>
      <c r="AU15" s="58"/>
      <c r="AV15" s="58"/>
      <c r="AW15" s="58"/>
      <c r="AX15" s="58"/>
      <c r="AY15" s="58"/>
      <c r="AZ15" s="58"/>
      <c r="BA15" s="58"/>
      <c r="BB15" s="58"/>
      <c r="BC15" s="58"/>
      <c r="BD15" s="58"/>
      <c r="BE15" s="58"/>
      <c r="BF15" s="58"/>
      <c r="BG15" s="58"/>
      <c r="BH15" s="58"/>
      <c r="BI15" s="58"/>
      <c r="BJ15" s="58"/>
      <c r="BL15">
        <f>IFERROR(MATCH(الإعدادات!$B$6&amp;"|"&amp;9,'قاعدة البيانات'!$N$6:$N$305,0),0)</f>
        <v>0</v>
      </c>
      <c r="BM15">
        <f>IF($BL15=0,0,IF(INDEX('قاعدة البيانات'!$M$6:$M$305,$BL15)="غير نشط",5,IF($F15="",0,IF($G15&gt;=الإعدادات!$B$18,4,IF($F15&gt;=الإعدادات!$B$16,1,IF($F15&gt;=الإعدادات!$B$17,2,3))))))</f>
        <v>0</v>
      </c>
    </row>
    <row r="16" spans="1:65" ht="21.75" customHeight="1">
      <c r="A16" s="49" t="str">
        <f>IF($BL16=0,"",10)</f>
        <v/>
      </c>
      <c r="B16" s="50" t="str">
        <f>IF($BL16=0,"",INDEX('قاعدة البيانات'!$C$6:$C$305,$BL16))</f>
        <v/>
      </c>
      <c r="C16" s="51" t="str">
        <f t="shared" si="4"/>
        <v/>
      </c>
      <c r="D16" s="52" t="str">
        <f t="shared" si="5"/>
        <v/>
      </c>
      <c r="E16" s="53" t="str">
        <f t="shared" si="6"/>
        <v/>
      </c>
      <c r="F16" s="54" t="str">
        <f t="shared" si="7"/>
        <v/>
      </c>
      <c r="G16" s="55" t="str">
        <f t="shared" si="8"/>
        <v/>
      </c>
      <c r="H16" s="56" t="str">
        <f t="shared" si="9"/>
        <v/>
      </c>
      <c r="I16" s="57" t="str">
        <f t="shared" si="10"/>
        <v/>
      </c>
      <c r="J16" s="58"/>
      <c r="K16" s="58"/>
      <c r="L16" s="58"/>
      <c r="M16" s="58"/>
      <c r="N16" s="58"/>
      <c r="O16" s="58"/>
      <c r="P16" s="58"/>
      <c r="Q16" s="58"/>
      <c r="R16" s="58"/>
      <c r="S16" s="58"/>
      <c r="T16" s="58"/>
      <c r="U16" s="58"/>
      <c r="V16" s="58"/>
      <c r="W16" s="58"/>
      <c r="X16" s="58"/>
      <c r="Y16" s="58"/>
      <c r="Z16" s="58"/>
      <c r="AA16" s="58"/>
      <c r="AB16" s="58"/>
      <c r="AC16" s="58"/>
      <c r="AD16" s="58"/>
      <c r="AE16" s="58"/>
      <c r="AF16" s="58"/>
      <c r="AG16" s="58"/>
      <c r="AH16" s="58"/>
      <c r="AI16" s="58"/>
      <c r="AJ16" s="58"/>
      <c r="AK16" s="58"/>
      <c r="AL16" s="58"/>
      <c r="AM16" s="58"/>
      <c r="AN16" s="58"/>
      <c r="AO16" s="58"/>
      <c r="AP16" s="58"/>
      <c r="AQ16" s="58"/>
      <c r="AR16" s="58"/>
      <c r="AS16" s="58"/>
      <c r="AT16" s="58"/>
      <c r="AU16" s="58"/>
      <c r="AV16" s="58"/>
      <c r="AW16" s="58"/>
      <c r="AX16" s="58"/>
      <c r="AY16" s="58"/>
      <c r="AZ16" s="58"/>
      <c r="BA16" s="58"/>
      <c r="BB16" s="58"/>
      <c r="BC16" s="58"/>
      <c r="BD16" s="58"/>
      <c r="BE16" s="58"/>
      <c r="BF16" s="58"/>
      <c r="BG16" s="58"/>
      <c r="BH16" s="58"/>
      <c r="BI16" s="58"/>
      <c r="BJ16" s="58"/>
      <c r="BL16">
        <f>IFERROR(MATCH(الإعدادات!$B$6&amp;"|"&amp;10,'قاعدة البيانات'!$N$6:$N$305,0),0)</f>
        <v>0</v>
      </c>
      <c r="BM16">
        <f>IF($BL16=0,0,IF(INDEX('قاعدة البيانات'!$M$6:$M$305,$BL16)="غير نشط",5,IF($F16="",0,IF($G16&gt;=الإعدادات!$B$18,4,IF($F16&gt;=الإعدادات!$B$16,1,IF($F16&gt;=الإعدادات!$B$17,2,3))))))</f>
        <v>0</v>
      </c>
    </row>
    <row r="17" spans="1:65" ht="21.75" customHeight="1">
      <c r="A17" s="49" t="str">
        <f>IF($BL17=0,"",11)</f>
        <v/>
      </c>
      <c r="B17" s="50" t="str">
        <f>IF($BL17=0,"",INDEX('قاعدة البيانات'!$C$6:$C$305,$BL17))</f>
        <v/>
      </c>
      <c r="C17" s="51" t="str">
        <f t="shared" si="4"/>
        <v/>
      </c>
      <c r="D17" s="52" t="str">
        <f t="shared" si="5"/>
        <v/>
      </c>
      <c r="E17" s="53" t="str">
        <f t="shared" si="6"/>
        <v/>
      </c>
      <c r="F17" s="54" t="str">
        <f t="shared" si="7"/>
        <v/>
      </c>
      <c r="G17" s="55" t="str">
        <f t="shared" si="8"/>
        <v/>
      </c>
      <c r="H17" s="56" t="str">
        <f t="shared" si="9"/>
        <v/>
      </c>
      <c r="I17" s="57" t="str">
        <f t="shared" si="10"/>
        <v/>
      </c>
      <c r="J17" s="58"/>
      <c r="K17" s="58"/>
      <c r="L17" s="58"/>
      <c r="M17" s="58"/>
      <c r="N17" s="58"/>
      <c r="O17" s="58"/>
      <c r="P17" s="58"/>
      <c r="Q17" s="58"/>
      <c r="R17" s="58"/>
      <c r="S17" s="58"/>
      <c r="T17" s="58"/>
      <c r="U17" s="58"/>
      <c r="V17" s="58"/>
      <c r="W17" s="58"/>
      <c r="X17" s="58"/>
      <c r="Y17" s="58"/>
      <c r="Z17" s="58"/>
      <c r="AA17" s="58"/>
      <c r="AB17" s="58"/>
      <c r="AC17" s="58"/>
      <c r="AD17" s="58"/>
      <c r="AE17" s="58"/>
      <c r="AF17" s="58"/>
      <c r="AG17" s="58"/>
      <c r="AH17" s="58"/>
      <c r="AI17" s="58"/>
      <c r="AJ17" s="58"/>
      <c r="AK17" s="58"/>
      <c r="AL17" s="58"/>
      <c r="AM17" s="58"/>
      <c r="AN17" s="58"/>
      <c r="AO17" s="58"/>
      <c r="AP17" s="58"/>
      <c r="AQ17" s="58"/>
      <c r="AR17" s="58"/>
      <c r="AS17" s="58"/>
      <c r="AT17" s="58"/>
      <c r="AU17" s="58"/>
      <c r="AV17" s="58"/>
      <c r="AW17" s="58"/>
      <c r="AX17" s="58"/>
      <c r="AY17" s="58"/>
      <c r="AZ17" s="58"/>
      <c r="BA17" s="58"/>
      <c r="BB17" s="58"/>
      <c r="BC17" s="58"/>
      <c r="BD17" s="58"/>
      <c r="BE17" s="58"/>
      <c r="BF17" s="58"/>
      <c r="BG17" s="58"/>
      <c r="BH17" s="58"/>
      <c r="BI17" s="58"/>
      <c r="BJ17" s="58"/>
      <c r="BL17">
        <f>IFERROR(MATCH(الإعدادات!$B$6&amp;"|"&amp;11,'قاعدة البيانات'!$N$6:$N$305,0),0)</f>
        <v>0</v>
      </c>
      <c r="BM17">
        <f>IF($BL17=0,0,IF(INDEX('قاعدة البيانات'!$M$6:$M$305,$BL17)="غير نشط",5,IF($F17="",0,IF($G17&gt;=الإعدادات!$B$18,4,IF($F17&gt;=الإعدادات!$B$16,1,IF($F17&gt;=الإعدادات!$B$17,2,3))))))</f>
        <v>0</v>
      </c>
    </row>
    <row r="18" spans="1:65" ht="21.75" customHeight="1">
      <c r="A18" s="49" t="str">
        <f>IF($BL18=0,"",12)</f>
        <v/>
      </c>
      <c r="B18" s="50" t="str">
        <f>IF($BL18=0,"",INDEX('قاعدة البيانات'!$C$6:$C$305,$BL18))</f>
        <v/>
      </c>
      <c r="C18" s="51" t="str">
        <f t="shared" si="4"/>
        <v/>
      </c>
      <c r="D18" s="52" t="str">
        <f t="shared" si="5"/>
        <v/>
      </c>
      <c r="E18" s="53" t="str">
        <f t="shared" si="6"/>
        <v/>
      </c>
      <c r="F18" s="54" t="str">
        <f t="shared" si="7"/>
        <v/>
      </c>
      <c r="G18" s="55" t="str">
        <f t="shared" si="8"/>
        <v/>
      </c>
      <c r="H18" s="56" t="str">
        <f t="shared" si="9"/>
        <v/>
      </c>
      <c r="I18" s="57" t="str">
        <f t="shared" si="10"/>
        <v/>
      </c>
      <c r="J18" s="58"/>
      <c r="K18" s="58"/>
      <c r="L18" s="58"/>
      <c r="M18" s="58"/>
      <c r="N18" s="58"/>
      <c r="O18" s="58"/>
      <c r="P18" s="58"/>
      <c r="Q18" s="58"/>
      <c r="R18" s="58"/>
      <c r="S18" s="58"/>
      <c r="T18" s="58"/>
      <c r="U18" s="58"/>
      <c r="V18" s="58"/>
      <c r="W18" s="58"/>
      <c r="X18" s="58"/>
      <c r="Y18" s="58"/>
      <c r="Z18" s="58"/>
      <c r="AA18" s="58"/>
      <c r="AB18" s="58"/>
      <c r="AC18" s="58"/>
      <c r="AD18" s="58"/>
      <c r="AE18" s="58"/>
      <c r="AF18" s="58"/>
      <c r="AG18" s="58"/>
      <c r="AH18" s="58"/>
      <c r="AI18" s="58"/>
      <c r="AJ18" s="58"/>
      <c r="AK18" s="58"/>
      <c r="AL18" s="58"/>
      <c r="AM18" s="58"/>
      <c r="AN18" s="58"/>
      <c r="AO18" s="58"/>
      <c r="AP18" s="58"/>
      <c r="AQ18" s="58"/>
      <c r="AR18" s="58"/>
      <c r="AS18" s="58"/>
      <c r="AT18" s="58"/>
      <c r="AU18" s="58"/>
      <c r="AV18" s="58"/>
      <c r="AW18" s="58"/>
      <c r="AX18" s="58"/>
      <c r="AY18" s="58"/>
      <c r="AZ18" s="58"/>
      <c r="BA18" s="58"/>
      <c r="BB18" s="58"/>
      <c r="BC18" s="58"/>
      <c r="BD18" s="58"/>
      <c r="BE18" s="58"/>
      <c r="BF18" s="58"/>
      <c r="BG18" s="58"/>
      <c r="BH18" s="58"/>
      <c r="BI18" s="58"/>
      <c r="BJ18" s="58"/>
      <c r="BL18">
        <f>IFERROR(MATCH(الإعدادات!$B$6&amp;"|"&amp;12,'قاعدة البيانات'!$N$6:$N$305,0),0)</f>
        <v>0</v>
      </c>
      <c r="BM18">
        <f>IF($BL18=0,0,IF(INDEX('قاعدة البيانات'!$M$6:$M$305,$BL18)="غير نشط",5,IF($F18="",0,IF($G18&gt;=الإعدادات!$B$18,4,IF($F18&gt;=الإعدادات!$B$16,1,IF($F18&gt;=الإعدادات!$B$17,2,3))))))</f>
        <v>0</v>
      </c>
    </row>
    <row r="19" spans="1:65" ht="21.75" customHeight="1">
      <c r="A19" s="49" t="str">
        <f>IF($BL19=0,"",13)</f>
        <v/>
      </c>
      <c r="B19" s="50" t="str">
        <f>IF($BL19=0,"",INDEX('قاعدة البيانات'!$C$6:$C$305,$BL19))</f>
        <v/>
      </c>
      <c r="C19" s="51" t="str">
        <f t="shared" si="4"/>
        <v/>
      </c>
      <c r="D19" s="52" t="str">
        <f t="shared" si="5"/>
        <v/>
      </c>
      <c r="E19" s="53" t="str">
        <f t="shared" si="6"/>
        <v/>
      </c>
      <c r="F19" s="54" t="str">
        <f t="shared" si="7"/>
        <v/>
      </c>
      <c r="G19" s="55" t="str">
        <f t="shared" si="8"/>
        <v/>
      </c>
      <c r="H19" s="56" t="str">
        <f t="shared" si="9"/>
        <v/>
      </c>
      <c r="I19" s="57" t="str">
        <f t="shared" si="10"/>
        <v/>
      </c>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c r="AQ19" s="58"/>
      <c r="AR19" s="58"/>
      <c r="AS19" s="58"/>
      <c r="AT19" s="58"/>
      <c r="AU19" s="58"/>
      <c r="AV19" s="58"/>
      <c r="AW19" s="58"/>
      <c r="AX19" s="58"/>
      <c r="AY19" s="58"/>
      <c r="AZ19" s="58"/>
      <c r="BA19" s="58"/>
      <c r="BB19" s="58"/>
      <c r="BC19" s="58"/>
      <c r="BD19" s="58"/>
      <c r="BE19" s="58"/>
      <c r="BF19" s="58"/>
      <c r="BG19" s="58"/>
      <c r="BH19" s="58"/>
      <c r="BI19" s="58"/>
      <c r="BJ19" s="58"/>
      <c r="BL19">
        <f>IFERROR(MATCH(الإعدادات!$B$6&amp;"|"&amp;13,'قاعدة البيانات'!$N$6:$N$305,0),0)</f>
        <v>0</v>
      </c>
      <c r="BM19">
        <f>IF($BL19=0,0,IF(INDEX('قاعدة البيانات'!$M$6:$M$305,$BL19)="غير نشط",5,IF($F19="",0,IF($G19&gt;=الإعدادات!$B$18,4,IF($F19&gt;=الإعدادات!$B$16,1,IF($F19&gt;=الإعدادات!$B$17,2,3))))))</f>
        <v>0</v>
      </c>
    </row>
    <row r="20" spans="1:65" ht="21.75" customHeight="1">
      <c r="A20" s="49" t="str">
        <f>IF($BL20=0,"",14)</f>
        <v/>
      </c>
      <c r="B20" s="50" t="str">
        <f>IF($BL20=0,"",INDEX('قاعدة البيانات'!$C$6:$C$305,$BL20))</f>
        <v/>
      </c>
      <c r="C20" s="51" t="str">
        <f t="shared" si="4"/>
        <v/>
      </c>
      <c r="D20" s="52" t="str">
        <f t="shared" si="5"/>
        <v/>
      </c>
      <c r="E20" s="53" t="str">
        <f t="shared" si="6"/>
        <v/>
      </c>
      <c r="F20" s="54" t="str">
        <f t="shared" si="7"/>
        <v/>
      </c>
      <c r="G20" s="55" t="str">
        <f t="shared" si="8"/>
        <v/>
      </c>
      <c r="H20" s="56" t="str">
        <f t="shared" si="9"/>
        <v/>
      </c>
      <c r="I20" s="57" t="str">
        <f t="shared" si="10"/>
        <v/>
      </c>
      <c r="J20" s="58"/>
      <c r="K20" s="58"/>
      <c r="L20" s="58"/>
      <c r="M20" s="58"/>
      <c r="N20" s="58"/>
      <c r="O20" s="58"/>
      <c r="P20" s="58"/>
      <c r="Q20" s="58"/>
      <c r="R20" s="58"/>
      <c r="S20" s="58"/>
      <c r="T20" s="58"/>
      <c r="U20" s="58"/>
      <c r="V20" s="58"/>
      <c r="W20" s="58"/>
      <c r="X20" s="58"/>
      <c r="Y20" s="58"/>
      <c r="Z20" s="58"/>
      <c r="AA20" s="58"/>
      <c r="AB20" s="58"/>
      <c r="AC20" s="58"/>
      <c r="AD20" s="58"/>
      <c r="AE20" s="58"/>
      <c r="AF20" s="58"/>
      <c r="AG20" s="58"/>
      <c r="AH20" s="58"/>
      <c r="AI20" s="58"/>
      <c r="AJ20" s="58"/>
      <c r="AK20" s="58"/>
      <c r="AL20" s="58"/>
      <c r="AM20" s="58"/>
      <c r="AN20" s="58"/>
      <c r="AO20" s="58"/>
      <c r="AP20" s="58"/>
      <c r="AQ20" s="58"/>
      <c r="AR20" s="58"/>
      <c r="AS20" s="58"/>
      <c r="AT20" s="58"/>
      <c r="AU20" s="58"/>
      <c r="AV20" s="58"/>
      <c r="AW20" s="58"/>
      <c r="AX20" s="58"/>
      <c r="AY20" s="58"/>
      <c r="AZ20" s="58"/>
      <c r="BA20" s="58"/>
      <c r="BB20" s="58"/>
      <c r="BC20" s="58"/>
      <c r="BD20" s="58"/>
      <c r="BE20" s="58"/>
      <c r="BF20" s="58"/>
      <c r="BG20" s="58"/>
      <c r="BH20" s="58"/>
      <c r="BI20" s="58"/>
      <c r="BJ20" s="58"/>
      <c r="BL20">
        <f>IFERROR(MATCH(الإعدادات!$B$6&amp;"|"&amp;14,'قاعدة البيانات'!$N$6:$N$305,0),0)</f>
        <v>0</v>
      </c>
      <c r="BM20">
        <f>IF($BL20=0,0,IF(INDEX('قاعدة البيانات'!$M$6:$M$305,$BL20)="غير نشط",5,IF($F20="",0,IF($G20&gt;=الإعدادات!$B$18,4,IF($F20&gt;=الإعدادات!$B$16,1,IF($F20&gt;=الإعدادات!$B$17,2,3))))))</f>
        <v>0</v>
      </c>
    </row>
    <row r="21" spans="1:65" ht="21.75" customHeight="1">
      <c r="A21" s="49" t="str">
        <f>IF($BL21=0,"",15)</f>
        <v/>
      </c>
      <c r="B21" s="50" t="str">
        <f>IF($BL21=0,"",INDEX('قاعدة البيانات'!$C$6:$C$305,$BL21))</f>
        <v/>
      </c>
      <c r="C21" s="51" t="str">
        <f t="shared" si="4"/>
        <v/>
      </c>
      <c r="D21" s="52" t="str">
        <f t="shared" si="5"/>
        <v/>
      </c>
      <c r="E21" s="53" t="str">
        <f t="shared" si="6"/>
        <v/>
      </c>
      <c r="F21" s="54" t="str">
        <f t="shared" si="7"/>
        <v/>
      </c>
      <c r="G21" s="55" t="str">
        <f t="shared" si="8"/>
        <v/>
      </c>
      <c r="H21" s="56" t="str">
        <f t="shared" si="9"/>
        <v/>
      </c>
      <c r="I21" s="57" t="str">
        <f t="shared" si="10"/>
        <v/>
      </c>
      <c r="J21" s="58"/>
      <c r="K21" s="58"/>
      <c r="L21" s="58"/>
      <c r="M21" s="58"/>
      <c r="N21" s="58"/>
      <c r="O21" s="58"/>
      <c r="P21" s="58"/>
      <c r="Q21" s="58"/>
      <c r="R21" s="58"/>
      <c r="S21" s="58"/>
      <c r="T21" s="58"/>
      <c r="U21" s="58"/>
      <c r="V21" s="58"/>
      <c r="W21" s="58"/>
      <c r="X21" s="58"/>
      <c r="Y21" s="58"/>
      <c r="Z21" s="58"/>
      <c r="AA21" s="58"/>
      <c r="AB21" s="58"/>
      <c r="AC21" s="58"/>
      <c r="AD21" s="58"/>
      <c r="AE21" s="58"/>
      <c r="AF21" s="58"/>
      <c r="AG21" s="58"/>
      <c r="AH21" s="58"/>
      <c r="AI21" s="58"/>
      <c r="AJ21" s="58"/>
      <c r="AK21" s="58"/>
      <c r="AL21" s="58"/>
      <c r="AM21" s="58"/>
      <c r="AN21" s="58"/>
      <c r="AO21" s="58"/>
      <c r="AP21" s="58"/>
      <c r="AQ21" s="58"/>
      <c r="AR21" s="58"/>
      <c r="AS21" s="58"/>
      <c r="AT21" s="58"/>
      <c r="AU21" s="58"/>
      <c r="AV21" s="58"/>
      <c r="AW21" s="58"/>
      <c r="AX21" s="58"/>
      <c r="AY21" s="58"/>
      <c r="AZ21" s="58"/>
      <c r="BA21" s="58"/>
      <c r="BB21" s="58"/>
      <c r="BC21" s="58"/>
      <c r="BD21" s="58"/>
      <c r="BE21" s="58"/>
      <c r="BF21" s="58"/>
      <c r="BG21" s="58"/>
      <c r="BH21" s="58"/>
      <c r="BI21" s="58"/>
      <c r="BJ21" s="58"/>
      <c r="BL21">
        <f>IFERROR(MATCH(الإعدادات!$B$6&amp;"|"&amp;15,'قاعدة البيانات'!$N$6:$N$305,0),0)</f>
        <v>0</v>
      </c>
      <c r="BM21">
        <f>IF($BL21=0,0,IF(INDEX('قاعدة البيانات'!$M$6:$M$305,$BL21)="غير نشط",5,IF($F21="",0,IF($G21&gt;=الإعدادات!$B$18,4,IF($F21&gt;=الإعدادات!$B$16,1,IF($F21&gt;=الإعدادات!$B$17,2,3))))))</f>
        <v>0</v>
      </c>
    </row>
    <row r="22" spans="1:65" ht="21.75" customHeight="1">
      <c r="A22" s="49" t="str">
        <f>IF($BL22=0,"",16)</f>
        <v/>
      </c>
      <c r="B22" s="50" t="str">
        <f>IF($BL22=0,"",INDEX('قاعدة البيانات'!$C$6:$C$305,$BL22))</f>
        <v/>
      </c>
      <c r="C22" s="51" t="str">
        <f t="shared" si="4"/>
        <v/>
      </c>
      <c r="D22" s="52" t="str">
        <f t="shared" si="5"/>
        <v/>
      </c>
      <c r="E22" s="53" t="str">
        <f t="shared" si="6"/>
        <v/>
      </c>
      <c r="F22" s="54" t="str">
        <f t="shared" si="7"/>
        <v/>
      </c>
      <c r="G22" s="55" t="str">
        <f t="shared" si="8"/>
        <v/>
      </c>
      <c r="H22" s="56" t="str">
        <f t="shared" si="9"/>
        <v/>
      </c>
      <c r="I22" s="57" t="str">
        <f t="shared" si="10"/>
        <v/>
      </c>
      <c r="J22" s="58"/>
      <c r="K22" s="58"/>
      <c r="L22" s="58"/>
      <c r="M22" s="58"/>
      <c r="N22" s="58"/>
      <c r="O22" s="58"/>
      <c r="P22" s="58"/>
      <c r="Q22" s="58"/>
      <c r="R22" s="58"/>
      <c r="S22" s="58"/>
      <c r="T22" s="58"/>
      <c r="U22" s="58"/>
      <c r="V22" s="58"/>
      <c r="W22" s="58"/>
      <c r="X22" s="58"/>
      <c r="Y22" s="58"/>
      <c r="Z22" s="58"/>
      <c r="AA22" s="58"/>
      <c r="AB22" s="58"/>
      <c r="AC22" s="58"/>
      <c r="AD22" s="58"/>
      <c r="AE22" s="58"/>
      <c r="AF22" s="58"/>
      <c r="AG22" s="58"/>
      <c r="AH22" s="58"/>
      <c r="AI22" s="58"/>
      <c r="AJ22" s="58"/>
      <c r="AK22" s="58"/>
      <c r="AL22" s="58"/>
      <c r="AM22" s="58"/>
      <c r="AN22" s="58"/>
      <c r="AO22" s="58"/>
      <c r="AP22" s="58"/>
      <c r="AQ22" s="58"/>
      <c r="AR22" s="58"/>
      <c r="AS22" s="58"/>
      <c r="AT22" s="58"/>
      <c r="AU22" s="58"/>
      <c r="AV22" s="58"/>
      <c r="AW22" s="58"/>
      <c r="AX22" s="58"/>
      <c r="AY22" s="58"/>
      <c r="AZ22" s="58"/>
      <c r="BA22" s="58"/>
      <c r="BB22" s="58"/>
      <c r="BC22" s="58"/>
      <c r="BD22" s="58"/>
      <c r="BE22" s="58"/>
      <c r="BF22" s="58"/>
      <c r="BG22" s="58"/>
      <c r="BH22" s="58"/>
      <c r="BI22" s="58"/>
      <c r="BJ22" s="58"/>
      <c r="BL22">
        <f>IFERROR(MATCH(الإعدادات!$B$6&amp;"|"&amp;16,'قاعدة البيانات'!$N$6:$N$305,0),0)</f>
        <v>0</v>
      </c>
      <c r="BM22">
        <f>IF($BL22=0,0,IF(INDEX('قاعدة البيانات'!$M$6:$M$305,$BL22)="غير نشط",5,IF($F22="",0,IF($G22&gt;=الإعدادات!$B$18,4,IF($F22&gt;=الإعدادات!$B$16,1,IF($F22&gt;=الإعدادات!$B$17,2,3))))))</f>
        <v>0</v>
      </c>
    </row>
    <row r="23" spans="1:65" ht="21.75" customHeight="1">
      <c r="A23" s="49" t="str">
        <f>IF($BL23=0,"",17)</f>
        <v/>
      </c>
      <c r="B23" s="50" t="str">
        <f>IF($BL23=0,"",INDEX('قاعدة البيانات'!$C$6:$C$305,$BL23))</f>
        <v/>
      </c>
      <c r="C23" s="51" t="str">
        <f t="shared" si="4"/>
        <v/>
      </c>
      <c r="D23" s="52" t="str">
        <f t="shared" si="5"/>
        <v/>
      </c>
      <c r="E23" s="53" t="str">
        <f t="shared" si="6"/>
        <v/>
      </c>
      <c r="F23" s="54" t="str">
        <f t="shared" si="7"/>
        <v/>
      </c>
      <c r="G23" s="55" t="str">
        <f t="shared" si="8"/>
        <v/>
      </c>
      <c r="H23" s="56" t="str">
        <f t="shared" si="9"/>
        <v/>
      </c>
      <c r="I23" s="57" t="str">
        <f t="shared" si="10"/>
        <v/>
      </c>
      <c r="J23" s="58"/>
      <c r="K23" s="58"/>
      <c r="L23" s="58"/>
      <c r="M23" s="58"/>
      <c r="N23" s="58"/>
      <c r="O23" s="58"/>
      <c r="P23" s="58"/>
      <c r="Q23" s="58"/>
      <c r="R23" s="58"/>
      <c r="S23" s="58"/>
      <c r="T23" s="58"/>
      <c r="U23" s="58"/>
      <c r="V23" s="58"/>
      <c r="W23" s="58"/>
      <c r="X23" s="58"/>
      <c r="Y23" s="58"/>
      <c r="Z23" s="58"/>
      <c r="AA23" s="58"/>
      <c r="AB23" s="58"/>
      <c r="AC23" s="58"/>
      <c r="AD23" s="58"/>
      <c r="AE23" s="58"/>
      <c r="AF23" s="58"/>
      <c r="AG23" s="58"/>
      <c r="AH23" s="58"/>
      <c r="AI23" s="58"/>
      <c r="AJ23" s="58"/>
      <c r="AK23" s="58"/>
      <c r="AL23" s="58"/>
      <c r="AM23" s="58"/>
      <c r="AN23" s="58"/>
      <c r="AO23" s="58"/>
      <c r="AP23" s="58"/>
      <c r="AQ23" s="58"/>
      <c r="AR23" s="58"/>
      <c r="AS23" s="58"/>
      <c r="AT23" s="58"/>
      <c r="AU23" s="58"/>
      <c r="AV23" s="58"/>
      <c r="AW23" s="58"/>
      <c r="AX23" s="58"/>
      <c r="AY23" s="58"/>
      <c r="AZ23" s="58"/>
      <c r="BA23" s="58"/>
      <c r="BB23" s="58"/>
      <c r="BC23" s="58"/>
      <c r="BD23" s="58"/>
      <c r="BE23" s="58"/>
      <c r="BF23" s="58"/>
      <c r="BG23" s="58"/>
      <c r="BH23" s="58"/>
      <c r="BI23" s="58"/>
      <c r="BJ23" s="58"/>
      <c r="BL23">
        <f>IFERROR(MATCH(الإعدادات!$B$6&amp;"|"&amp;17,'قاعدة البيانات'!$N$6:$N$305,0),0)</f>
        <v>0</v>
      </c>
      <c r="BM23">
        <f>IF($BL23=0,0,IF(INDEX('قاعدة البيانات'!$M$6:$M$305,$BL23)="غير نشط",5,IF($F23="",0,IF($G23&gt;=الإعدادات!$B$18,4,IF($F23&gt;=الإعدادات!$B$16,1,IF($F23&gt;=الإعدادات!$B$17,2,3))))))</f>
        <v>0</v>
      </c>
    </row>
    <row r="24" spans="1:65" ht="21.75" customHeight="1">
      <c r="A24" s="49" t="str">
        <f>IF($BL24=0,"",18)</f>
        <v/>
      </c>
      <c r="B24" s="50" t="str">
        <f>IF($BL24=0,"",INDEX('قاعدة البيانات'!$C$6:$C$305,$BL24))</f>
        <v/>
      </c>
      <c r="C24" s="51" t="str">
        <f t="shared" si="4"/>
        <v/>
      </c>
      <c r="D24" s="52" t="str">
        <f t="shared" si="5"/>
        <v/>
      </c>
      <c r="E24" s="53" t="str">
        <f t="shared" si="6"/>
        <v/>
      </c>
      <c r="F24" s="54" t="str">
        <f t="shared" si="7"/>
        <v/>
      </c>
      <c r="G24" s="55" t="str">
        <f t="shared" si="8"/>
        <v/>
      </c>
      <c r="H24" s="56" t="str">
        <f t="shared" si="9"/>
        <v/>
      </c>
      <c r="I24" s="57" t="str">
        <f t="shared" si="10"/>
        <v/>
      </c>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c r="AQ24" s="58"/>
      <c r="AR24" s="58"/>
      <c r="AS24" s="58"/>
      <c r="AT24" s="58"/>
      <c r="AU24" s="58"/>
      <c r="AV24" s="58"/>
      <c r="AW24" s="58"/>
      <c r="AX24" s="58"/>
      <c r="AY24" s="58"/>
      <c r="AZ24" s="58"/>
      <c r="BA24" s="58"/>
      <c r="BB24" s="58"/>
      <c r="BC24" s="58"/>
      <c r="BD24" s="58"/>
      <c r="BE24" s="58"/>
      <c r="BF24" s="58"/>
      <c r="BG24" s="58"/>
      <c r="BH24" s="58"/>
      <c r="BI24" s="58"/>
      <c r="BJ24" s="58"/>
      <c r="BL24">
        <f>IFERROR(MATCH(الإعدادات!$B$6&amp;"|"&amp;18,'قاعدة البيانات'!$N$6:$N$305,0),0)</f>
        <v>0</v>
      </c>
      <c r="BM24">
        <f>IF($BL24=0,0,IF(INDEX('قاعدة البيانات'!$M$6:$M$305,$BL24)="غير نشط",5,IF($F24="",0,IF($G24&gt;=الإعدادات!$B$18,4,IF($F24&gt;=الإعدادات!$B$16,1,IF($F24&gt;=الإعدادات!$B$17,2,3))))))</f>
        <v>0</v>
      </c>
    </row>
    <row r="25" spans="1:65" ht="21.75" customHeight="1">
      <c r="A25" s="49" t="str">
        <f>IF($BL25=0,"",19)</f>
        <v/>
      </c>
      <c r="B25" s="50" t="str">
        <f>IF($BL25=0,"",INDEX('قاعدة البيانات'!$C$6:$C$305,$BL25))</f>
        <v/>
      </c>
      <c r="C25" s="51" t="str">
        <f t="shared" si="4"/>
        <v/>
      </c>
      <c r="D25" s="52" t="str">
        <f t="shared" si="5"/>
        <v/>
      </c>
      <c r="E25" s="53" t="str">
        <f t="shared" si="6"/>
        <v/>
      </c>
      <c r="F25" s="54" t="str">
        <f t="shared" si="7"/>
        <v/>
      </c>
      <c r="G25" s="55" t="str">
        <f t="shared" si="8"/>
        <v/>
      </c>
      <c r="H25" s="56" t="str">
        <f t="shared" si="9"/>
        <v/>
      </c>
      <c r="I25" s="57" t="str">
        <f t="shared" si="10"/>
        <v/>
      </c>
      <c r="J25" s="58"/>
      <c r="K25" s="58"/>
      <c r="L25" s="58"/>
      <c r="M25" s="58"/>
      <c r="N25" s="58"/>
      <c r="O25" s="58"/>
      <c r="P25" s="58"/>
      <c r="Q25" s="58"/>
      <c r="R25" s="58"/>
      <c r="S25" s="58"/>
      <c r="T25" s="58"/>
      <c r="U25" s="58"/>
      <c r="V25" s="58"/>
      <c r="W25" s="58"/>
      <c r="X25" s="58"/>
      <c r="Y25" s="58"/>
      <c r="Z25" s="58"/>
      <c r="AA25" s="58"/>
      <c r="AB25" s="58"/>
      <c r="AC25" s="58"/>
      <c r="AD25" s="58"/>
      <c r="AE25" s="58"/>
      <c r="AF25" s="58"/>
      <c r="AG25" s="58"/>
      <c r="AH25" s="58"/>
      <c r="AI25" s="58"/>
      <c r="AJ25" s="58"/>
      <c r="AK25" s="58"/>
      <c r="AL25" s="58"/>
      <c r="AM25" s="58"/>
      <c r="AN25" s="58"/>
      <c r="AO25" s="58"/>
      <c r="AP25" s="58"/>
      <c r="AQ25" s="58"/>
      <c r="AR25" s="58"/>
      <c r="AS25" s="58"/>
      <c r="AT25" s="58"/>
      <c r="AU25" s="58"/>
      <c r="AV25" s="58"/>
      <c r="AW25" s="58"/>
      <c r="AX25" s="58"/>
      <c r="AY25" s="58"/>
      <c r="AZ25" s="58"/>
      <c r="BA25" s="58"/>
      <c r="BB25" s="58"/>
      <c r="BC25" s="58"/>
      <c r="BD25" s="58"/>
      <c r="BE25" s="58"/>
      <c r="BF25" s="58"/>
      <c r="BG25" s="58"/>
      <c r="BH25" s="58"/>
      <c r="BI25" s="58"/>
      <c r="BJ25" s="58"/>
      <c r="BL25">
        <f>IFERROR(MATCH(الإعدادات!$B$6&amp;"|"&amp;19,'قاعدة البيانات'!$N$6:$N$305,0),0)</f>
        <v>0</v>
      </c>
      <c r="BM25">
        <f>IF($BL25=0,0,IF(INDEX('قاعدة البيانات'!$M$6:$M$305,$BL25)="غير نشط",5,IF($F25="",0,IF($G25&gt;=الإعدادات!$B$18,4,IF($F25&gt;=الإعدادات!$B$16,1,IF($F25&gt;=الإعدادات!$B$17,2,3))))))</f>
        <v>0</v>
      </c>
    </row>
    <row r="26" spans="1:65" ht="21.75" customHeight="1">
      <c r="A26" s="49" t="str">
        <f>IF($BL26=0,"",20)</f>
        <v/>
      </c>
      <c r="B26" s="50" t="str">
        <f>IF($BL26=0,"",INDEX('قاعدة البيانات'!$C$6:$C$305,$BL26))</f>
        <v/>
      </c>
      <c r="C26" s="51" t="str">
        <f t="shared" si="4"/>
        <v/>
      </c>
      <c r="D26" s="52" t="str">
        <f t="shared" si="5"/>
        <v/>
      </c>
      <c r="E26" s="53" t="str">
        <f t="shared" si="6"/>
        <v/>
      </c>
      <c r="F26" s="54" t="str">
        <f t="shared" si="7"/>
        <v/>
      </c>
      <c r="G26" s="55" t="str">
        <f t="shared" si="8"/>
        <v/>
      </c>
      <c r="H26" s="56" t="str">
        <f t="shared" si="9"/>
        <v/>
      </c>
      <c r="I26" s="57" t="str">
        <f t="shared" si="10"/>
        <v/>
      </c>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L26" s="58"/>
      <c r="AM26" s="58"/>
      <c r="AN26" s="58"/>
      <c r="AO26" s="58"/>
      <c r="AP26" s="58"/>
      <c r="AQ26" s="58"/>
      <c r="AR26" s="58"/>
      <c r="AS26" s="58"/>
      <c r="AT26" s="58"/>
      <c r="AU26" s="58"/>
      <c r="AV26" s="58"/>
      <c r="AW26" s="58"/>
      <c r="AX26" s="58"/>
      <c r="AY26" s="58"/>
      <c r="AZ26" s="58"/>
      <c r="BA26" s="58"/>
      <c r="BB26" s="58"/>
      <c r="BC26" s="58"/>
      <c r="BD26" s="58"/>
      <c r="BE26" s="58"/>
      <c r="BF26" s="58"/>
      <c r="BG26" s="58"/>
      <c r="BH26" s="58"/>
      <c r="BI26" s="58"/>
      <c r="BJ26" s="58"/>
      <c r="BL26">
        <f>IFERROR(MATCH(الإعدادات!$B$6&amp;"|"&amp;20,'قاعدة البيانات'!$N$6:$N$305,0),0)</f>
        <v>0</v>
      </c>
      <c r="BM26">
        <f>IF($BL26=0,0,IF(INDEX('قاعدة البيانات'!$M$6:$M$305,$BL26)="غير نشط",5,IF($F26="",0,IF($G26&gt;=الإعدادات!$B$18,4,IF($F26&gt;=الإعدادات!$B$16,1,IF($F26&gt;=الإعدادات!$B$17,2,3))))))</f>
        <v>0</v>
      </c>
    </row>
    <row r="27" spans="1:65" ht="21.75" customHeight="1">
      <c r="A27" s="49" t="str">
        <f>IF($BL27=0,"",21)</f>
        <v/>
      </c>
      <c r="B27" s="50" t="str">
        <f>IF($BL27=0,"",INDEX('قاعدة البيانات'!$C$6:$C$305,$BL27))</f>
        <v/>
      </c>
      <c r="C27" s="51" t="str">
        <f t="shared" si="4"/>
        <v/>
      </c>
      <c r="D27" s="52" t="str">
        <f t="shared" si="5"/>
        <v/>
      </c>
      <c r="E27" s="53" t="str">
        <f t="shared" si="6"/>
        <v/>
      </c>
      <c r="F27" s="54" t="str">
        <f t="shared" si="7"/>
        <v/>
      </c>
      <c r="G27" s="55" t="str">
        <f t="shared" si="8"/>
        <v/>
      </c>
      <c r="H27" s="56" t="str">
        <f t="shared" si="9"/>
        <v/>
      </c>
      <c r="I27" s="57" t="str">
        <f t="shared" si="10"/>
        <v/>
      </c>
      <c r="J27" s="58"/>
      <c r="K27" s="58"/>
      <c r="L27" s="58"/>
      <c r="M27" s="58"/>
      <c r="N27" s="58"/>
      <c r="O27" s="58"/>
      <c r="P27" s="58"/>
      <c r="Q27" s="58"/>
      <c r="R27" s="58"/>
      <c r="S27" s="58"/>
      <c r="T27" s="58"/>
      <c r="U27" s="58"/>
      <c r="V27" s="58"/>
      <c r="W27" s="58"/>
      <c r="X27" s="58"/>
      <c r="Y27" s="58"/>
      <c r="Z27" s="58"/>
      <c r="AA27" s="58"/>
      <c r="AB27" s="58"/>
      <c r="AC27" s="58"/>
      <c r="AD27" s="58"/>
      <c r="AE27" s="58"/>
      <c r="AF27" s="58"/>
      <c r="AG27" s="58"/>
      <c r="AH27" s="58"/>
      <c r="AI27" s="58"/>
      <c r="AJ27" s="58"/>
      <c r="AK27" s="58"/>
      <c r="AL27" s="58"/>
      <c r="AM27" s="58"/>
      <c r="AN27" s="58"/>
      <c r="AO27" s="58"/>
      <c r="AP27" s="58"/>
      <c r="AQ27" s="58"/>
      <c r="AR27" s="58"/>
      <c r="AS27" s="58"/>
      <c r="AT27" s="58"/>
      <c r="AU27" s="58"/>
      <c r="AV27" s="58"/>
      <c r="AW27" s="58"/>
      <c r="AX27" s="58"/>
      <c r="AY27" s="58"/>
      <c r="AZ27" s="58"/>
      <c r="BA27" s="58"/>
      <c r="BB27" s="58"/>
      <c r="BC27" s="58"/>
      <c r="BD27" s="58"/>
      <c r="BE27" s="58"/>
      <c r="BF27" s="58"/>
      <c r="BG27" s="58"/>
      <c r="BH27" s="58"/>
      <c r="BI27" s="58"/>
      <c r="BJ27" s="58"/>
      <c r="BL27">
        <f>IFERROR(MATCH(الإعدادات!$B$6&amp;"|"&amp;21,'قاعدة البيانات'!$N$6:$N$305,0),0)</f>
        <v>0</v>
      </c>
      <c r="BM27">
        <f>IF($BL27=0,0,IF(INDEX('قاعدة البيانات'!$M$6:$M$305,$BL27)="غير نشط",5,IF($F27="",0,IF($G27&gt;=الإعدادات!$B$18,4,IF($F27&gt;=الإعدادات!$B$16,1,IF($F27&gt;=الإعدادات!$B$17,2,3))))))</f>
        <v>0</v>
      </c>
    </row>
    <row r="28" spans="1:65" ht="21.75" customHeight="1">
      <c r="A28" s="49" t="str">
        <f>IF($BL28=0,"",22)</f>
        <v/>
      </c>
      <c r="B28" s="50" t="str">
        <f>IF($BL28=0,"",INDEX('قاعدة البيانات'!$C$6:$C$305,$BL28))</f>
        <v/>
      </c>
      <c r="C28" s="51" t="str">
        <f t="shared" si="4"/>
        <v/>
      </c>
      <c r="D28" s="52" t="str">
        <f t="shared" si="5"/>
        <v/>
      </c>
      <c r="E28" s="53" t="str">
        <f t="shared" si="6"/>
        <v/>
      </c>
      <c r="F28" s="54" t="str">
        <f t="shared" si="7"/>
        <v/>
      </c>
      <c r="G28" s="55" t="str">
        <f t="shared" si="8"/>
        <v/>
      </c>
      <c r="H28" s="56" t="str">
        <f t="shared" si="9"/>
        <v/>
      </c>
      <c r="I28" s="57" t="str">
        <f t="shared" si="10"/>
        <v/>
      </c>
      <c r="J28" s="58"/>
      <c r="K28" s="58"/>
      <c r="L28" s="58"/>
      <c r="M28" s="58"/>
      <c r="N28" s="58"/>
      <c r="O28" s="58"/>
      <c r="P28" s="58"/>
      <c r="Q28" s="58"/>
      <c r="R28" s="58"/>
      <c r="S28" s="58"/>
      <c r="T28" s="58"/>
      <c r="U28" s="58"/>
      <c r="V28" s="58"/>
      <c r="W28" s="58"/>
      <c r="X28" s="58"/>
      <c r="Y28" s="58"/>
      <c r="Z28" s="58"/>
      <c r="AA28" s="58"/>
      <c r="AB28" s="58"/>
      <c r="AC28" s="58"/>
      <c r="AD28" s="58"/>
      <c r="AE28" s="58"/>
      <c r="AF28" s="58"/>
      <c r="AG28" s="58"/>
      <c r="AH28" s="58"/>
      <c r="AI28" s="58"/>
      <c r="AJ28" s="58"/>
      <c r="AK28" s="58"/>
      <c r="AL28" s="58"/>
      <c r="AM28" s="58"/>
      <c r="AN28" s="58"/>
      <c r="AO28" s="58"/>
      <c r="AP28" s="58"/>
      <c r="AQ28" s="58"/>
      <c r="AR28" s="58"/>
      <c r="AS28" s="58"/>
      <c r="AT28" s="58"/>
      <c r="AU28" s="58"/>
      <c r="AV28" s="58"/>
      <c r="AW28" s="58"/>
      <c r="AX28" s="58"/>
      <c r="AY28" s="58"/>
      <c r="AZ28" s="58"/>
      <c r="BA28" s="58"/>
      <c r="BB28" s="58"/>
      <c r="BC28" s="58"/>
      <c r="BD28" s="58"/>
      <c r="BE28" s="58"/>
      <c r="BF28" s="58"/>
      <c r="BG28" s="58"/>
      <c r="BH28" s="58"/>
      <c r="BI28" s="58"/>
      <c r="BJ28" s="58"/>
      <c r="BL28">
        <f>IFERROR(MATCH(الإعدادات!$B$6&amp;"|"&amp;22,'قاعدة البيانات'!$N$6:$N$305,0),0)</f>
        <v>0</v>
      </c>
      <c r="BM28">
        <f>IF($BL28=0,0,IF(INDEX('قاعدة البيانات'!$M$6:$M$305,$BL28)="غير نشط",5,IF($F28="",0,IF($G28&gt;=الإعدادات!$B$18,4,IF($F28&gt;=الإعدادات!$B$16,1,IF($F28&gt;=الإعدادات!$B$17,2,3))))))</f>
        <v>0</v>
      </c>
    </row>
    <row r="29" spans="1:65" ht="21.75" customHeight="1">
      <c r="A29" s="49" t="str">
        <f>IF($BL29=0,"",23)</f>
        <v/>
      </c>
      <c r="B29" s="50" t="str">
        <f>IF($BL29=0,"",INDEX('قاعدة البيانات'!$C$6:$C$305,$BL29))</f>
        <v/>
      </c>
      <c r="C29" s="51" t="str">
        <f t="shared" si="4"/>
        <v/>
      </c>
      <c r="D29" s="52" t="str">
        <f t="shared" si="5"/>
        <v/>
      </c>
      <c r="E29" s="53" t="str">
        <f t="shared" si="6"/>
        <v/>
      </c>
      <c r="F29" s="54" t="str">
        <f t="shared" si="7"/>
        <v/>
      </c>
      <c r="G29" s="55" t="str">
        <f t="shared" si="8"/>
        <v/>
      </c>
      <c r="H29" s="56" t="str">
        <f t="shared" si="9"/>
        <v/>
      </c>
      <c r="I29" s="57" t="str">
        <f t="shared" si="10"/>
        <v/>
      </c>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AQ29" s="58"/>
      <c r="AR29" s="58"/>
      <c r="AS29" s="58"/>
      <c r="AT29" s="58"/>
      <c r="AU29" s="58"/>
      <c r="AV29" s="58"/>
      <c r="AW29" s="58"/>
      <c r="AX29" s="58"/>
      <c r="AY29" s="58"/>
      <c r="AZ29" s="58"/>
      <c r="BA29" s="58"/>
      <c r="BB29" s="58"/>
      <c r="BC29" s="58"/>
      <c r="BD29" s="58"/>
      <c r="BE29" s="58"/>
      <c r="BF29" s="58"/>
      <c r="BG29" s="58"/>
      <c r="BH29" s="58"/>
      <c r="BI29" s="58"/>
      <c r="BJ29" s="58"/>
      <c r="BL29">
        <f>IFERROR(MATCH(الإعدادات!$B$6&amp;"|"&amp;23,'قاعدة البيانات'!$N$6:$N$305,0),0)</f>
        <v>0</v>
      </c>
      <c r="BM29">
        <f>IF($BL29=0,0,IF(INDEX('قاعدة البيانات'!$M$6:$M$305,$BL29)="غير نشط",5,IF($F29="",0,IF($G29&gt;=الإعدادات!$B$18,4,IF($F29&gt;=الإعدادات!$B$16,1,IF($F29&gt;=الإعدادات!$B$17,2,3))))))</f>
        <v>0</v>
      </c>
    </row>
    <row r="30" spans="1:65" ht="21.75" customHeight="1">
      <c r="A30" s="49" t="str">
        <f>IF($BL30=0,"",24)</f>
        <v/>
      </c>
      <c r="B30" s="50" t="str">
        <f>IF($BL30=0,"",INDEX('قاعدة البيانات'!$C$6:$C$305,$BL30))</f>
        <v/>
      </c>
      <c r="C30" s="51" t="str">
        <f t="shared" si="4"/>
        <v/>
      </c>
      <c r="D30" s="52" t="str">
        <f t="shared" si="5"/>
        <v/>
      </c>
      <c r="E30" s="53" t="str">
        <f t="shared" si="6"/>
        <v/>
      </c>
      <c r="F30" s="54" t="str">
        <f t="shared" si="7"/>
        <v/>
      </c>
      <c r="G30" s="55" t="str">
        <f t="shared" si="8"/>
        <v/>
      </c>
      <c r="H30" s="56" t="str">
        <f t="shared" si="9"/>
        <v/>
      </c>
      <c r="I30" s="57" t="str">
        <f t="shared" si="10"/>
        <v/>
      </c>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AQ30" s="58"/>
      <c r="AR30" s="58"/>
      <c r="AS30" s="58"/>
      <c r="AT30" s="58"/>
      <c r="AU30" s="58"/>
      <c r="AV30" s="58"/>
      <c r="AW30" s="58"/>
      <c r="AX30" s="58"/>
      <c r="AY30" s="58"/>
      <c r="AZ30" s="58"/>
      <c r="BA30" s="58"/>
      <c r="BB30" s="58"/>
      <c r="BC30" s="58"/>
      <c r="BD30" s="58"/>
      <c r="BE30" s="58"/>
      <c r="BF30" s="58"/>
      <c r="BG30" s="58"/>
      <c r="BH30" s="58"/>
      <c r="BI30" s="58"/>
      <c r="BJ30" s="58"/>
      <c r="BL30">
        <f>IFERROR(MATCH(الإعدادات!$B$6&amp;"|"&amp;24,'قاعدة البيانات'!$N$6:$N$305,0),0)</f>
        <v>0</v>
      </c>
      <c r="BM30">
        <f>IF($BL30=0,0,IF(INDEX('قاعدة البيانات'!$M$6:$M$305,$BL30)="غير نشط",5,IF($F30="",0,IF($G30&gt;=الإعدادات!$B$18,4,IF($F30&gt;=الإعدادات!$B$16,1,IF($F30&gt;=الإعدادات!$B$17,2,3))))))</f>
        <v>0</v>
      </c>
    </row>
    <row r="31" spans="1:65" ht="21.75" customHeight="1">
      <c r="A31" s="49" t="str">
        <f>IF($BL31=0,"",25)</f>
        <v/>
      </c>
      <c r="B31" s="50" t="str">
        <f>IF($BL31=0,"",INDEX('قاعدة البيانات'!$C$6:$C$305,$BL31))</f>
        <v/>
      </c>
      <c r="C31" s="51" t="str">
        <f t="shared" si="4"/>
        <v/>
      </c>
      <c r="D31" s="52" t="str">
        <f t="shared" si="5"/>
        <v/>
      </c>
      <c r="E31" s="53" t="str">
        <f t="shared" si="6"/>
        <v/>
      </c>
      <c r="F31" s="54" t="str">
        <f t="shared" si="7"/>
        <v/>
      </c>
      <c r="G31" s="55" t="str">
        <f t="shared" si="8"/>
        <v/>
      </c>
      <c r="H31" s="56" t="str">
        <f t="shared" si="9"/>
        <v/>
      </c>
      <c r="I31" s="57" t="str">
        <f t="shared" si="10"/>
        <v/>
      </c>
      <c r="J31" s="58"/>
      <c r="K31" s="58"/>
      <c r="L31" s="58"/>
      <c r="M31" s="58"/>
      <c r="N31" s="58"/>
      <c r="O31" s="58"/>
      <c r="P31" s="58"/>
      <c r="Q31" s="58"/>
      <c r="R31" s="58"/>
      <c r="S31" s="58"/>
      <c r="T31" s="58"/>
      <c r="U31" s="58"/>
      <c r="V31" s="58"/>
      <c r="W31" s="58"/>
      <c r="X31" s="58"/>
      <c r="Y31" s="58"/>
      <c r="Z31" s="58"/>
      <c r="AA31" s="58"/>
      <c r="AB31" s="58"/>
      <c r="AC31" s="58"/>
      <c r="AD31" s="58"/>
      <c r="AE31" s="58"/>
      <c r="AF31" s="58"/>
      <c r="AG31" s="58"/>
      <c r="AH31" s="58"/>
      <c r="AI31" s="58"/>
      <c r="AJ31" s="58"/>
      <c r="AK31" s="58"/>
      <c r="AL31" s="58"/>
      <c r="AM31" s="58"/>
      <c r="AN31" s="58"/>
      <c r="AO31" s="58"/>
      <c r="AP31" s="58"/>
      <c r="AQ31" s="58"/>
      <c r="AR31" s="58"/>
      <c r="AS31" s="58"/>
      <c r="AT31" s="58"/>
      <c r="AU31" s="58"/>
      <c r="AV31" s="58"/>
      <c r="AW31" s="58"/>
      <c r="AX31" s="58"/>
      <c r="AY31" s="58"/>
      <c r="AZ31" s="58"/>
      <c r="BA31" s="58"/>
      <c r="BB31" s="58"/>
      <c r="BC31" s="58"/>
      <c r="BD31" s="58"/>
      <c r="BE31" s="58"/>
      <c r="BF31" s="58"/>
      <c r="BG31" s="58"/>
      <c r="BH31" s="58"/>
      <c r="BI31" s="58"/>
      <c r="BJ31" s="58"/>
      <c r="BL31">
        <f>IFERROR(MATCH(الإعدادات!$B$6&amp;"|"&amp;25,'قاعدة البيانات'!$N$6:$N$305,0),0)</f>
        <v>0</v>
      </c>
      <c r="BM31">
        <f>IF($BL31=0,0,IF(INDEX('قاعدة البيانات'!$M$6:$M$305,$BL31)="غير نشط",5,IF($F31="",0,IF($G31&gt;=الإعدادات!$B$18,4,IF($F31&gt;=الإعدادات!$B$16,1,IF($F31&gt;=الإعدادات!$B$17,2,3))))))</f>
        <v>0</v>
      </c>
    </row>
    <row r="32" spans="1:65" ht="21.75" customHeight="1">
      <c r="A32" s="49" t="str">
        <f>IF($BL32=0,"",26)</f>
        <v/>
      </c>
      <c r="B32" s="50" t="str">
        <f>IF($BL32=0,"",INDEX('قاعدة البيانات'!$C$6:$C$305,$BL32))</f>
        <v/>
      </c>
      <c r="C32" s="51" t="str">
        <f t="shared" si="4"/>
        <v/>
      </c>
      <c r="D32" s="52" t="str">
        <f t="shared" si="5"/>
        <v/>
      </c>
      <c r="E32" s="53" t="str">
        <f t="shared" si="6"/>
        <v/>
      </c>
      <c r="F32" s="54" t="str">
        <f t="shared" si="7"/>
        <v/>
      </c>
      <c r="G32" s="55" t="str">
        <f t="shared" si="8"/>
        <v/>
      </c>
      <c r="H32" s="56" t="str">
        <f t="shared" si="9"/>
        <v/>
      </c>
      <c r="I32" s="57" t="str">
        <f t="shared" si="10"/>
        <v/>
      </c>
      <c r="J32" s="58"/>
      <c r="K32" s="58"/>
      <c r="L32" s="58"/>
      <c r="M32" s="58"/>
      <c r="N32" s="58"/>
      <c r="O32" s="58"/>
      <c r="P32" s="58"/>
      <c r="Q32" s="58"/>
      <c r="R32" s="58"/>
      <c r="S32" s="58"/>
      <c r="T32" s="58"/>
      <c r="U32" s="58"/>
      <c r="V32" s="58"/>
      <c r="W32" s="58"/>
      <c r="X32" s="58"/>
      <c r="Y32" s="58"/>
      <c r="Z32" s="58"/>
      <c r="AA32" s="58"/>
      <c r="AB32" s="58"/>
      <c r="AC32" s="58"/>
      <c r="AD32" s="58"/>
      <c r="AE32" s="58"/>
      <c r="AF32" s="58"/>
      <c r="AG32" s="58"/>
      <c r="AH32" s="58"/>
      <c r="AI32" s="58"/>
      <c r="AJ32" s="58"/>
      <c r="AK32" s="58"/>
      <c r="AL32" s="58"/>
      <c r="AM32" s="58"/>
      <c r="AN32" s="58"/>
      <c r="AO32" s="58"/>
      <c r="AP32" s="58"/>
      <c r="AQ32" s="58"/>
      <c r="AR32" s="58"/>
      <c r="AS32" s="58"/>
      <c r="AT32" s="58"/>
      <c r="AU32" s="58"/>
      <c r="AV32" s="58"/>
      <c r="AW32" s="58"/>
      <c r="AX32" s="58"/>
      <c r="AY32" s="58"/>
      <c r="AZ32" s="58"/>
      <c r="BA32" s="58"/>
      <c r="BB32" s="58"/>
      <c r="BC32" s="58"/>
      <c r="BD32" s="58"/>
      <c r="BE32" s="58"/>
      <c r="BF32" s="58"/>
      <c r="BG32" s="58"/>
      <c r="BH32" s="58"/>
      <c r="BI32" s="58"/>
      <c r="BJ32" s="58"/>
      <c r="BL32">
        <f>IFERROR(MATCH(الإعدادات!$B$6&amp;"|"&amp;26,'قاعدة البيانات'!$N$6:$N$305,0),0)</f>
        <v>0</v>
      </c>
      <c r="BM32">
        <f>IF($BL32=0,0,IF(INDEX('قاعدة البيانات'!$M$6:$M$305,$BL32)="غير نشط",5,IF($F32="",0,IF($G32&gt;=الإعدادات!$B$18,4,IF($F32&gt;=الإعدادات!$B$16,1,IF($F32&gt;=الإعدادات!$B$17,2,3))))))</f>
        <v>0</v>
      </c>
    </row>
    <row r="33" spans="1:65" ht="21.75" customHeight="1">
      <c r="A33" s="49" t="str">
        <f>IF($BL33=0,"",27)</f>
        <v/>
      </c>
      <c r="B33" s="50" t="str">
        <f>IF($BL33=0,"",INDEX('قاعدة البيانات'!$C$6:$C$305,$BL33))</f>
        <v/>
      </c>
      <c r="C33" s="51" t="str">
        <f t="shared" si="4"/>
        <v/>
      </c>
      <c r="D33" s="52" t="str">
        <f t="shared" si="5"/>
        <v/>
      </c>
      <c r="E33" s="53" t="str">
        <f t="shared" si="6"/>
        <v/>
      </c>
      <c r="F33" s="54" t="str">
        <f t="shared" si="7"/>
        <v/>
      </c>
      <c r="G33" s="55" t="str">
        <f t="shared" si="8"/>
        <v/>
      </c>
      <c r="H33" s="56" t="str">
        <f t="shared" si="9"/>
        <v/>
      </c>
      <c r="I33" s="57" t="str">
        <f t="shared" si="10"/>
        <v/>
      </c>
      <c r="J33" s="58"/>
      <c r="K33" s="58"/>
      <c r="L33" s="58"/>
      <c r="M33" s="58"/>
      <c r="N33" s="58"/>
      <c r="O33" s="58"/>
      <c r="P33" s="58"/>
      <c r="Q33" s="58"/>
      <c r="R33" s="58"/>
      <c r="S33" s="58"/>
      <c r="T33" s="58"/>
      <c r="U33" s="58"/>
      <c r="V33" s="58"/>
      <c r="W33" s="58"/>
      <c r="X33" s="58"/>
      <c r="Y33" s="58"/>
      <c r="Z33" s="58"/>
      <c r="AA33" s="58"/>
      <c r="AB33" s="58"/>
      <c r="AC33" s="58"/>
      <c r="AD33" s="58"/>
      <c r="AE33" s="58"/>
      <c r="AF33" s="58"/>
      <c r="AG33" s="58"/>
      <c r="AH33" s="58"/>
      <c r="AI33" s="58"/>
      <c r="AJ33" s="58"/>
      <c r="AK33" s="58"/>
      <c r="AL33" s="58"/>
      <c r="AM33" s="58"/>
      <c r="AN33" s="58"/>
      <c r="AO33" s="58"/>
      <c r="AP33" s="58"/>
      <c r="AQ33" s="58"/>
      <c r="AR33" s="58"/>
      <c r="AS33" s="58"/>
      <c r="AT33" s="58"/>
      <c r="AU33" s="58"/>
      <c r="AV33" s="58"/>
      <c r="AW33" s="58"/>
      <c r="AX33" s="58"/>
      <c r="AY33" s="58"/>
      <c r="AZ33" s="58"/>
      <c r="BA33" s="58"/>
      <c r="BB33" s="58"/>
      <c r="BC33" s="58"/>
      <c r="BD33" s="58"/>
      <c r="BE33" s="58"/>
      <c r="BF33" s="58"/>
      <c r="BG33" s="58"/>
      <c r="BH33" s="58"/>
      <c r="BI33" s="58"/>
      <c r="BJ33" s="58"/>
      <c r="BL33">
        <f>IFERROR(MATCH(الإعدادات!$B$6&amp;"|"&amp;27,'قاعدة البيانات'!$N$6:$N$305,0),0)</f>
        <v>0</v>
      </c>
      <c r="BM33">
        <f>IF($BL33=0,0,IF(INDEX('قاعدة البيانات'!$M$6:$M$305,$BL33)="غير نشط",5,IF($F33="",0,IF($G33&gt;=الإعدادات!$B$18,4,IF($F33&gt;=الإعدادات!$B$16,1,IF($F33&gt;=الإعدادات!$B$17,2,3))))))</f>
        <v>0</v>
      </c>
    </row>
    <row r="34" spans="1:65" ht="21.75" customHeight="1">
      <c r="A34" s="49" t="str">
        <f>IF($BL34=0,"",28)</f>
        <v/>
      </c>
      <c r="B34" s="50" t="str">
        <f>IF($BL34=0,"",INDEX('قاعدة البيانات'!$C$6:$C$305,$BL34))</f>
        <v/>
      </c>
      <c r="C34" s="51" t="str">
        <f t="shared" si="4"/>
        <v/>
      </c>
      <c r="D34" s="52" t="str">
        <f t="shared" si="5"/>
        <v/>
      </c>
      <c r="E34" s="53" t="str">
        <f t="shared" si="6"/>
        <v/>
      </c>
      <c r="F34" s="54" t="str">
        <f t="shared" si="7"/>
        <v/>
      </c>
      <c r="G34" s="55" t="str">
        <f t="shared" si="8"/>
        <v/>
      </c>
      <c r="H34" s="56" t="str">
        <f t="shared" si="9"/>
        <v/>
      </c>
      <c r="I34" s="57" t="str">
        <f t="shared" si="10"/>
        <v/>
      </c>
      <c r="J34" s="58"/>
      <c r="K34" s="58"/>
      <c r="L34" s="58"/>
      <c r="M34" s="58"/>
      <c r="N34" s="58"/>
      <c r="O34" s="58"/>
      <c r="P34" s="58"/>
      <c r="Q34" s="58"/>
      <c r="R34" s="58"/>
      <c r="S34" s="58"/>
      <c r="T34" s="58"/>
      <c r="U34" s="58"/>
      <c r="V34" s="58"/>
      <c r="W34" s="58"/>
      <c r="X34" s="58"/>
      <c r="Y34" s="58"/>
      <c r="Z34" s="58"/>
      <c r="AA34" s="58"/>
      <c r="AB34" s="58"/>
      <c r="AC34" s="58"/>
      <c r="AD34" s="58"/>
      <c r="AE34" s="58"/>
      <c r="AF34" s="58"/>
      <c r="AG34" s="58"/>
      <c r="AH34" s="58"/>
      <c r="AI34" s="58"/>
      <c r="AJ34" s="58"/>
      <c r="AK34" s="58"/>
      <c r="AL34" s="58"/>
      <c r="AM34" s="58"/>
      <c r="AN34" s="58"/>
      <c r="AO34" s="58"/>
      <c r="AP34" s="58"/>
      <c r="AQ34" s="58"/>
      <c r="AR34" s="58"/>
      <c r="AS34" s="58"/>
      <c r="AT34" s="58"/>
      <c r="AU34" s="58"/>
      <c r="AV34" s="58"/>
      <c r="AW34" s="58"/>
      <c r="AX34" s="58"/>
      <c r="AY34" s="58"/>
      <c r="AZ34" s="58"/>
      <c r="BA34" s="58"/>
      <c r="BB34" s="58"/>
      <c r="BC34" s="58"/>
      <c r="BD34" s="58"/>
      <c r="BE34" s="58"/>
      <c r="BF34" s="58"/>
      <c r="BG34" s="58"/>
      <c r="BH34" s="58"/>
      <c r="BI34" s="58"/>
      <c r="BJ34" s="58"/>
      <c r="BL34">
        <f>IFERROR(MATCH(الإعدادات!$B$6&amp;"|"&amp;28,'قاعدة البيانات'!$N$6:$N$305,0),0)</f>
        <v>0</v>
      </c>
      <c r="BM34">
        <f>IF($BL34=0,0,IF(INDEX('قاعدة البيانات'!$M$6:$M$305,$BL34)="غير نشط",5,IF($F34="",0,IF($G34&gt;=الإعدادات!$B$18,4,IF($F34&gt;=الإعدادات!$B$16,1,IF($F34&gt;=الإعدادات!$B$17,2,3))))))</f>
        <v>0</v>
      </c>
    </row>
    <row r="35" spans="1:65" ht="21.75" customHeight="1">
      <c r="A35" s="49" t="str">
        <f>IF($BL35=0,"",29)</f>
        <v/>
      </c>
      <c r="B35" s="50" t="str">
        <f>IF($BL35=0,"",INDEX('قاعدة البيانات'!$C$6:$C$305,$BL35))</f>
        <v/>
      </c>
      <c r="C35" s="51" t="str">
        <f t="shared" si="4"/>
        <v/>
      </c>
      <c r="D35" s="52" t="str">
        <f t="shared" si="5"/>
        <v/>
      </c>
      <c r="E35" s="53" t="str">
        <f t="shared" si="6"/>
        <v/>
      </c>
      <c r="F35" s="54" t="str">
        <f t="shared" si="7"/>
        <v/>
      </c>
      <c r="G35" s="55" t="str">
        <f t="shared" si="8"/>
        <v/>
      </c>
      <c r="H35" s="56" t="str">
        <f t="shared" si="9"/>
        <v/>
      </c>
      <c r="I35" s="57" t="str">
        <f t="shared" si="10"/>
        <v/>
      </c>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c r="AQ35" s="58"/>
      <c r="AR35" s="58"/>
      <c r="AS35" s="58"/>
      <c r="AT35" s="58"/>
      <c r="AU35" s="58"/>
      <c r="AV35" s="58"/>
      <c r="AW35" s="58"/>
      <c r="AX35" s="58"/>
      <c r="AY35" s="58"/>
      <c r="AZ35" s="58"/>
      <c r="BA35" s="58"/>
      <c r="BB35" s="58"/>
      <c r="BC35" s="58"/>
      <c r="BD35" s="58"/>
      <c r="BE35" s="58"/>
      <c r="BF35" s="58"/>
      <c r="BG35" s="58"/>
      <c r="BH35" s="58"/>
      <c r="BI35" s="58"/>
      <c r="BJ35" s="58"/>
      <c r="BL35">
        <f>IFERROR(MATCH(الإعدادات!$B$6&amp;"|"&amp;29,'قاعدة البيانات'!$N$6:$N$305,0),0)</f>
        <v>0</v>
      </c>
      <c r="BM35">
        <f>IF($BL35=0,0,IF(INDEX('قاعدة البيانات'!$M$6:$M$305,$BL35)="غير نشط",5,IF($F35="",0,IF($G35&gt;=الإعدادات!$B$18,4,IF($F35&gt;=الإعدادات!$B$16,1,IF($F35&gt;=الإعدادات!$B$17,2,3))))))</f>
        <v>0</v>
      </c>
    </row>
    <row r="36" spans="1:65" ht="21.75" customHeight="1">
      <c r="A36" s="49" t="str">
        <f>IF($BL36=0,"",30)</f>
        <v/>
      </c>
      <c r="B36" s="50" t="str">
        <f>IF($BL36=0,"",INDEX('قاعدة البيانات'!$C$6:$C$305,$BL36))</f>
        <v/>
      </c>
      <c r="C36" s="51" t="str">
        <f t="shared" si="4"/>
        <v/>
      </c>
      <c r="D36" s="52" t="str">
        <f t="shared" si="5"/>
        <v/>
      </c>
      <c r="E36" s="53" t="str">
        <f t="shared" si="6"/>
        <v/>
      </c>
      <c r="F36" s="54" t="str">
        <f t="shared" si="7"/>
        <v/>
      </c>
      <c r="G36" s="55" t="str">
        <f t="shared" si="8"/>
        <v/>
      </c>
      <c r="H36" s="56" t="str">
        <f t="shared" si="9"/>
        <v/>
      </c>
      <c r="I36" s="57" t="str">
        <f t="shared" si="10"/>
        <v/>
      </c>
      <c r="J36" s="58"/>
      <c r="K36" s="58"/>
      <c r="L36" s="58"/>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58"/>
      <c r="AL36" s="58"/>
      <c r="AM36" s="58"/>
      <c r="AN36" s="58"/>
      <c r="AO36" s="58"/>
      <c r="AP36" s="58"/>
      <c r="AQ36" s="58"/>
      <c r="AR36" s="58"/>
      <c r="AS36" s="58"/>
      <c r="AT36" s="58"/>
      <c r="AU36" s="58"/>
      <c r="AV36" s="58"/>
      <c r="AW36" s="58"/>
      <c r="AX36" s="58"/>
      <c r="AY36" s="58"/>
      <c r="AZ36" s="58"/>
      <c r="BA36" s="58"/>
      <c r="BB36" s="58"/>
      <c r="BC36" s="58"/>
      <c r="BD36" s="58"/>
      <c r="BE36" s="58"/>
      <c r="BF36" s="58"/>
      <c r="BG36" s="58"/>
      <c r="BH36" s="58"/>
      <c r="BI36" s="58"/>
      <c r="BJ36" s="58"/>
      <c r="BL36">
        <f>IFERROR(MATCH(الإعدادات!$B$6&amp;"|"&amp;30,'قاعدة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32" priority="2">
      <formula>$BL7=0</formula>
    </cfRule>
  </conditionalFormatting>
  <conditionalFormatting sqref="F7:F36">
    <cfRule type="expression" dxfId="31" priority="9">
      <formula>$BM7=1</formula>
    </cfRule>
    <cfRule type="expression" dxfId="30" priority="10">
      <formula>$BM7=2</formula>
    </cfRule>
    <cfRule type="expression" dxfId="29" priority="11">
      <formula>OR($BM7=3,$BM7=4)</formula>
    </cfRule>
  </conditionalFormatting>
  <conditionalFormatting sqref="I7:I36">
    <cfRule type="expression" dxfId="27" priority="12">
      <formula>$BM7=1</formula>
    </cfRule>
    <cfRule type="expression" dxfId="26" priority="13">
      <formula>$BM7=2</formula>
    </cfRule>
    <cfRule type="expression" dxfId="25" priority="14">
      <formula>$BM7=3</formula>
    </cfRule>
    <cfRule type="expression" dxfId="24" priority="15">
      <formula>$BM7=4</formula>
    </cfRule>
  </conditionalFormatting>
  <conditionalFormatting sqref="J6:BJ6">
    <cfRule type="expression" dxfId="23" priority="7">
      <formula>AND(J$6&lt;&gt;"",J$6&lt;=TODAY(),J$6+7&gt;TODAY())</formula>
    </cfRule>
    <cfRule type="expression" dxfId="22" priority="8">
      <formula>MOD(MONTH(J$6),2)=0</formula>
    </cfRule>
  </conditionalFormatting>
  <conditionalFormatting sqref="J7:BJ36">
    <cfRule type="expression" dxfId="21" priority="3">
      <formula>J7="ح"</formula>
    </cfRule>
    <cfRule type="expression" dxfId="20" priority="4">
      <formula>J7="غ"</formula>
    </cfRule>
    <cfRule type="expression" dxfId="19" priority="5">
      <formula>J7="ع"</formula>
    </cfRule>
    <cfRule type="expression" dxfId="18" priority="6">
      <formula>AND(J$6&lt;&gt;"",J$6&lt;=TODAY(),J$6+7&gt;TODAY())</formula>
    </cfRule>
  </conditionalFormatting>
  <dataValidations count="1">
    <dataValidation type="list" allowBlank="1" showErrorMessage="1" errorTitle="حضور" error="اختار ح أو غ أو ع." sqref="J7:BJ36" xr:uid="{00000000-0002-0000-08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8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BM36"/>
  <sheetViews>
    <sheetView showGridLines="0" rightToLeft="1" zoomScale="90" zoomScaleNormal="90" workbookViewId="0">
      <pane xSplit="2" ySplit="6" topLeftCell="C7" activePane="bottomRight" state="frozen"/>
      <selection pane="topRight" activeCell="C1" sqref="C1"/>
      <selection pane="bottomLeft" activeCell="A7" sqref="A7"/>
      <selection pane="bottomRight" sqref="A1:R1"/>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55" t="str">
        <f>"📅 قايمة حضور ملاك "&amp;الإعدادات!$B$7</f>
        <v>📅 قايمة حضور ملاك ميخائيل</v>
      </c>
      <c r="B1" s="155"/>
      <c r="C1" s="155"/>
      <c r="D1" s="155"/>
      <c r="E1" s="155"/>
      <c r="F1" s="155"/>
      <c r="G1" s="155"/>
      <c r="H1" s="155"/>
      <c r="I1" s="155"/>
      <c r="J1" s="155"/>
      <c r="K1" s="155"/>
      <c r="L1" s="155"/>
      <c r="M1" s="155"/>
      <c r="N1" s="155"/>
      <c r="O1" s="155"/>
      <c r="P1" s="155"/>
      <c r="Q1" s="155"/>
      <c r="R1" s="155"/>
    </row>
    <row r="2" spans="1:65" ht="27.75" customHeight="1">
      <c r="A2" s="111" t="str">
        <f>HYPERLINK("#'الرئيسية'!A1","🏠 الرئيسية")</f>
        <v>🏠 الرئيسية</v>
      </c>
      <c r="B2" s="111"/>
      <c r="C2" s="141" t="str">
        <f>HYPERLINK("#'فصل ميخائيل'!A1","🪪 كروت الفصل")</f>
        <v>🪪 كروت الفصل</v>
      </c>
      <c r="D2" s="141"/>
      <c r="E2" s="141"/>
      <c r="F2" s="141"/>
      <c r="G2" s="115" t="str">
        <f>HYPERLINK("#'قاعدة البيانات'!C"&amp;MIN(305,6+COUNTA('قاعدة البيانات'!$C$6:$C$305)),"➕ إضافة طفل")</f>
        <v>➕ إضافة طفل</v>
      </c>
      <c r="H2" s="115"/>
      <c r="I2" s="115"/>
      <c r="J2" s="111" t="str">
        <f>HYPERLINK("#'الافتقاد'!A1","📞 الافتقاد")</f>
        <v>📞 الافتقاد</v>
      </c>
      <c r="K2" s="111"/>
      <c r="L2" s="111"/>
      <c r="M2" s="111"/>
      <c r="N2" s="111"/>
      <c r="O2" s="111"/>
      <c r="P2" s="111" t="str">
        <f>HYPERLINK("#'قاعدة البيانات'!A1","📋 القاعدة")</f>
        <v>📋 القاعدة</v>
      </c>
      <c r="Q2" s="111"/>
      <c r="R2" s="111"/>
      <c r="S2" s="111"/>
      <c r="T2" s="111"/>
      <c r="U2" s="111"/>
      <c r="V2" s="111"/>
    </row>
    <row r="3" spans="1:65" ht="25.5" customHeight="1">
      <c r="A3" s="156" t="str">
        <f>"📅 جمع مسجلة: "&amp;COUNT(J4:BJ4)&amp;"  |  📊 "&amp;IFERROR(ROUND(SUM(C7:C36)/(SUM(C7:C36)+SUM(D7:D36))*100,0)&amp;"%","—")</f>
        <v>📅 جمع مسجلة: 0  |  📊 —</v>
      </c>
      <c r="B3" s="156"/>
      <c r="C3" s="148" t="s">
        <v>55</v>
      </c>
      <c r="D3" s="148"/>
      <c r="E3" s="148"/>
      <c r="F3" s="148"/>
      <c r="G3" s="148"/>
      <c r="H3" s="148"/>
      <c r="I3" s="148"/>
      <c r="J3" s="149" t="s">
        <v>56</v>
      </c>
      <c r="K3" s="149"/>
      <c r="L3" s="149"/>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row>
    <row r="4" spans="1:65" ht="21.75" customHeight="1">
      <c r="A4" s="150" t="s">
        <v>57</v>
      </c>
      <c r="B4" s="150"/>
      <c r="C4" s="150"/>
      <c r="D4" s="150"/>
      <c r="E4" s="150"/>
      <c r="F4" s="150"/>
      <c r="G4" s="150"/>
      <c r="H4" s="150"/>
      <c r="I4" s="150"/>
      <c r="J4" s="45" t="str">
        <f t="shared" ref="J4:AO4" si="0">IF(J$6="","",IF(COUNTA(J$7:J$36)=0,"",COUNTIF(J$7:J$36,"ح")))</f>
        <v/>
      </c>
      <c r="K4" s="45" t="str">
        <f t="shared" si="0"/>
        <v/>
      </c>
      <c r="L4" s="45" t="str">
        <f t="shared" si="0"/>
        <v/>
      </c>
      <c r="M4" s="45" t="str">
        <f t="shared" si="0"/>
        <v/>
      </c>
      <c r="N4" s="45" t="str">
        <f t="shared" si="0"/>
        <v/>
      </c>
      <c r="O4" s="45" t="str">
        <f t="shared" si="0"/>
        <v/>
      </c>
      <c r="P4" s="45" t="str">
        <f t="shared" si="0"/>
        <v/>
      </c>
      <c r="Q4" s="45" t="str">
        <f t="shared" si="0"/>
        <v/>
      </c>
      <c r="R4" s="45" t="str">
        <f t="shared" si="0"/>
        <v/>
      </c>
      <c r="S4" s="45" t="str">
        <f t="shared" si="0"/>
        <v/>
      </c>
      <c r="T4" s="45" t="str">
        <f t="shared" si="0"/>
        <v/>
      </c>
      <c r="U4" s="45" t="str">
        <f t="shared" si="0"/>
        <v/>
      </c>
      <c r="V4" s="45" t="str">
        <f t="shared" si="0"/>
        <v/>
      </c>
      <c r="W4" s="45" t="str">
        <f t="shared" si="0"/>
        <v/>
      </c>
      <c r="X4" s="45" t="str">
        <f t="shared" si="0"/>
        <v/>
      </c>
      <c r="Y4" s="45" t="str">
        <f t="shared" si="0"/>
        <v/>
      </c>
      <c r="Z4" s="45" t="str">
        <f t="shared" si="0"/>
        <v/>
      </c>
      <c r="AA4" s="45" t="str">
        <f t="shared" si="0"/>
        <v/>
      </c>
      <c r="AB4" s="45" t="str">
        <f t="shared" si="0"/>
        <v/>
      </c>
      <c r="AC4" s="45" t="str">
        <f t="shared" si="0"/>
        <v/>
      </c>
      <c r="AD4" s="45" t="str">
        <f t="shared" si="0"/>
        <v/>
      </c>
      <c r="AE4" s="45" t="str">
        <f t="shared" si="0"/>
        <v/>
      </c>
      <c r="AF4" s="45" t="str">
        <f t="shared" si="0"/>
        <v/>
      </c>
      <c r="AG4" s="45" t="str">
        <f t="shared" si="0"/>
        <v/>
      </c>
      <c r="AH4" s="45" t="str">
        <f t="shared" si="0"/>
        <v/>
      </c>
      <c r="AI4" s="45" t="str">
        <f t="shared" si="0"/>
        <v/>
      </c>
      <c r="AJ4" s="45" t="str">
        <f t="shared" si="0"/>
        <v/>
      </c>
      <c r="AK4" s="45" t="str">
        <f t="shared" si="0"/>
        <v/>
      </c>
      <c r="AL4" s="45" t="str">
        <f t="shared" si="0"/>
        <v/>
      </c>
      <c r="AM4" s="45" t="str">
        <f t="shared" si="0"/>
        <v/>
      </c>
      <c r="AN4" s="45" t="str">
        <f t="shared" si="0"/>
        <v/>
      </c>
      <c r="AO4" s="45" t="str">
        <f t="shared" si="0"/>
        <v/>
      </c>
      <c r="AP4" s="45" t="str">
        <f t="shared" ref="AP4:BJ4" si="1">IF(AP$6="","",IF(COUNTA(AP$7:AP$36)=0,"",COUNTIF(AP$7:AP$36,"ح")))</f>
        <v/>
      </c>
      <c r="AQ4" s="45" t="str">
        <f t="shared" si="1"/>
        <v/>
      </c>
      <c r="AR4" s="45" t="str">
        <f t="shared" si="1"/>
        <v/>
      </c>
      <c r="AS4" s="45" t="str">
        <f t="shared" si="1"/>
        <v/>
      </c>
      <c r="AT4" s="45" t="str">
        <f t="shared" si="1"/>
        <v/>
      </c>
      <c r="AU4" s="45" t="str">
        <f t="shared" si="1"/>
        <v/>
      </c>
      <c r="AV4" s="45" t="str">
        <f t="shared" si="1"/>
        <v/>
      </c>
      <c r="AW4" s="45" t="str">
        <f t="shared" si="1"/>
        <v/>
      </c>
      <c r="AX4" s="45" t="str">
        <f t="shared" si="1"/>
        <v/>
      </c>
      <c r="AY4" s="45" t="str">
        <f t="shared" si="1"/>
        <v/>
      </c>
      <c r="AZ4" s="45" t="str">
        <f t="shared" si="1"/>
        <v/>
      </c>
      <c r="BA4" s="45" t="str">
        <f t="shared" si="1"/>
        <v/>
      </c>
      <c r="BB4" s="45" t="str">
        <f t="shared" si="1"/>
        <v/>
      </c>
      <c r="BC4" s="45" t="str">
        <f t="shared" si="1"/>
        <v/>
      </c>
      <c r="BD4" s="45" t="str">
        <f t="shared" si="1"/>
        <v/>
      </c>
      <c r="BE4" s="45" t="str">
        <f t="shared" si="1"/>
        <v/>
      </c>
      <c r="BF4" s="45" t="str">
        <f t="shared" si="1"/>
        <v/>
      </c>
      <c r="BG4" s="45" t="str">
        <f t="shared" si="1"/>
        <v/>
      </c>
      <c r="BH4" s="45" t="str">
        <f t="shared" si="1"/>
        <v/>
      </c>
      <c r="BI4" s="45" t="str">
        <f t="shared" si="1"/>
        <v/>
      </c>
      <c r="BJ4" s="45" t="str">
        <f t="shared" si="1"/>
        <v/>
      </c>
    </row>
    <row r="5" spans="1:65" ht="21.75" customHeight="1">
      <c r="A5" s="150" t="s">
        <v>58</v>
      </c>
      <c r="B5" s="150"/>
      <c r="C5" s="150"/>
      <c r="D5" s="150"/>
      <c r="E5" s="150"/>
      <c r="F5" s="150"/>
      <c r="G5" s="150"/>
      <c r="H5" s="150"/>
      <c r="I5" s="150"/>
      <c r="J5" s="46" t="str">
        <f t="shared" ref="J5:AO5" si="2">IF(J4="","",IFERROR(J4/(COUNTIF(J$7:J$36,"ح")+COUNTIF(J$7:J$36,"غ")),""))</f>
        <v/>
      </c>
      <c r="K5" s="46" t="str">
        <f t="shared" si="2"/>
        <v/>
      </c>
      <c r="L5" s="46" t="str">
        <f t="shared" si="2"/>
        <v/>
      </c>
      <c r="M5" s="46" t="str">
        <f t="shared" si="2"/>
        <v/>
      </c>
      <c r="N5" s="46" t="str">
        <f t="shared" si="2"/>
        <v/>
      </c>
      <c r="O5" s="46" t="str">
        <f t="shared" si="2"/>
        <v/>
      </c>
      <c r="P5" s="46" t="str">
        <f t="shared" si="2"/>
        <v/>
      </c>
      <c r="Q5" s="46" t="str">
        <f t="shared" si="2"/>
        <v/>
      </c>
      <c r="R5" s="46" t="str">
        <f t="shared" si="2"/>
        <v/>
      </c>
      <c r="S5" s="46" t="str">
        <f t="shared" si="2"/>
        <v/>
      </c>
      <c r="T5" s="46" t="str">
        <f t="shared" si="2"/>
        <v/>
      </c>
      <c r="U5" s="46" t="str">
        <f t="shared" si="2"/>
        <v/>
      </c>
      <c r="V5" s="46" t="str">
        <f t="shared" si="2"/>
        <v/>
      </c>
      <c r="W5" s="46" t="str">
        <f t="shared" si="2"/>
        <v/>
      </c>
      <c r="X5" s="46" t="str">
        <f t="shared" si="2"/>
        <v/>
      </c>
      <c r="Y5" s="46" t="str">
        <f t="shared" si="2"/>
        <v/>
      </c>
      <c r="Z5" s="46" t="str">
        <f t="shared" si="2"/>
        <v/>
      </c>
      <c r="AA5" s="46" t="str">
        <f t="shared" si="2"/>
        <v/>
      </c>
      <c r="AB5" s="46" t="str">
        <f t="shared" si="2"/>
        <v/>
      </c>
      <c r="AC5" s="46" t="str">
        <f t="shared" si="2"/>
        <v/>
      </c>
      <c r="AD5" s="46" t="str">
        <f t="shared" si="2"/>
        <v/>
      </c>
      <c r="AE5" s="46" t="str">
        <f t="shared" si="2"/>
        <v/>
      </c>
      <c r="AF5" s="46" t="str">
        <f t="shared" si="2"/>
        <v/>
      </c>
      <c r="AG5" s="46" t="str">
        <f t="shared" si="2"/>
        <v/>
      </c>
      <c r="AH5" s="46" t="str">
        <f t="shared" si="2"/>
        <v/>
      </c>
      <c r="AI5" s="46" t="str">
        <f t="shared" si="2"/>
        <v/>
      </c>
      <c r="AJ5" s="46" t="str">
        <f t="shared" si="2"/>
        <v/>
      </c>
      <c r="AK5" s="46" t="str">
        <f t="shared" si="2"/>
        <v/>
      </c>
      <c r="AL5" s="46" t="str">
        <f t="shared" si="2"/>
        <v/>
      </c>
      <c r="AM5" s="46" t="str">
        <f t="shared" si="2"/>
        <v/>
      </c>
      <c r="AN5" s="46" t="str">
        <f t="shared" si="2"/>
        <v/>
      </c>
      <c r="AO5" s="46" t="str">
        <f t="shared" si="2"/>
        <v/>
      </c>
      <c r="AP5" s="46" t="str">
        <f t="shared" ref="AP5:BU5" si="3">IF(AP4="","",IFERROR(AP4/(COUNTIF(AP$7:AP$36,"ح")+COUNTIF(AP$7:AP$36,"غ")),""))</f>
        <v/>
      </c>
      <c r="AQ5" s="46" t="str">
        <f t="shared" si="3"/>
        <v/>
      </c>
      <c r="AR5" s="46" t="str">
        <f t="shared" si="3"/>
        <v/>
      </c>
      <c r="AS5" s="46" t="str">
        <f t="shared" si="3"/>
        <v/>
      </c>
      <c r="AT5" s="46" t="str">
        <f t="shared" si="3"/>
        <v/>
      </c>
      <c r="AU5" s="46" t="str">
        <f t="shared" si="3"/>
        <v/>
      </c>
      <c r="AV5" s="46" t="str">
        <f t="shared" si="3"/>
        <v/>
      </c>
      <c r="AW5" s="46" t="str">
        <f t="shared" si="3"/>
        <v/>
      </c>
      <c r="AX5" s="46" t="str">
        <f t="shared" si="3"/>
        <v/>
      </c>
      <c r="AY5" s="46" t="str">
        <f t="shared" si="3"/>
        <v/>
      </c>
      <c r="AZ5" s="46" t="str">
        <f t="shared" si="3"/>
        <v/>
      </c>
      <c r="BA5" s="46" t="str">
        <f t="shared" si="3"/>
        <v/>
      </c>
      <c r="BB5" s="46" t="str">
        <f t="shared" si="3"/>
        <v/>
      </c>
      <c r="BC5" s="46" t="str">
        <f t="shared" si="3"/>
        <v/>
      </c>
      <c r="BD5" s="46" t="str">
        <f t="shared" si="3"/>
        <v/>
      </c>
      <c r="BE5" s="46" t="str">
        <f t="shared" si="3"/>
        <v/>
      </c>
      <c r="BF5" s="46" t="str">
        <f t="shared" si="3"/>
        <v/>
      </c>
      <c r="BG5" s="46" t="str">
        <f t="shared" si="3"/>
        <v/>
      </c>
      <c r="BH5" s="46" t="str">
        <f t="shared" si="3"/>
        <v/>
      </c>
      <c r="BI5" s="46" t="str">
        <f t="shared" si="3"/>
        <v/>
      </c>
      <c r="BJ5" s="46" t="str">
        <f t="shared" si="3"/>
        <v/>
      </c>
    </row>
    <row r="6" spans="1:65" ht="36" customHeight="1">
      <c r="A6" s="63" t="s">
        <v>20</v>
      </c>
      <c r="B6" s="63" t="s">
        <v>22</v>
      </c>
      <c r="C6" s="63" t="s">
        <v>35</v>
      </c>
      <c r="D6" s="63" t="s">
        <v>36</v>
      </c>
      <c r="E6" s="63" t="s">
        <v>59</v>
      </c>
      <c r="F6" s="63" t="s">
        <v>37</v>
      </c>
      <c r="G6" s="63" t="s">
        <v>38</v>
      </c>
      <c r="H6" s="63" t="s">
        <v>39</v>
      </c>
      <c r="I6" s="63" t="s">
        <v>32</v>
      </c>
      <c r="J6" s="64">
        <f>IF(الإعدادات!$B$14&lt;=الإعدادات!$B$11,الإعدادات!$B$14,"")</f>
        <v>46297</v>
      </c>
      <c r="K6" s="64">
        <f>IF(J6="","",IF(J6+7&lt;=الإعدادات!$B$11,J6+7,""))</f>
        <v>46304</v>
      </c>
      <c r="L6" s="64">
        <f>IF(K6="","",IF(K6+7&lt;=الإعدادات!$B$11,K6+7,""))</f>
        <v>46311</v>
      </c>
      <c r="M6" s="64">
        <f>IF(L6="","",IF(L6+7&lt;=الإعدادات!$B$11,L6+7,""))</f>
        <v>46318</v>
      </c>
      <c r="N6" s="64">
        <f>IF(M6="","",IF(M6+7&lt;=الإعدادات!$B$11,M6+7,""))</f>
        <v>46325</v>
      </c>
      <c r="O6" s="64">
        <f>IF(N6="","",IF(N6+7&lt;=الإعدادات!$B$11,N6+7,""))</f>
        <v>46332</v>
      </c>
      <c r="P6" s="64">
        <f>IF(O6="","",IF(O6+7&lt;=الإعدادات!$B$11,O6+7,""))</f>
        <v>46339</v>
      </c>
      <c r="Q6" s="64">
        <f>IF(P6="","",IF(P6+7&lt;=الإعدادات!$B$11,P6+7,""))</f>
        <v>46346</v>
      </c>
      <c r="R6" s="64">
        <f>IF(Q6="","",IF(Q6+7&lt;=الإعدادات!$B$11,Q6+7,""))</f>
        <v>46353</v>
      </c>
      <c r="S6" s="64">
        <f>IF(R6="","",IF(R6+7&lt;=الإعدادات!$B$11,R6+7,""))</f>
        <v>46360</v>
      </c>
      <c r="T6" s="64">
        <f>IF(S6="","",IF(S6+7&lt;=الإعدادات!$B$11,S6+7,""))</f>
        <v>46367</v>
      </c>
      <c r="U6" s="64">
        <f>IF(T6="","",IF(T6+7&lt;=الإعدادات!$B$11,T6+7,""))</f>
        <v>46374</v>
      </c>
      <c r="V6" s="64">
        <f>IF(U6="","",IF(U6+7&lt;=الإعدادات!$B$11,U6+7,""))</f>
        <v>46381</v>
      </c>
      <c r="W6" s="64">
        <f>IF(V6="","",IF(V6+7&lt;=الإعدادات!$B$11,V6+7,""))</f>
        <v>46388</v>
      </c>
      <c r="X6" s="64">
        <f>IF(W6="","",IF(W6+7&lt;=الإعدادات!$B$11,W6+7,""))</f>
        <v>46395</v>
      </c>
      <c r="Y6" s="64">
        <f>IF(X6="","",IF(X6+7&lt;=الإعدادات!$B$11,X6+7,""))</f>
        <v>46402</v>
      </c>
      <c r="Z6" s="64">
        <f>IF(Y6="","",IF(Y6+7&lt;=الإعدادات!$B$11,Y6+7,""))</f>
        <v>46409</v>
      </c>
      <c r="AA6" s="64">
        <f>IF(Z6="","",IF(Z6+7&lt;=الإعدادات!$B$11,Z6+7,""))</f>
        <v>46416</v>
      </c>
      <c r="AB6" s="64">
        <f>IF(AA6="","",IF(AA6+7&lt;=الإعدادات!$B$11,AA6+7,""))</f>
        <v>46423</v>
      </c>
      <c r="AC6" s="64">
        <f>IF(AB6="","",IF(AB6+7&lt;=الإعدادات!$B$11,AB6+7,""))</f>
        <v>46430</v>
      </c>
      <c r="AD6" s="64">
        <f>IF(AC6="","",IF(AC6+7&lt;=الإعدادات!$B$11,AC6+7,""))</f>
        <v>46437</v>
      </c>
      <c r="AE6" s="64">
        <f>IF(AD6="","",IF(AD6+7&lt;=الإعدادات!$B$11,AD6+7,""))</f>
        <v>46444</v>
      </c>
      <c r="AF6" s="64">
        <f>IF(AE6="","",IF(AE6+7&lt;=الإعدادات!$B$11,AE6+7,""))</f>
        <v>46451</v>
      </c>
      <c r="AG6" s="64">
        <f>IF(AF6="","",IF(AF6+7&lt;=الإعدادات!$B$11,AF6+7,""))</f>
        <v>46458</v>
      </c>
      <c r="AH6" s="64">
        <f>IF(AG6="","",IF(AG6+7&lt;=الإعدادات!$B$11,AG6+7,""))</f>
        <v>46465</v>
      </c>
      <c r="AI6" s="64">
        <f>IF(AH6="","",IF(AH6+7&lt;=الإعدادات!$B$11,AH6+7,""))</f>
        <v>46472</v>
      </c>
      <c r="AJ6" s="64">
        <f>IF(AI6="","",IF(AI6+7&lt;=الإعدادات!$B$11,AI6+7,""))</f>
        <v>46479</v>
      </c>
      <c r="AK6" s="64">
        <f>IF(AJ6="","",IF(AJ6+7&lt;=الإعدادات!$B$11,AJ6+7,""))</f>
        <v>46486</v>
      </c>
      <c r="AL6" s="64">
        <f>IF(AK6="","",IF(AK6+7&lt;=الإعدادات!$B$11,AK6+7,""))</f>
        <v>46493</v>
      </c>
      <c r="AM6" s="64">
        <f>IF(AL6="","",IF(AL6+7&lt;=الإعدادات!$B$11,AL6+7,""))</f>
        <v>46500</v>
      </c>
      <c r="AN6" s="64">
        <f>IF(AM6="","",IF(AM6+7&lt;=الإعدادات!$B$11,AM6+7,""))</f>
        <v>46507</v>
      </c>
      <c r="AO6" s="64">
        <f>IF(AN6="","",IF(AN6+7&lt;=الإعدادات!$B$11,AN6+7,""))</f>
        <v>46514</v>
      </c>
      <c r="AP6" s="64">
        <f>IF(AO6="","",IF(AO6+7&lt;=الإعدادات!$B$11,AO6+7,""))</f>
        <v>46521</v>
      </c>
      <c r="AQ6" s="64">
        <f>IF(AP6="","",IF(AP6+7&lt;=الإعدادات!$B$11,AP6+7,""))</f>
        <v>46528</v>
      </c>
      <c r="AR6" s="64">
        <f>IF(AQ6="","",IF(AQ6+7&lt;=الإعدادات!$B$11,AQ6+7,""))</f>
        <v>46535</v>
      </c>
      <c r="AS6" s="64">
        <f>IF(AR6="","",IF(AR6+7&lt;=الإعدادات!$B$11,AR6+7,""))</f>
        <v>46542</v>
      </c>
      <c r="AT6" s="64">
        <f>IF(AS6="","",IF(AS6+7&lt;=الإعدادات!$B$11,AS6+7,""))</f>
        <v>46549</v>
      </c>
      <c r="AU6" s="64">
        <f>IF(AT6="","",IF(AT6+7&lt;=الإعدادات!$B$11,AT6+7,""))</f>
        <v>46556</v>
      </c>
      <c r="AV6" s="64">
        <f>IF(AU6="","",IF(AU6+7&lt;=الإعدادات!$B$11,AU6+7,""))</f>
        <v>46563</v>
      </c>
      <c r="AW6" s="64">
        <f>IF(AV6="","",IF(AV6+7&lt;=الإعدادات!$B$11,AV6+7,""))</f>
        <v>46570</v>
      </c>
      <c r="AX6" s="64">
        <f>IF(AW6="","",IF(AW6+7&lt;=الإعدادات!$B$11,AW6+7,""))</f>
        <v>46577</v>
      </c>
      <c r="AY6" s="64">
        <f>IF(AX6="","",IF(AX6+7&lt;=الإعدادات!$B$11,AX6+7,""))</f>
        <v>46584</v>
      </c>
      <c r="AZ6" s="64">
        <f>IF(AY6="","",IF(AY6+7&lt;=الإعدادات!$B$11,AY6+7,""))</f>
        <v>46591</v>
      </c>
      <c r="BA6" s="64">
        <f>IF(AZ6="","",IF(AZ6+7&lt;=الإعدادات!$B$11,AZ6+7,""))</f>
        <v>46598</v>
      </c>
      <c r="BB6" s="64">
        <f>IF(BA6="","",IF(BA6+7&lt;=الإعدادات!$B$11,BA6+7,""))</f>
        <v>46605</v>
      </c>
      <c r="BC6" s="64">
        <f>IF(BB6="","",IF(BB6+7&lt;=الإعدادات!$B$11,BB6+7,""))</f>
        <v>46612</v>
      </c>
      <c r="BD6" s="64">
        <f>IF(BC6="","",IF(BC6+7&lt;=الإعدادات!$B$11,BC6+7,""))</f>
        <v>46619</v>
      </c>
      <c r="BE6" s="64">
        <f>IF(BD6="","",IF(BD6+7&lt;=الإعدادات!$B$11,BD6+7,""))</f>
        <v>46626</v>
      </c>
      <c r="BF6" s="64">
        <f>IF(BE6="","",IF(BE6+7&lt;=الإعدادات!$B$11,BE6+7,""))</f>
        <v>46633</v>
      </c>
      <c r="BG6" s="64">
        <f>IF(BF6="","",IF(BF6+7&lt;=الإعدادات!$B$11,BF6+7,""))</f>
        <v>46640</v>
      </c>
      <c r="BH6" s="64">
        <f>IF(BG6="","",IF(BG6+7&lt;=الإعدادات!$B$11,BG6+7,""))</f>
        <v>46647</v>
      </c>
      <c r="BI6" s="64">
        <f>IF(BH6="","",IF(BH6+7&lt;=الإعدادات!$B$11,BH6+7,""))</f>
        <v>46654</v>
      </c>
      <c r="BJ6" s="64">
        <f>IF(BI6="","",IF(BI6+7&lt;=الإعدادات!$B$11,BI6+7,""))</f>
        <v>46661</v>
      </c>
    </row>
    <row r="7" spans="1:65" ht="21.75" customHeight="1">
      <c r="A7" s="49" t="str">
        <f>IF($BL7=0,"",1)</f>
        <v/>
      </c>
      <c r="B7" s="50" t="str">
        <f>IF($BL7=0,"",INDEX('قاعدة البيانات'!$C$6:$C$305,$BL7))</f>
        <v/>
      </c>
      <c r="C7" s="51" t="str">
        <f t="shared" ref="C7:C36" si="4">IF($BL7=0,"",COUNTIF($J7:$BJ7,"ح"))</f>
        <v/>
      </c>
      <c r="D7" s="52" t="str">
        <f t="shared" ref="D7:D36" si="5">IF($BL7=0,"",COUNTIF($J7:$BJ7,"غ"))</f>
        <v/>
      </c>
      <c r="E7" s="53" t="str">
        <f t="shared" ref="E7:E36" si="6">IF($BL7=0,"",COUNTIF($J7:$BJ7,"ع"))</f>
        <v/>
      </c>
      <c r="F7" s="54" t="str">
        <f t="shared" ref="F7:F36" si="7">IF($BL7=0,"",IF(C7+D7=0,"",C7/(C7+D7)))</f>
        <v/>
      </c>
      <c r="G7" s="55" t="str">
        <f t="shared" ref="G7:G36" si="8">IF($BL7=0,"",SUMPRODUCT(($J7:$BJ7="غ")*((COLUMN($J7:$BJ7)-COLUMN($J7)+1)&gt;IFERROR(LOOKUP(2,1/($J7:$BJ7="ح"),COLUMN($J7:$BJ7)-COLUMN($J7)+1),0))))</f>
        <v/>
      </c>
      <c r="H7" s="56" t="str">
        <f t="shared" ref="H7:H36" si="9">IF($BL7=0,"",IFERROR(LOOKUP(2,1/($J7:$BJ7="ح"),$J$6:$BJ$6),"—"))</f>
        <v/>
      </c>
      <c r="I7" s="57" t="str">
        <f t="shared" ref="I7:I36" si="10">IF($BL7=0,"",IF($BM7=0,"⏳ لسه مفيش حضور",CHOOSE($BM7,"⭐ ممتاز","👍 جيد","⚠️ محتاج متابعة","📞 افتقاده ضروري","⛔ غير نشط")))</f>
        <v/>
      </c>
      <c r="J7" s="58"/>
      <c r="K7" s="58"/>
      <c r="L7" s="58"/>
      <c r="M7" s="58"/>
      <c r="N7" s="58"/>
      <c r="O7" s="58"/>
      <c r="P7" s="58"/>
      <c r="Q7" s="58"/>
      <c r="R7" s="58"/>
      <c r="S7" s="58"/>
      <c r="T7" s="58"/>
      <c r="U7" s="58"/>
      <c r="V7" s="58"/>
      <c r="W7" s="58"/>
      <c r="X7" s="58"/>
      <c r="Y7" s="58"/>
      <c r="Z7" s="58"/>
      <c r="AA7" s="58"/>
      <c r="AB7" s="58"/>
      <c r="AC7" s="58"/>
      <c r="AD7" s="58"/>
      <c r="AE7" s="58"/>
      <c r="AF7" s="58"/>
      <c r="AG7" s="58"/>
      <c r="AH7" s="58"/>
      <c r="AI7" s="58"/>
      <c r="AJ7" s="58"/>
      <c r="AK7" s="58"/>
      <c r="AL7" s="58"/>
      <c r="AM7" s="58"/>
      <c r="AN7" s="58"/>
      <c r="AO7" s="58"/>
      <c r="AP7" s="58"/>
      <c r="AQ7" s="58"/>
      <c r="AR7" s="58"/>
      <c r="AS7" s="58"/>
      <c r="AT7" s="58"/>
      <c r="AU7" s="58"/>
      <c r="AV7" s="58"/>
      <c r="AW7" s="58"/>
      <c r="AX7" s="58"/>
      <c r="AY7" s="58"/>
      <c r="AZ7" s="58"/>
      <c r="BA7" s="58"/>
      <c r="BB7" s="58"/>
      <c r="BC7" s="58"/>
      <c r="BD7" s="58"/>
      <c r="BE7" s="58"/>
      <c r="BF7" s="58"/>
      <c r="BG7" s="58"/>
      <c r="BH7" s="58"/>
      <c r="BI7" s="58"/>
      <c r="BJ7" s="58"/>
      <c r="BL7">
        <f>IFERROR(MATCH(الإعدادات!$B$7&amp;"|"&amp;1,'قاعدة البيانات'!$N$6:$N$305,0),0)</f>
        <v>0</v>
      </c>
      <c r="BM7">
        <f>IF($BL7=0,0,IF(INDEX('قاعدة البيانات'!$M$6:$M$305,$BL7)="غير نشط",5,IF($F7="",0,IF($G7&gt;=الإعدادات!$B$18,4,IF($F7&gt;=الإعدادات!$B$16,1,IF($F7&gt;=الإعدادات!$B$17,2,3))))))</f>
        <v>0</v>
      </c>
    </row>
    <row r="8" spans="1:65" ht="21.75" customHeight="1">
      <c r="A8" s="49" t="str">
        <f>IF($BL8=0,"",2)</f>
        <v/>
      </c>
      <c r="B8" s="50" t="str">
        <f>IF($BL8=0,"",INDEX('قاعدة البيانات'!$C$6:$C$305,$BL8))</f>
        <v/>
      </c>
      <c r="C8" s="51" t="str">
        <f t="shared" si="4"/>
        <v/>
      </c>
      <c r="D8" s="52" t="str">
        <f t="shared" si="5"/>
        <v/>
      </c>
      <c r="E8" s="53" t="str">
        <f t="shared" si="6"/>
        <v/>
      </c>
      <c r="F8" s="54" t="str">
        <f t="shared" si="7"/>
        <v/>
      </c>
      <c r="G8" s="55" t="str">
        <f t="shared" si="8"/>
        <v/>
      </c>
      <c r="H8" s="56" t="str">
        <f t="shared" si="9"/>
        <v/>
      </c>
      <c r="I8" s="57" t="str">
        <f t="shared" si="10"/>
        <v/>
      </c>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c r="AQ8" s="58"/>
      <c r="AR8" s="58"/>
      <c r="AS8" s="58"/>
      <c r="AT8" s="58"/>
      <c r="AU8" s="58"/>
      <c r="AV8" s="58"/>
      <c r="AW8" s="58"/>
      <c r="AX8" s="58"/>
      <c r="AY8" s="58"/>
      <c r="AZ8" s="58"/>
      <c r="BA8" s="58"/>
      <c r="BB8" s="58"/>
      <c r="BC8" s="58"/>
      <c r="BD8" s="58"/>
      <c r="BE8" s="58"/>
      <c r="BF8" s="58"/>
      <c r="BG8" s="58"/>
      <c r="BH8" s="58"/>
      <c r="BI8" s="58"/>
      <c r="BJ8" s="58"/>
      <c r="BL8">
        <f>IFERROR(MATCH(الإعدادات!$B$7&amp;"|"&amp;2,'قاعدة البيانات'!$N$6:$N$305,0),0)</f>
        <v>0</v>
      </c>
      <c r="BM8">
        <f>IF($BL8=0,0,IF(INDEX('قاعدة البيانات'!$M$6:$M$305,$BL8)="غير نشط",5,IF($F8="",0,IF($G8&gt;=الإعدادات!$B$18,4,IF($F8&gt;=الإعدادات!$B$16,1,IF($F8&gt;=الإعدادات!$B$17,2,3))))))</f>
        <v>0</v>
      </c>
    </row>
    <row r="9" spans="1:65" ht="21.75" customHeight="1">
      <c r="A9" s="49" t="str">
        <f>IF($BL9=0,"",3)</f>
        <v/>
      </c>
      <c r="B9" s="50" t="str">
        <f>IF($BL9=0,"",INDEX('قاعدة البيانات'!$C$6:$C$305,$BL9))</f>
        <v/>
      </c>
      <c r="C9" s="51" t="str">
        <f t="shared" si="4"/>
        <v/>
      </c>
      <c r="D9" s="52" t="str">
        <f t="shared" si="5"/>
        <v/>
      </c>
      <c r="E9" s="53" t="str">
        <f t="shared" si="6"/>
        <v/>
      </c>
      <c r="F9" s="54" t="str">
        <f t="shared" si="7"/>
        <v/>
      </c>
      <c r="G9" s="55" t="str">
        <f t="shared" si="8"/>
        <v/>
      </c>
      <c r="H9" s="56" t="str">
        <f t="shared" si="9"/>
        <v/>
      </c>
      <c r="I9" s="57" t="str">
        <f t="shared" si="10"/>
        <v/>
      </c>
      <c r="J9" s="58"/>
      <c r="K9" s="58"/>
      <c r="L9" s="58"/>
      <c r="M9" s="58"/>
      <c r="N9" s="58"/>
      <c r="O9" s="58"/>
      <c r="P9" s="58"/>
      <c r="Q9" s="58"/>
      <c r="R9" s="58"/>
      <c r="S9" s="58"/>
      <c r="T9" s="58"/>
      <c r="U9" s="58"/>
      <c r="V9" s="58"/>
      <c r="W9" s="58"/>
      <c r="X9" s="58"/>
      <c r="Y9" s="58"/>
      <c r="Z9" s="58"/>
      <c r="AA9" s="58"/>
      <c r="AB9" s="58"/>
      <c r="AC9" s="58"/>
      <c r="AD9" s="58"/>
      <c r="AE9" s="58"/>
      <c r="AF9" s="58"/>
      <c r="AG9" s="58"/>
      <c r="AH9" s="58"/>
      <c r="AI9" s="58"/>
      <c r="AJ9" s="58"/>
      <c r="AK9" s="58"/>
      <c r="AL9" s="58"/>
      <c r="AM9" s="58"/>
      <c r="AN9" s="58"/>
      <c r="AO9" s="58"/>
      <c r="AP9" s="58"/>
      <c r="AQ9" s="58"/>
      <c r="AR9" s="58"/>
      <c r="AS9" s="58"/>
      <c r="AT9" s="58"/>
      <c r="AU9" s="58"/>
      <c r="AV9" s="58"/>
      <c r="AW9" s="58"/>
      <c r="AX9" s="58"/>
      <c r="AY9" s="58"/>
      <c r="AZ9" s="58"/>
      <c r="BA9" s="58"/>
      <c r="BB9" s="58"/>
      <c r="BC9" s="58"/>
      <c r="BD9" s="58"/>
      <c r="BE9" s="58"/>
      <c r="BF9" s="58"/>
      <c r="BG9" s="58"/>
      <c r="BH9" s="58"/>
      <c r="BI9" s="58"/>
      <c r="BJ9" s="58"/>
      <c r="BL9">
        <f>IFERROR(MATCH(الإعدادات!$B$7&amp;"|"&amp;3,'قاعدة البيانات'!$N$6:$N$305,0),0)</f>
        <v>0</v>
      </c>
      <c r="BM9">
        <f>IF($BL9=0,0,IF(INDEX('قاعدة البيانات'!$M$6:$M$305,$BL9)="غير نشط",5,IF($F9="",0,IF($G9&gt;=الإعدادات!$B$18,4,IF($F9&gt;=الإعدادات!$B$16,1,IF($F9&gt;=الإعدادات!$B$17,2,3))))))</f>
        <v>0</v>
      </c>
    </row>
    <row r="10" spans="1:65" ht="21.75" customHeight="1">
      <c r="A10" s="49" t="str">
        <f>IF($BL10=0,"",4)</f>
        <v/>
      </c>
      <c r="B10" s="50" t="str">
        <f>IF($BL10=0,"",INDEX('قاعدة البيانات'!$C$6:$C$305,$BL10))</f>
        <v/>
      </c>
      <c r="C10" s="51" t="str">
        <f t="shared" si="4"/>
        <v/>
      </c>
      <c r="D10" s="52" t="str">
        <f t="shared" si="5"/>
        <v/>
      </c>
      <c r="E10" s="53" t="str">
        <f t="shared" si="6"/>
        <v/>
      </c>
      <c r="F10" s="54" t="str">
        <f t="shared" si="7"/>
        <v/>
      </c>
      <c r="G10" s="55" t="str">
        <f t="shared" si="8"/>
        <v/>
      </c>
      <c r="H10" s="56" t="str">
        <f t="shared" si="9"/>
        <v/>
      </c>
      <c r="I10" s="57" t="str">
        <f t="shared" si="10"/>
        <v/>
      </c>
      <c r="J10" s="58"/>
      <c r="K10" s="58"/>
      <c r="L10" s="58"/>
      <c r="M10" s="58"/>
      <c r="N10" s="58"/>
      <c r="O10" s="58"/>
      <c r="P10" s="58"/>
      <c r="Q10" s="58"/>
      <c r="R10" s="58"/>
      <c r="S10" s="58"/>
      <c r="T10" s="58"/>
      <c r="U10" s="58"/>
      <c r="V10" s="58"/>
      <c r="W10" s="58"/>
      <c r="X10" s="58"/>
      <c r="Y10" s="58"/>
      <c r="Z10" s="58"/>
      <c r="AA10" s="58"/>
      <c r="AB10" s="58"/>
      <c r="AC10" s="58"/>
      <c r="AD10" s="58"/>
      <c r="AE10" s="58"/>
      <c r="AF10" s="58"/>
      <c r="AG10" s="58"/>
      <c r="AH10" s="58"/>
      <c r="AI10" s="58"/>
      <c r="AJ10" s="58"/>
      <c r="AK10" s="58"/>
      <c r="AL10" s="58"/>
      <c r="AM10" s="58"/>
      <c r="AN10" s="58"/>
      <c r="AO10" s="58"/>
      <c r="AP10" s="58"/>
      <c r="AQ10" s="58"/>
      <c r="AR10" s="58"/>
      <c r="AS10" s="58"/>
      <c r="AT10" s="58"/>
      <c r="AU10" s="58"/>
      <c r="AV10" s="58"/>
      <c r="AW10" s="58"/>
      <c r="AX10" s="58"/>
      <c r="AY10" s="58"/>
      <c r="AZ10" s="58"/>
      <c r="BA10" s="58"/>
      <c r="BB10" s="58"/>
      <c r="BC10" s="58"/>
      <c r="BD10" s="58"/>
      <c r="BE10" s="58"/>
      <c r="BF10" s="58"/>
      <c r="BG10" s="58"/>
      <c r="BH10" s="58"/>
      <c r="BI10" s="58"/>
      <c r="BJ10" s="58"/>
      <c r="BL10">
        <f>IFERROR(MATCH(الإعدادات!$B$7&amp;"|"&amp;4,'قاعدة البيانات'!$N$6:$N$305,0),0)</f>
        <v>0</v>
      </c>
      <c r="BM10">
        <f>IF($BL10=0,0,IF(INDEX('قاعدة البيانات'!$M$6:$M$305,$BL10)="غير نشط",5,IF($F10="",0,IF($G10&gt;=الإعدادات!$B$18,4,IF($F10&gt;=الإعدادات!$B$16,1,IF($F10&gt;=الإعدادات!$B$17,2,3))))))</f>
        <v>0</v>
      </c>
    </row>
    <row r="11" spans="1:65" ht="21.75" customHeight="1">
      <c r="A11" s="49" t="str">
        <f>IF($BL11=0,"",5)</f>
        <v/>
      </c>
      <c r="B11" s="50" t="str">
        <f>IF($BL11=0,"",INDEX('قاعدة البيانات'!$C$6:$C$305,$BL11))</f>
        <v/>
      </c>
      <c r="C11" s="51" t="str">
        <f t="shared" si="4"/>
        <v/>
      </c>
      <c r="D11" s="52" t="str">
        <f t="shared" si="5"/>
        <v/>
      </c>
      <c r="E11" s="53" t="str">
        <f t="shared" si="6"/>
        <v/>
      </c>
      <c r="F11" s="54" t="str">
        <f t="shared" si="7"/>
        <v/>
      </c>
      <c r="G11" s="55" t="str">
        <f t="shared" si="8"/>
        <v/>
      </c>
      <c r="H11" s="56" t="str">
        <f t="shared" si="9"/>
        <v/>
      </c>
      <c r="I11" s="57" t="str">
        <f t="shared" si="10"/>
        <v/>
      </c>
      <c r="J11" s="58"/>
      <c r="K11" s="58"/>
      <c r="L11" s="58"/>
      <c r="M11" s="58"/>
      <c r="N11" s="58"/>
      <c r="O11" s="58"/>
      <c r="P11" s="58"/>
      <c r="Q11" s="58"/>
      <c r="R11" s="58"/>
      <c r="S11" s="58"/>
      <c r="T11" s="58"/>
      <c r="U11" s="58"/>
      <c r="V11" s="58"/>
      <c r="W11" s="58"/>
      <c r="X11" s="58"/>
      <c r="Y11" s="58"/>
      <c r="Z11" s="58"/>
      <c r="AA11" s="58"/>
      <c r="AB11" s="58"/>
      <c r="AC11" s="58"/>
      <c r="AD11" s="58"/>
      <c r="AE11" s="58"/>
      <c r="AF11" s="58"/>
      <c r="AG11" s="58"/>
      <c r="AH11" s="58"/>
      <c r="AI11" s="58"/>
      <c r="AJ11" s="58"/>
      <c r="AK11" s="58"/>
      <c r="AL11" s="58"/>
      <c r="AM11" s="58"/>
      <c r="AN11" s="58"/>
      <c r="AO11" s="58"/>
      <c r="AP11" s="58"/>
      <c r="AQ11" s="58"/>
      <c r="AR11" s="58"/>
      <c r="AS11" s="58"/>
      <c r="AT11" s="58"/>
      <c r="AU11" s="58"/>
      <c r="AV11" s="58"/>
      <c r="AW11" s="58"/>
      <c r="AX11" s="58"/>
      <c r="AY11" s="58"/>
      <c r="AZ11" s="58"/>
      <c r="BA11" s="58"/>
      <c r="BB11" s="58"/>
      <c r="BC11" s="58"/>
      <c r="BD11" s="58"/>
      <c r="BE11" s="58"/>
      <c r="BF11" s="58"/>
      <c r="BG11" s="58"/>
      <c r="BH11" s="58"/>
      <c r="BI11" s="58"/>
      <c r="BJ11" s="58"/>
      <c r="BL11">
        <f>IFERROR(MATCH(الإعدادات!$B$7&amp;"|"&amp;5,'قاعدة البيانات'!$N$6:$N$305,0),0)</f>
        <v>0</v>
      </c>
      <c r="BM11">
        <f>IF($BL11=0,0,IF(INDEX('قاعدة البيانات'!$M$6:$M$305,$BL11)="غير نشط",5,IF($F11="",0,IF($G11&gt;=الإعدادات!$B$18,4,IF($F11&gt;=الإعدادات!$B$16,1,IF($F11&gt;=الإعدادات!$B$17,2,3))))))</f>
        <v>0</v>
      </c>
    </row>
    <row r="12" spans="1:65" ht="21.75" customHeight="1">
      <c r="A12" s="49" t="str">
        <f>IF($BL12=0,"",6)</f>
        <v/>
      </c>
      <c r="B12" s="50" t="str">
        <f>IF($BL12=0,"",INDEX('قاعدة البيانات'!$C$6:$C$305,$BL12))</f>
        <v/>
      </c>
      <c r="C12" s="51" t="str">
        <f t="shared" si="4"/>
        <v/>
      </c>
      <c r="D12" s="52" t="str">
        <f t="shared" si="5"/>
        <v/>
      </c>
      <c r="E12" s="53" t="str">
        <f t="shared" si="6"/>
        <v/>
      </c>
      <c r="F12" s="54" t="str">
        <f t="shared" si="7"/>
        <v/>
      </c>
      <c r="G12" s="55" t="str">
        <f t="shared" si="8"/>
        <v/>
      </c>
      <c r="H12" s="56" t="str">
        <f t="shared" si="9"/>
        <v/>
      </c>
      <c r="I12" s="57" t="str">
        <f t="shared" si="10"/>
        <v/>
      </c>
      <c r="J12" s="58"/>
      <c r="K12" s="58"/>
      <c r="L12" s="58"/>
      <c r="M12" s="58"/>
      <c r="N12" s="58"/>
      <c r="O12" s="58"/>
      <c r="P12" s="58"/>
      <c r="Q12" s="58"/>
      <c r="R12" s="58"/>
      <c r="S12" s="58"/>
      <c r="T12" s="58"/>
      <c r="U12" s="58"/>
      <c r="V12" s="58"/>
      <c r="W12" s="58"/>
      <c r="X12" s="58"/>
      <c r="Y12" s="58"/>
      <c r="Z12" s="58"/>
      <c r="AA12" s="58"/>
      <c r="AB12" s="58"/>
      <c r="AC12" s="58"/>
      <c r="AD12" s="58"/>
      <c r="AE12" s="58"/>
      <c r="AF12" s="58"/>
      <c r="AG12" s="58"/>
      <c r="AH12" s="58"/>
      <c r="AI12" s="58"/>
      <c r="AJ12" s="58"/>
      <c r="AK12" s="58"/>
      <c r="AL12" s="58"/>
      <c r="AM12" s="58"/>
      <c r="AN12" s="58"/>
      <c r="AO12" s="58"/>
      <c r="AP12" s="58"/>
      <c r="AQ12" s="58"/>
      <c r="AR12" s="58"/>
      <c r="AS12" s="58"/>
      <c r="AT12" s="58"/>
      <c r="AU12" s="58"/>
      <c r="AV12" s="58"/>
      <c r="AW12" s="58"/>
      <c r="AX12" s="58"/>
      <c r="AY12" s="58"/>
      <c r="AZ12" s="58"/>
      <c r="BA12" s="58"/>
      <c r="BB12" s="58"/>
      <c r="BC12" s="58"/>
      <c r="BD12" s="58"/>
      <c r="BE12" s="58"/>
      <c r="BF12" s="58"/>
      <c r="BG12" s="58"/>
      <c r="BH12" s="58"/>
      <c r="BI12" s="58"/>
      <c r="BJ12" s="58"/>
      <c r="BL12">
        <f>IFERROR(MATCH(الإعدادات!$B$7&amp;"|"&amp;6,'قاعدة البيانات'!$N$6:$N$305,0),0)</f>
        <v>0</v>
      </c>
      <c r="BM12">
        <f>IF($BL12=0,0,IF(INDEX('قاعدة البيانات'!$M$6:$M$305,$BL12)="غير نشط",5,IF($F12="",0,IF($G12&gt;=الإعدادات!$B$18,4,IF($F12&gt;=الإعدادات!$B$16,1,IF($F12&gt;=الإعدادات!$B$17,2,3))))))</f>
        <v>0</v>
      </c>
    </row>
    <row r="13" spans="1:65" ht="21.75" customHeight="1">
      <c r="A13" s="49" t="str">
        <f>IF($BL13=0,"",7)</f>
        <v/>
      </c>
      <c r="B13" s="50" t="str">
        <f>IF($BL13=0,"",INDEX('قاعدة البيانات'!$C$6:$C$305,$BL13))</f>
        <v/>
      </c>
      <c r="C13" s="51" t="str">
        <f t="shared" si="4"/>
        <v/>
      </c>
      <c r="D13" s="52" t="str">
        <f t="shared" si="5"/>
        <v/>
      </c>
      <c r="E13" s="53" t="str">
        <f t="shared" si="6"/>
        <v/>
      </c>
      <c r="F13" s="54" t="str">
        <f t="shared" si="7"/>
        <v/>
      </c>
      <c r="G13" s="55" t="str">
        <f t="shared" si="8"/>
        <v/>
      </c>
      <c r="H13" s="56" t="str">
        <f t="shared" si="9"/>
        <v/>
      </c>
      <c r="I13" s="57" t="str">
        <f t="shared" si="10"/>
        <v/>
      </c>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c r="AQ13" s="58"/>
      <c r="AR13" s="58"/>
      <c r="AS13" s="58"/>
      <c r="AT13" s="58"/>
      <c r="AU13" s="58"/>
      <c r="AV13" s="58"/>
      <c r="AW13" s="58"/>
      <c r="AX13" s="58"/>
      <c r="AY13" s="58"/>
      <c r="AZ13" s="58"/>
      <c r="BA13" s="58"/>
      <c r="BB13" s="58"/>
      <c r="BC13" s="58"/>
      <c r="BD13" s="58"/>
      <c r="BE13" s="58"/>
      <c r="BF13" s="58"/>
      <c r="BG13" s="58"/>
      <c r="BH13" s="58"/>
      <c r="BI13" s="58"/>
      <c r="BJ13" s="58"/>
      <c r="BL13">
        <f>IFERROR(MATCH(الإعدادات!$B$7&amp;"|"&amp;7,'قاعدة البيانات'!$N$6:$N$305,0),0)</f>
        <v>0</v>
      </c>
      <c r="BM13">
        <f>IF($BL13=0,0,IF(INDEX('قاعدة البيانات'!$M$6:$M$305,$BL13)="غير نشط",5,IF($F13="",0,IF($G13&gt;=الإعدادات!$B$18,4,IF($F13&gt;=الإعدادات!$B$16,1,IF($F13&gt;=الإعدادات!$B$17,2,3))))))</f>
        <v>0</v>
      </c>
    </row>
    <row r="14" spans="1:65" ht="21.75" customHeight="1">
      <c r="A14" s="49" t="str">
        <f>IF($BL14=0,"",8)</f>
        <v/>
      </c>
      <c r="B14" s="50" t="str">
        <f>IF($BL14=0,"",INDEX('قاعدة البيانات'!$C$6:$C$305,$BL14))</f>
        <v/>
      </c>
      <c r="C14" s="51" t="str">
        <f t="shared" si="4"/>
        <v/>
      </c>
      <c r="D14" s="52" t="str">
        <f t="shared" si="5"/>
        <v/>
      </c>
      <c r="E14" s="53" t="str">
        <f t="shared" si="6"/>
        <v/>
      </c>
      <c r="F14" s="54" t="str">
        <f t="shared" si="7"/>
        <v/>
      </c>
      <c r="G14" s="55" t="str">
        <f t="shared" si="8"/>
        <v/>
      </c>
      <c r="H14" s="56" t="str">
        <f t="shared" si="9"/>
        <v/>
      </c>
      <c r="I14" s="57" t="str">
        <f t="shared" si="10"/>
        <v/>
      </c>
      <c r="J14" s="58"/>
      <c r="K14" s="58"/>
      <c r="L14" s="58"/>
      <c r="M14" s="58"/>
      <c r="N14" s="58"/>
      <c r="O14" s="58"/>
      <c r="P14" s="58"/>
      <c r="Q14" s="58"/>
      <c r="R14" s="58"/>
      <c r="S14" s="58"/>
      <c r="T14" s="58"/>
      <c r="U14" s="58"/>
      <c r="V14" s="58"/>
      <c r="W14" s="58"/>
      <c r="X14" s="58"/>
      <c r="Y14" s="58"/>
      <c r="Z14" s="58"/>
      <c r="AA14" s="58"/>
      <c r="AB14" s="58"/>
      <c r="AC14" s="58"/>
      <c r="AD14" s="58"/>
      <c r="AE14" s="58"/>
      <c r="AF14" s="58"/>
      <c r="AG14" s="58"/>
      <c r="AH14" s="58"/>
      <c r="AI14" s="58"/>
      <c r="AJ14" s="58"/>
      <c r="AK14" s="58"/>
      <c r="AL14" s="58"/>
      <c r="AM14" s="58"/>
      <c r="AN14" s="58"/>
      <c r="AO14" s="58"/>
      <c r="AP14" s="58"/>
      <c r="AQ14" s="58"/>
      <c r="AR14" s="58"/>
      <c r="AS14" s="58"/>
      <c r="AT14" s="58"/>
      <c r="AU14" s="58"/>
      <c r="AV14" s="58"/>
      <c r="AW14" s="58"/>
      <c r="AX14" s="58"/>
      <c r="AY14" s="58"/>
      <c r="AZ14" s="58"/>
      <c r="BA14" s="58"/>
      <c r="BB14" s="58"/>
      <c r="BC14" s="58"/>
      <c r="BD14" s="58"/>
      <c r="BE14" s="58"/>
      <c r="BF14" s="58"/>
      <c r="BG14" s="58"/>
      <c r="BH14" s="58"/>
      <c r="BI14" s="58"/>
      <c r="BJ14" s="58"/>
      <c r="BL14">
        <f>IFERROR(MATCH(الإعدادات!$B$7&amp;"|"&amp;8,'قاعدة البيانات'!$N$6:$N$305,0),0)</f>
        <v>0</v>
      </c>
      <c r="BM14">
        <f>IF($BL14=0,0,IF(INDEX('قاعدة البيانات'!$M$6:$M$305,$BL14)="غير نشط",5,IF($F14="",0,IF($G14&gt;=الإعدادات!$B$18,4,IF($F14&gt;=الإعدادات!$B$16,1,IF($F14&gt;=الإعدادات!$B$17,2,3))))))</f>
        <v>0</v>
      </c>
    </row>
    <row r="15" spans="1:65" ht="21.75" customHeight="1">
      <c r="A15" s="49" t="str">
        <f>IF($BL15=0,"",9)</f>
        <v/>
      </c>
      <c r="B15" s="50" t="str">
        <f>IF($BL15=0,"",INDEX('قاعدة البيانات'!$C$6:$C$305,$BL15))</f>
        <v/>
      </c>
      <c r="C15" s="51" t="str">
        <f t="shared" si="4"/>
        <v/>
      </c>
      <c r="D15" s="52" t="str">
        <f t="shared" si="5"/>
        <v/>
      </c>
      <c r="E15" s="53" t="str">
        <f t="shared" si="6"/>
        <v/>
      </c>
      <c r="F15" s="54" t="str">
        <f t="shared" si="7"/>
        <v/>
      </c>
      <c r="G15" s="55" t="str">
        <f t="shared" si="8"/>
        <v/>
      </c>
      <c r="H15" s="56" t="str">
        <f t="shared" si="9"/>
        <v/>
      </c>
      <c r="I15" s="57" t="str">
        <f t="shared" si="10"/>
        <v/>
      </c>
      <c r="J15" s="58"/>
      <c r="K15" s="58"/>
      <c r="L15" s="58"/>
      <c r="M15" s="58"/>
      <c r="N15" s="58"/>
      <c r="O15" s="58"/>
      <c r="P15" s="58"/>
      <c r="Q15" s="58"/>
      <c r="R15" s="58"/>
      <c r="S15" s="58"/>
      <c r="T15" s="58"/>
      <c r="U15" s="58"/>
      <c r="V15" s="58"/>
      <c r="W15" s="58"/>
      <c r="X15" s="58"/>
      <c r="Y15" s="58"/>
      <c r="Z15" s="58"/>
      <c r="AA15" s="58"/>
      <c r="AB15" s="58"/>
      <c r="AC15" s="58"/>
      <c r="AD15" s="58"/>
      <c r="AE15" s="58"/>
      <c r="AF15" s="58"/>
      <c r="AG15" s="58"/>
      <c r="AH15" s="58"/>
      <c r="AI15" s="58"/>
      <c r="AJ15" s="58"/>
      <c r="AK15" s="58"/>
      <c r="AL15" s="58"/>
      <c r="AM15" s="58"/>
      <c r="AN15" s="58"/>
      <c r="AO15" s="58"/>
      <c r="AP15" s="58"/>
      <c r="AQ15" s="58"/>
      <c r="AR15" s="58"/>
      <c r="AS15" s="58"/>
      <c r="AT15" s="58"/>
      <c r="AU15" s="58"/>
      <c r="AV15" s="58"/>
      <c r="AW15" s="58"/>
      <c r="AX15" s="58"/>
      <c r="AY15" s="58"/>
      <c r="AZ15" s="58"/>
      <c r="BA15" s="58"/>
      <c r="BB15" s="58"/>
      <c r="BC15" s="58"/>
      <c r="BD15" s="58"/>
      <c r="BE15" s="58"/>
      <c r="BF15" s="58"/>
      <c r="BG15" s="58"/>
      <c r="BH15" s="58"/>
      <c r="BI15" s="58"/>
      <c r="BJ15" s="58"/>
      <c r="BL15">
        <f>IFERROR(MATCH(الإعدادات!$B$7&amp;"|"&amp;9,'قاعدة البيانات'!$N$6:$N$305,0),0)</f>
        <v>0</v>
      </c>
      <c r="BM15">
        <f>IF($BL15=0,0,IF(INDEX('قاعدة البيانات'!$M$6:$M$305,$BL15)="غير نشط",5,IF($F15="",0,IF($G15&gt;=الإعدادات!$B$18,4,IF($F15&gt;=الإعدادات!$B$16,1,IF($F15&gt;=الإعدادات!$B$17,2,3))))))</f>
        <v>0</v>
      </c>
    </row>
    <row r="16" spans="1:65" ht="21.75" customHeight="1">
      <c r="A16" s="49" t="str">
        <f>IF($BL16=0,"",10)</f>
        <v/>
      </c>
      <c r="B16" s="50" t="str">
        <f>IF($BL16=0,"",INDEX('قاعدة البيانات'!$C$6:$C$305,$BL16))</f>
        <v/>
      </c>
      <c r="C16" s="51" t="str">
        <f t="shared" si="4"/>
        <v/>
      </c>
      <c r="D16" s="52" t="str">
        <f t="shared" si="5"/>
        <v/>
      </c>
      <c r="E16" s="53" t="str">
        <f t="shared" si="6"/>
        <v/>
      </c>
      <c r="F16" s="54" t="str">
        <f t="shared" si="7"/>
        <v/>
      </c>
      <c r="G16" s="55" t="str">
        <f t="shared" si="8"/>
        <v/>
      </c>
      <c r="H16" s="56" t="str">
        <f t="shared" si="9"/>
        <v/>
      </c>
      <c r="I16" s="57" t="str">
        <f t="shared" si="10"/>
        <v/>
      </c>
      <c r="J16" s="58"/>
      <c r="K16" s="58"/>
      <c r="L16" s="58"/>
      <c r="M16" s="58"/>
      <c r="N16" s="58"/>
      <c r="O16" s="58"/>
      <c r="P16" s="58"/>
      <c r="Q16" s="58"/>
      <c r="R16" s="58"/>
      <c r="S16" s="58"/>
      <c r="T16" s="58"/>
      <c r="U16" s="58"/>
      <c r="V16" s="58"/>
      <c r="W16" s="58"/>
      <c r="X16" s="58"/>
      <c r="Y16" s="58"/>
      <c r="Z16" s="58"/>
      <c r="AA16" s="58"/>
      <c r="AB16" s="58"/>
      <c r="AC16" s="58"/>
      <c r="AD16" s="58"/>
      <c r="AE16" s="58"/>
      <c r="AF16" s="58"/>
      <c r="AG16" s="58"/>
      <c r="AH16" s="58"/>
      <c r="AI16" s="58"/>
      <c r="AJ16" s="58"/>
      <c r="AK16" s="58"/>
      <c r="AL16" s="58"/>
      <c r="AM16" s="58"/>
      <c r="AN16" s="58"/>
      <c r="AO16" s="58"/>
      <c r="AP16" s="58"/>
      <c r="AQ16" s="58"/>
      <c r="AR16" s="58"/>
      <c r="AS16" s="58"/>
      <c r="AT16" s="58"/>
      <c r="AU16" s="58"/>
      <c r="AV16" s="58"/>
      <c r="AW16" s="58"/>
      <c r="AX16" s="58"/>
      <c r="AY16" s="58"/>
      <c r="AZ16" s="58"/>
      <c r="BA16" s="58"/>
      <c r="BB16" s="58"/>
      <c r="BC16" s="58"/>
      <c r="BD16" s="58"/>
      <c r="BE16" s="58"/>
      <c r="BF16" s="58"/>
      <c r="BG16" s="58"/>
      <c r="BH16" s="58"/>
      <c r="BI16" s="58"/>
      <c r="BJ16" s="58"/>
      <c r="BL16">
        <f>IFERROR(MATCH(الإعدادات!$B$7&amp;"|"&amp;10,'قاعدة البيانات'!$N$6:$N$305,0),0)</f>
        <v>0</v>
      </c>
      <c r="BM16">
        <f>IF($BL16=0,0,IF(INDEX('قاعدة البيانات'!$M$6:$M$305,$BL16)="غير نشط",5,IF($F16="",0,IF($G16&gt;=الإعدادات!$B$18,4,IF($F16&gt;=الإعدادات!$B$16,1,IF($F16&gt;=الإعدادات!$B$17,2,3))))))</f>
        <v>0</v>
      </c>
    </row>
    <row r="17" spans="1:65" ht="21.75" customHeight="1">
      <c r="A17" s="49" t="str">
        <f>IF($BL17=0,"",11)</f>
        <v/>
      </c>
      <c r="B17" s="50" t="str">
        <f>IF($BL17=0,"",INDEX('قاعدة البيانات'!$C$6:$C$305,$BL17))</f>
        <v/>
      </c>
      <c r="C17" s="51" t="str">
        <f t="shared" si="4"/>
        <v/>
      </c>
      <c r="D17" s="52" t="str">
        <f t="shared" si="5"/>
        <v/>
      </c>
      <c r="E17" s="53" t="str">
        <f t="shared" si="6"/>
        <v/>
      </c>
      <c r="F17" s="54" t="str">
        <f t="shared" si="7"/>
        <v/>
      </c>
      <c r="G17" s="55" t="str">
        <f t="shared" si="8"/>
        <v/>
      </c>
      <c r="H17" s="56" t="str">
        <f t="shared" si="9"/>
        <v/>
      </c>
      <c r="I17" s="57" t="str">
        <f t="shared" si="10"/>
        <v/>
      </c>
      <c r="J17" s="58"/>
      <c r="K17" s="58"/>
      <c r="L17" s="58"/>
      <c r="M17" s="58"/>
      <c r="N17" s="58"/>
      <c r="O17" s="58"/>
      <c r="P17" s="58"/>
      <c r="Q17" s="58"/>
      <c r="R17" s="58"/>
      <c r="S17" s="58"/>
      <c r="T17" s="58"/>
      <c r="U17" s="58"/>
      <c r="V17" s="58"/>
      <c r="W17" s="58"/>
      <c r="X17" s="58"/>
      <c r="Y17" s="58"/>
      <c r="Z17" s="58"/>
      <c r="AA17" s="58"/>
      <c r="AB17" s="58"/>
      <c r="AC17" s="58"/>
      <c r="AD17" s="58"/>
      <c r="AE17" s="58"/>
      <c r="AF17" s="58"/>
      <c r="AG17" s="58"/>
      <c r="AH17" s="58"/>
      <c r="AI17" s="58"/>
      <c r="AJ17" s="58"/>
      <c r="AK17" s="58"/>
      <c r="AL17" s="58"/>
      <c r="AM17" s="58"/>
      <c r="AN17" s="58"/>
      <c r="AO17" s="58"/>
      <c r="AP17" s="58"/>
      <c r="AQ17" s="58"/>
      <c r="AR17" s="58"/>
      <c r="AS17" s="58"/>
      <c r="AT17" s="58"/>
      <c r="AU17" s="58"/>
      <c r="AV17" s="58"/>
      <c r="AW17" s="58"/>
      <c r="AX17" s="58"/>
      <c r="AY17" s="58"/>
      <c r="AZ17" s="58"/>
      <c r="BA17" s="58"/>
      <c r="BB17" s="58"/>
      <c r="BC17" s="58"/>
      <c r="BD17" s="58"/>
      <c r="BE17" s="58"/>
      <c r="BF17" s="58"/>
      <c r="BG17" s="58"/>
      <c r="BH17" s="58"/>
      <c r="BI17" s="58"/>
      <c r="BJ17" s="58"/>
      <c r="BL17">
        <f>IFERROR(MATCH(الإعدادات!$B$7&amp;"|"&amp;11,'قاعدة البيانات'!$N$6:$N$305,0),0)</f>
        <v>0</v>
      </c>
      <c r="BM17">
        <f>IF($BL17=0,0,IF(INDEX('قاعدة البيانات'!$M$6:$M$305,$BL17)="غير نشط",5,IF($F17="",0,IF($G17&gt;=الإعدادات!$B$18,4,IF($F17&gt;=الإعدادات!$B$16,1,IF($F17&gt;=الإعدادات!$B$17,2,3))))))</f>
        <v>0</v>
      </c>
    </row>
    <row r="18" spans="1:65" ht="21.75" customHeight="1">
      <c r="A18" s="49" t="str">
        <f>IF($BL18=0,"",12)</f>
        <v/>
      </c>
      <c r="B18" s="50" t="str">
        <f>IF($BL18=0,"",INDEX('قاعدة البيانات'!$C$6:$C$305,$BL18))</f>
        <v/>
      </c>
      <c r="C18" s="51" t="str">
        <f t="shared" si="4"/>
        <v/>
      </c>
      <c r="D18" s="52" t="str">
        <f t="shared" si="5"/>
        <v/>
      </c>
      <c r="E18" s="53" t="str">
        <f t="shared" si="6"/>
        <v/>
      </c>
      <c r="F18" s="54" t="str">
        <f t="shared" si="7"/>
        <v/>
      </c>
      <c r="G18" s="55" t="str">
        <f t="shared" si="8"/>
        <v/>
      </c>
      <c r="H18" s="56" t="str">
        <f t="shared" si="9"/>
        <v/>
      </c>
      <c r="I18" s="57" t="str">
        <f t="shared" si="10"/>
        <v/>
      </c>
      <c r="J18" s="58"/>
      <c r="K18" s="58"/>
      <c r="L18" s="58"/>
      <c r="M18" s="58"/>
      <c r="N18" s="58"/>
      <c r="O18" s="58"/>
      <c r="P18" s="58"/>
      <c r="Q18" s="58"/>
      <c r="R18" s="58"/>
      <c r="S18" s="58"/>
      <c r="T18" s="58"/>
      <c r="U18" s="58"/>
      <c r="V18" s="58"/>
      <c r="W18" s="58"/>
      <c r="X18" s="58"/>
      <c r="Y18" s="58"/>
      <c r="Z18" s="58"/>
      <c r="AA18" s="58"/>
      <c r="AB18" s="58"/>
      <c r="AC18" s="58"/>
      <c r="AD18" s="58"/>
      <c r="AE18" s="58"/>
      <c r="AF18" s="58"/>
      <c r="AG18" s="58"/>
      <c r="AH18" s="58"/>
      <c r="AI18" s="58"/>
      <c r="AJ18" s="58"/>
      <c r="AK18" s="58"/>
      <c r="AL18" s="58"/>
      <c r="AM18" s="58"/>
      <c r="AN18" s="58"/>
      <c r="AO18" s="58"/>
      <c r="AP18" s="58"/>
      <c r="AQ18" s="58"/>
      <c r="AR18" s="58"/>
      <c r="AS18" s="58"/>
      <c r="AT18" s="58"/>
      <c r="AU18" s="58"/>
      <c r="AV18" s="58"/>
      <c r="AW18" s="58"/>
      <c r="AX18" s="58"/>
      <c r="AY18" s="58"/>
      <c r="AZ18" s="58"/>
      <c r="BA18" s="58"/>
      <c r="BB18" s="58"/>
      <c r="BC18" s="58"/>
      <c r="BD18" s="58"/>
      <c r="BE18" s="58"/>
      <c r="BF18" s="58"/>
      <c r="BG18" s="58"/>
      <c r="BH18" s="58"/>
      <c r="BI18" s="58"/>
      <c r="BJ18" s="58"/>
      <c r="BL18">
        <f>IFERROR(MATCH(الإعدادات!$B$7&amp;"|"&amp;12,'قاعدة البيانات'!$N$6:$N$305,0),0)</f>
        <v>0</v>
      </c>
      <c r="BM18">
        <f>IF($BL18=0,0,IF(INDEX('قاعدة البيانات'!$M$6:$M$305,$BL18)="غير نشط",5,IF($F18="",0,IF($G18&gt;=الإعدادات!$B$18,4,IF($F18&gt;=الإعدادات!$B$16,1,IF($F18&gt;=الإعدادات!$B$17,2,3))))))</f>
        <v>0</v>
      </c>
    </row>
    <row r="19" spans="1:65" ht="21.75" customHeight="1">
      <c r="A19" s="49" t="str">
        <f>IF($BL19=0,"",13)</f>
        <v/>
      </c>
      <c r="B19" s="50" t="str">
        <f>IF($BL19=0,"",INDEX('قاعدة البيانات'!$C$6:$C$305,$BL19))</f>
        <v/>
      </c>
      <c r="C19" s="51" t="str">
        <f t="shared" si="4"/>
        <v/>
      </c>
      <c r="D19" s="52" t="str">
        <f t="shared" si="5"/>
        <v/>
      </c>
      <c r="E19" s="53" t="str">
        <f t="shared" si="6"/>
        <v/>
      </c>
      <c r="F19" s="54" t="str">
        <f t="shared" si="7"/>
        <v/>
      </c>
      <c r="G19" s="55" t="str">
        <f t="shared" si="8"/>
        <v/>
      </c>
      <c r="H19" s="56" t="str">
        <f t="shared" si="9"/>
        <v/>
      </c>
      <c r="I19" s="57" t="str">
        <f t="shared" si="10"/>
        <v/>
      </c>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c r="AQ19" s="58"/>
      <c r="AR19" s="58"/>
      <c r="AS19" s="58"/>
      <c r="AT19" s="58"/>
      <c r="AU19" s="58"/>
      <c r="AV19" s="58"/>
      <c r="AW19" s="58"/>
      <c r="AX19" s="58"/>
      <c r="AY19" s="58"/>
      <c r="AZ19" s="58"/>
      <c r="BA19" s="58"/>
      <c r="BB19" s="58"/>
      <c r="BC19" s="58"/>
      <c r="BD19" s="58"/>
      <c r="BE19" s="58"/>
      <c r="BF19" s="58"/>
      <c r="BG19" s="58"/>
      <c r="BH19" s="58"/>
      <c r="BI19" s="58"/>
      <c r="BJ19" s="58"/>
      <c r="BL19">
        <f>IFERROR(MATCH(الإعدادات!$B$7&amp;"|"&amp;13,'قاعدة البيانات'!$N$6:$N$305,0),0)</f>
        <v>0</v>
      </c>
      <c r="BM19">
        <f>IF($BL19=0,0,IF(INDEX('قاعدة البيانات'!$M$6:$M$305,$BL19)="غير نشط",5,IF($F19="",0,IF($G19&gt;=الإعدادات!$B$18,4,IF($F19&gt;=الإعدادات!$B$16,1,IF($F19&gt;=الإعدادات!$B$17,2,3))))))</f>
        <v>0</v>
      </c>
    </row>
    <row r="20" spans="1:65" ht="21.75" customHeight="1">
      <c r="A20" s="49" t="str">
        <f>IF($BL20=0,"",14)</f>
        <v/>
      </c>
      <c r="B20" s="50" t="str">
        <f>IF($BL20=0,"",INDEX('قاعدة البيانات'!$C$6:$C$305,$BL20))</f>
        <v/>
      </c>
      <c r="C20" s="51" t="str">
        <f t="shared" si="4"/>
        <v/>
      </c>
      <c r="D20" s="52" t="str">
        <f t="shared" si="5"/>
        <v/>
      </c>
      <c r="E20" s="53" t="str">
        <f t="shared" si="6"/>
        <v/>
      </c>
      <c r="F20" s="54" t="str">
        <f t="shared" si="7"/>
        <v/>
      </c>
      <c r="G20" s="55" t="str">
        <f t="shared" si="8"/>
        <v/>
      </c>
      <c r="H20" s="56" t="str">
        <f t="shared" si="9"/>
        <v/>
      </c>
      <c r="I20" s="57" t="str">
        <f t="shared" si="10"/>
        <v/>
      </c>
      <c r="J20" s="58"/>
      <c r="K20" s="58"/>
      <c r="L20" s="58"/>
      <c r="M20" s="58"/>
      <c r="N20" s="58"/>
      <c r="O20" s="58"/>
      <c r="P20" s="58"/>
      <c r="Q20" s="58"/>
      <c r="R20" s="58"/>
      <c r="S20" s="58"/>
      <c r="T20" s="58"/>
      <c r="U20" s="58"/>
      <c r="V20" s="58"/>
      <c r="W20" s="58"/>
      <c r="X20" s="58"/>
      <c r="Y20" s="58"/>
      <c r="Z20" s="58"/>
      <c r="AA20" s="58"/>
      <c r="AB20" s="58"/>
      <c r="AC20" s="58"/>
      <c r="AD20" s="58"/>
      <c r="AE20" s="58"/>
      <c r="AF20" s="58"/>
      <c r="AG20" s="58"/>
      <c r="AH20" s="58"/>
      <c r="AI20" s="58"/>
      <c r="AJ20" s="58"/>
      <c r="AK20" s="58"/>
      <c r="AL20" s="58"/>
      <c r="AM20" s="58"/>
      <c r="AN20" s="58"/>
      <c r="AO20" s="58"/>
      <c r="AP20" s="58"/>
      <c r="AQ20" s="58"/>
      <c r="AR20" s="58"/>
      <c r="AS20" s="58"/>
      <c r="AT20" s="58"/>
      <c r="AU20" s="58"/>
      <c r="AV20" s="58"/>
      <c r="AW20" s="58"/>
      <c r="AX20" s="58"/>
      <c r="AY20" s="58"/>
      <c r="AZ20" s="58"/>
      <c r="BA20" s="58"/>
      <c r="BB20" s="58"/>
      <c r="BC20" s="58"/>
      <c r="BD20" s="58"/>
      <c r="BE20" s="58"/>
      <c r="BF20" s="58"/>
      <c r="BG20" s="58"/>
      <c r="BH20" s="58"/>
      <c r="BI20" s="58"/>
      <c r="BJ20" s="58"/>
      <c r="BL20">
        <f>IFERROR(MATCH(الإعدادات!$B$7&amp;"|"&amp;14,'قاعدة البيانات'!$N$6:$N$305,0),0)</f>
        <v>0</v>
      </c>
      <c r="BM20">
        <f>IF($BL20=0,0,IF(INDEX('قاعدة البيانات'!$M$6:$M$305,$BL20)="غير نشط",5,IF($F20="",0,IF($G20&gt;=الإعدادات!$B$18,4,IF($F20&gt;=الإعدادات!$B$16,1,IF($F20&gt;=الإعدادات!$B$17,2,3))))))</f>
        <v>0</v>
      </c>
    </row>
    <row r="21" spans="1:65" ht="21.75" customHeight="1">
      <c r="A21" s="49" t="str">
        <f>IF($BL21=0,"",15)</f>
        <v/>
      </c>
      <c r="B21" s="50" t="str">
        <f>IF($BL21=0,"",INDEX('قاعدة البيانات'!$C$6:$C$305,$BL21))</f>
        <v/>
      </c>
      <c r="C21" s="51" t="str">
        <f t="shared" si="4"/>
        <v/>
      </c>
      <c r="D21" s="52" t="str">
        <f t="shared" si="5"/>
        <v/>
      </c>
      <c r="E21" s="53" t="str">
        <f t="shared" si="6"/>
        <v/>
      </c>
      <c r="F21" s="54" t="str">
        <f t="shared" si="7"/>
        <v/>
      </c>
      <c r="G21" s="55" t="str">
        <f t="shared" si="8"/>
        <v/>
      </c>
      <c r="H21" s="56" t="str">
        <f t="shared" si="9"/>
        <v/>
      </c>
      <c r="I21" s="57" t="str">
        <f t="shared" si="10"/>
        <v/>
      </c>
      <c r="J21" s="58"/>
      <c r="K21" s="58"/>
      <c r="L21" s="58"/>
      <c r="M21" s="58"/>
      <c r="N21" s="58"/>
      <c r="O21" s="58"/>
      <c r="P21" s="58"/>
      <c r="Q21" s="58"/>
      <c r="R21" s="58"/>
      <c r="S21" s="58"/>
      <c r="T21" s="58"/>
      <c r="U21" s="58"/>
      <c r="V21" s="58"/>
      <c r="W21" s="58"/>
      <c r="X21" s="58"/>
      <c r="Y21" s="58"/>
      <c r="Z21" s="58"/>
      <c r="AA21" s="58"/>
      <c r="AB21" s="58"/>
      <c r="AC21" s="58"/>
      <c r="AD21" s="58"/>
      <c r="AE21" s="58"/>
      <c r="AF21" s="58"/>
      <c r="AG21" s="58"/>
      <c r="AH21" s="58"/>
      <c r="AI21" s="58"/>
      <c r="AJ21" s="58"/>
      <c r="AK21" s="58"/>
      <c r="AL21" s="58"/>
      <c r="AM21" s="58"/>
      <c r="AN21" s="58"/>
      <c r="AO21" s="58"/>
      <c r="AP21" s="58"/>
      <c r="AQ21" s="58"/>
      <c r="AR21" s="58"/>
      <c r="AS21" s="58"/>
      <c r="AT21" s="58"/>
      <c r="AU21" s="58"/>
      <c r="AV21" s="58"/>
      <c r="AW21" s="58"/>
      <c r="AX21" s="58"/>
      <c r="AY21" s="58"/>
      <c r="AZ21" s="58"/>
      <c r="BA21" s="58"/>
      <c r="BB21" s="58"/>
      <c r="BC21" s="58"/>
      <c r="BD21" s="58"/>
      <c r="BE21" s="58"/>
      <c r="BF21" s="58"/>
      <c r="BG21" s="58"/>
      <c r="BH21" s="58"/>
      <c r="BI21" s="58"/>
      <c r="BJ21" s="58"/>
      <c r="BL21">
        <f>IFERROR(MATCH(الإعدادات!$B$7&amp;"|"&amp;15,'قاعدة البيانات'!$N$6:$N$305,0),0)</f>
        <v>0</v>
      </c>
      <c r="BM21">
        <f>IF($BL21=0,0,IF(INDEX('قاعدة البيانات'!$M$6:$M$305,$BL21)="غير نشط",5,IF($F21="",0,IF($G21&gt;=الإعدادات!$B$18,4,IF($F21&gt;=الإعدادات!$B$16,1,IF($F21&gt;=الإعدادات!$B$17,2,3))))))</f>
        <v>0</v>
      </c>
    </row>
    <row r="22" spans="1:65" ht="21.75" customHeight="1">
      <c r="A22" s="49" t="str">
        <f>IF($BL22=0,"",16)</f>
        <v/>
      </c>
      <c r="B22" s="50" t="str">
        <f>IF($BL22=0,"",INDEX('قاعدة البيانات'!$C$6:$C$305,$BL22))</f>
        <v/>
      </c>
      <c r="C22" s="51" t="str">
        <f t="shared" si="4"/>
        <v/>
      </c>
      <c r="D22" s="52" t="str">
        <f t="shared" si="5"/>
        <v/>
      </c>
      <c r="E22" s="53" t="str">
        <f t="shared" si="6"/>
        <v/>
      </c>
      <c r="F22" s="54" t="str">
        <f t="shared" si="7"/>
        <v/>
      </c>
      <c r="G22" s="55" t="str">
        <f t="shared" si="8"/>
        <v/>
      </c>
      <c r="H22" s="56" t="str">
        <f t="shared" si="9"/>
        <v/>
      </c>
      <c r="I22" s="57" t="str">
        <f t="shared" si="10"/>
        <v/>
      </c>
      <c r="J22" s="58"/>
      <c r="K22" s="58"/>
      <c r="L22" s="58"/>
      <c r="M22" s="58"/>
      <c r="N22" s="58"/>
      <c r="O22" s="58"/>
      <c r="P22" s="58"/>
      <c r="Q22" s="58"/>
      <c r="R22" s="58"/>
      <c r="S22" s="58"/>
      <c r="T22" s="58"/>
      <c r="U22" s="58"/>
      <c r="V22" s="58"/>
      <c r="W22" s="58"/>
      <c r="X22" s="58"/>
      <c r="Y22" s="58"/>
      <c r="Z22" s="58"/>
      <c r="AA22" s="58"/>
      <c r="AB22" s="58"/>
      <c r="AC22" s="58"/>
      <c r="AD22" s="58"/>
      <c r="AE22" s="58"/>
      <c r="AF22" s="58"/>
      <c r="AG22" s="58"/>
      <c r="AH22" s="58"/>
      <c r="AI22" s="58"/>
      <c r="AJ22" s="58"/>
      <c r="AK22" s="58"/>
      <c r="AL22" s="58"/>
      <c r="AM22" s="58"/>
      <c r="AN22" s="58"/>
      <c r="AO22" s="58"/>
      <c r="AP22" s="58"/>
      <c r="AQ22" s="58"/>
      <c r="AR22" s="58"/>
      <c r="AS22" s="58"/>
      <c r="AT22" s="58"/>
      <c r="AU22" s="58"/>
      <c r="AV22" s="58"/>
      <c r="AW22" s="58"/>
      <c r="AX22" s="58"/>
      <c r="AY22" s="58"/>
      <c r="AZ22" s="58"/>
      <c r="BA22" s="58"/>
      <c r="BB22" s="58"/>
      <c r="BC22" s="58"/>
      <c r="BD22" s="58"/>
      <c r="BE22" s="58"/>
      <c r="BF22" s="58"/>
      <c r="BG22" s="58"/>
      <c r="BH22" s="58"/>
      <c r="BI22" s="58"/>
      <c r="BJ22" s="58"/>
      <c r="BL22">
        <f>IFERROR(MATCH(الإعدادات!$B$7&amp;"|"&amp;16,'قاعدة البيانات'!$N$6:$N$305,0),0)</f>
        <v>0</v>
      </c>
      <c r="BM22">
        <f>IF($BL22=0,0,IF(INDEX('قاعدة البيانات'!$M$6:$M$305,$BL22)="غير نشط",5,IF($F22="",0,IF($G22&gt;=الإعدادات!$B$18,4,IF($F22&gt;=الإعدادات!$B$16,1,IF($F22&gt;=الإعدادات!$B$17,2,3))))))</f>
        <v>0</v>
      </c>
    </row>
    <row r="23" spans="1:65" ht="21.75" customHeight="1">
      <c r="A23" s="49" t="str">
        <f>IF($BL23=0,"",17)</f>
        <v/>
      </c>
      <c r="B23" s="50" t="str">
        <f>IF($BL23=0,"",INDEX('قاعدة البيانات'!$C$6:$C$305,$BL23))</f>
        <v/>
      </c>
      <c r="C23" s="51" t="str">
        <f t="shared" si="4"/>
        <v/>
      </c>
      <c r="D23" s="52" t="str">
        <f t="shared" si="5"/>
        <v/>
      </c>
      <c r="E23" s="53" t="str">
        <f t="shared" si="6"/>
        <v/>
      </c>
      <c r="F23" s="54" t="str">
        <f t="shared" si="7"/>
        <v/>
      </c>
      <c r="G23" s="55" t="str">
        <f t="shared" si="8"/>
        <v/>
      </c>
      <c r="H23" s="56" t="str">
        <f t="shared" si="9"/>
        <v/>
      </c>
      <c r="I23" s="57" t="str">
        <f t="shared" si="10"/>
        <v/>
      </c>
      <c r="J23" s="58"/>
      <c r="K23" s="58"/>
      <c r="L23" s="58"/>
      <c r="M23" s="58"/>
      <c r="N23" s="58"/>
      <c r="O23" s="58"/>
      <c r="P23" s="58"/>
      <c r="Q23" s="58"/>
      <c r="R23" s="58"/>
      <c r="S23" s="58"/>
      <c r="T23" s="58"/>
      <c r="U23" s="58"/>
      <c r="V23" s="58"/>
      <c r="W23" s="58"/>
      <c r="X23" s="58"/>
      <c r="Y23" s="58"/>
      <c r="Z23" s="58"/>
      <c r="AA23" s="58"/>
      <c r="AB23" s="58"/>
      <c r="AC23" s="58"/>
      <c r="AD23" s="58"/>
      <c r="AE23" s="58"/>
      <c r="AF23" s="58"/>
      <c r="AG23" s="58"/>
      <c r="AH23" s="58"/>
      <c r="AI23" s="58"/>
      <c r="AJ23" s="58"/>
      <c r="AK23" s="58"/>
      <c r="AL23" s="58"/>
      <c r="AM23" s="58"/>
      <c r="AN23" s="58"/>
      <c r="AO23" s="58"/>
      <c r="AP23" s="58"/>
      <c r="AQ23" s="58"/>
      <c r="AR23" s="58"/>
      <c r="AS23" s="58"/>
      <c r="AT23" s="58"/>
      <c r="AU23" s="58"/>
      <c r="AV23" s="58"/>
      <c r="AW23" s="58"/>
      <c r="AX23" s="58"/>
      <c r="AY23" s="58"/>
      <c r="AZ23" s="58"/>
      <c r="BA23" s="58"/>
      <c r="BB23" s="58"/>
      <c r="BC23" s="58"/>
      <c r="BD23" s="58"/>
      <c r="BE23" s="58"/>
      <c r="BF23" s="58"/>
      <c r="BG23" s="58"/>
      <c r="BH23" s="58"/>
      <c r="BI23" s="58"/>
      <c r="BJ23" s="58"/>
      <c r="BL23">
        <f>IFERROR(MATCH(الإعدادات!$B$7&amp;"|"&amp;17,'قاعدة البيانات'!$N$6:$N$305,0),0)</f>
        <v>0</v>
      </c>
      <c r="BM23">
        <f>IF($BL23=0,0,IF(INDEX('قاعدة البيانات'!$M$6:$M$305,$BL23)="غير نشط",5,IF($F23="",0,IF($G23&gt;=الإعدادات!$B$18,4,IF($F23&gt;=الإعدادات!$B$16,1,IF($F23&gt;=الإعدادات!$B$17,2,3))))))</f>
        <v>0</v>
      </c>
    </row>
    <row r="24" spans="1:65" ht="21.75" customHeight="1">
      <c r="A24" s="49" t="str">
        <f>IF($BL24=0,"",18)</f>
        <v/>
      </c>
      <c r="B24" s="50" t="str">
        <f>IF($BL24=0,"",INDEX('قاعدة البيانات'!$C$6:$C$305,$BL24))</f>
        <v/>
      </c>
      <c r="C24" s="51" t="str">
        <f t="shared" si="4"/>
        <v/>
      </c>
      <c r="D24" s="52" t="str">
        <f t="shared" si="5"/>
        <v/>
      </c>
      <c r="E24" s="53" t="str">
        <f t="shared" si="6"/>
        <v/>
      </c>
      <c r="F24" s="54" t="str">
        <f t="shared" si="7"/>
        <v/>
      </c>
      <c r="G24" s="55" t="str">
        <f t="shared" si="8"/>
        <v/>
      </c>
      <c r="H24" s="56" t="str">
        <f t="shared" si="9"/>
        <v/>
      </c>
      <c r="I24" s="57" t="str">
        <f t="shared" si="10"/>
        <v/>
      </c>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c r="AQ24" s="58"/>
      <c r="AR24" s="58"/>
      <c r="AS24" s="58"/>
      <c r="AT24" s="58"/>
      <c r="AU24" s="58"/>
      <c r="AV24" s="58"/>
      <c r="AW24" s="58"/>
      <c r="AX24" s="58"/>
      <c r="AY24" s="58"/>
      <c r="AZ24" s="58"/>
      <c r="BA24" s="58"/>
      <c r="BB24" s="58"/>
      <c r="BC24" s="58"/>
      <c r="BD24" s="58"/>
      <c r="BE24" s="58"/>
      <c r="BF24" s="58"/>
      <c r="BG24" s="58"/>
      <c r="BH24" s="58"/>
      <c r="BI24" s="58"/>
      <c r="BJ24" s="58"/>
      <c r="BL24">
        <f>IFERROR(MATCH(الإعدادات!$B$7&amp;"|"&amp;18,'قاعدة البيانات'!$N$6:$N$305,0),0)</f>
        <v>0</v>
      </c>
      <c r="BM24">
        <f>IF($BL24=0,0,IF(INDEX('قاعدة البيانات'!$M$6:$M$305,$BL24)="غير نشط",5,IF($F24="",0,IF($G24&gt;=الإعدادات!$B$18,4,IF($F24&gt;=الإعدادات!$B$16,1,IF($F24&gt;=الإعدادات!$B$17,2,3))))))</f>
        <v>0</v>
      </c>
    </row>
    <row r="25" spans="1:65" ht="21.75" customHeight="1">
      <c r="A25" s="49" t="str">
        <f>IF($BL25=0,"",19)</f>
        <v/>
      </c>
      <c r="B25" s="50" t="str">
        <f>IF($BL25=0,"",INDEX('قاعدة البيانات'!$C$6:$C$305,$BL25))</f>
        <v/>
      </c>
      <c r="C25" s="51" t="str">
        <f t="shared" si="4"/>
        <v/>
      </c>
      <c r="D25" s="52" t="str">
        <f t="shared" si="5"/>
        <v/>
      </c>
      <c r="E25" s="53" t="str">
        <f t="shared" si="6"/>
        <v/>
      </c>
      <c r="F25" s="54" t="str">
        <f t="shared" si="7"/>
        <v/>
      </c>
      <c r="G25" s="55" t="str">
        <f t="shared" si="8"/>
        <v/>
      </c>
      <c r="H25" s="56" t="str">
        <f t="shared" si="9"/>
        <v/>
      </c>
      <c r="I25" s="57" t="str">
        <f t="shared" si="10"/>
        <v/>
      </c>
      <c r="J25" s="58"/>
      <c r="K25" s="58"/>
      <c r="L25" s="58"/>
      <c r="M25" s="58"/>
      <c r="N25" s="58"/>
      <c r="O25" s="58"/>
      <c r="P25" s="58"/>
      <c r="Q25" s="58"/>
      <c r="R25" s="58"/>
      <c r="S25" s="58"/>
      <c r="T25" s="58"/>
      <c r="U25" s="58"/>
      <c r="V25" s="58"/>
      <c r="W25" s="58"/>
      <c r="X25" s="58"/>
      <c r="Y25" s="58"/>
      <c r="Z25" s="58"/>
      <c r="AA25" s="58"/>
      <c r="AB25" s="58"/>
      <c r="AC25" s="58"/>
      <c r="AD25" s="58"/>
      <c r="AE25" s="58"/>
      <c r="AF25" s="58"/>
      <c r="AG25" s="58"/>
      <c r="AH25" s="58"/>
      <c r="AI25" s="58"/>
      <c r="AJ25" s="58"/>
      <c r="AK25" s="58"/>
      <c r="AL25" s="58"/>
      <c r="AM25" s="58"/>
      <c r="AN25" s="58"/>
      <c r="AO25" s="58"/>
      <c r="AP25" s="58"/>
      <c r="AQ25" s="58"/>
      <c r="AR25" s="58"/>
      <c r="AS25" s="58"/>
      <c r="AT25" s="58"/>
      <c r="AU25" s="58"/>
      <c r="AV25" s="58"/>
      <c r="AW25" s="58"/>
      <c r="AX25" s="58"/>
      <c r="AY25" s="58"/>
      <c r="AZ25" s="58"/>
      <c r="BA25" s="58"/>
      <c r="BB25" s="58"/>
      <c r="BC25" s="58"/>
      <c r="BD25" s="58"/>
      <c r="BE25" s="58"/>
      <c r="BF25" s="58"/>
      <c r="BG25" s="58"/>
      <c r="BH25" s="58"/>
      <c r="BI25" s="58"/>
      <c r="BJ25" s="58"/>
      <c r="BL25">
        <f>IFERROR(MATCH(الإعدادات!$B$7&amp;"|"&amp;19,'قاعدة البيانات'!$N$6:$N$305,0),0)</f>
        <v>0</v>
      </c>
      <c r="BM25">
        <f>IF($BL25=0,0,IF(INDEX('قاعدة البيانات'!$M$6:$M$305,$BL25)="غير نشط",5,IF($F25="",0,IF($G25&gt;=الإعدادات!$B$18,4,IF($F25&gt;=الإعدادات!$B$16,1,IF($F25&gt;=الإعدادات!$B$17,2,3))))))</f>
        <v>0</v>
      </c>
    </row>
    <row r="26" spans="1:65" ht="21.75" customHeight="1">
      <c r="A26" s="49" t="str">
        <f>IF($BL26=0,"",20)</f>
        <v/>
      </c>
      <c r="B26" s="50" t="str">
        <f>IF($BL26=0,"",INDEX('قاعدة البيانات'!$C$6:$C$305,$BL26))</f>
        <v/>
      </c>
      <c r="C26" s="51" t="str">
        <f t="shared" si="4"/>
        <v/>
      </c>
      <c r="D26" s="52" t="str">
        <f t="shared" si="5"/>
        <v/>
      </c>
      <c r="E26" s="53" t="str">
        <f t="shared" si="6"/>
        <v/>
      </c>
      <c r="F26" s="54" t="str">
        <f t="shared" si="7"/>
        <v/>
      </c>
      <c r="G26" s="55" t="str">
        <f t="shared" si="8"/>
        <v/>
      </c>
      <c r="H26" s="56" t="str">
        <f t="shared" si="9"/>
        <v/>
      </c>
      <c r="I26" s="57" t="str">
        <f t="shared" si="10"/>
        <v/>
      </c>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L26" s="58"/>
      <c r="AM26" s="58"/>
      <c r="AN26" s="58"/>
      <c r="AO26" s="58"/>
      <c r="AP26" s="58"/>
      <c r="AQ26" s="58"/>
      <c r="AR26" s="58"/>
      <c r="AS26" s="58"/>
      <c r="AT26" s="58"/>
      <c r="AU26" s="58"/>
      <c r="AV26" s="58"/>
      <c r="AW26" s="58"/>
      <c r="AX26" s="58"/>
      <c r="AY26" s="58"/>
      <c r="AZ26" s="58"/>
      <c r="BA26" s="58"/>
      <c r="BB26" s="58"/>
      <c r="BC26" s="58"/>
      <c r="BD26" s="58"/>
      <c r="BE26" s="58"/>
      <c r="BF26" s="58"/>
      <c r="BG26" s="58"/>
      <c r="BH26" s="58"/>
      <c r="BI26" s="58"/>
      <c r="BJ26" s="58"/>
      <c r="BL26">
        <f>IFERROR(MATCH(الإعدادات!$B$7&amp;"|"&amp;20,'قاعدة البيانات'!$N$6:$N$305,0),0)</f>
        <v>0</v>
      </c>
      <c r="BM26">
        <f>IF($BL26=0,0,IF(INDEX('قاعدة البيانات'!$M$6:$M$305,$BL26)="غير نشط",5,IF($F26="",0,IF($G26&gt;=الإعدادات!$B$18,4,IF($F26&gt;=الإعدادات!$B$16,1,IF($F26&gt;=الإعدادات!$B$17,2,3))))))</f>
        <v>0</v>
      </c>
    </row>
    <row r="27" spans="1:65" ht="21.75" customHeight="1">
      <c r="A27" s="49" t="str">
        <f>IF($BL27=0,"",21)</f>
        <v/>
      </c>
      <c r="B27" s="50" t="str">
        <f>IF($BL27=0,"",INDEX('قاعدة البيانات'!$C$6:$C$305,$BL27))</f>
        <v/>
      </c>
      <c r="C27" s="51" t="str">
        <f t="shared" si="4"/>
        <v/>
      </c>
      <c r="D27" s="52" t="str">
        <f t="shared" si="5"/>
        <v/>
      </c>
      <c r="E27" s="53" t="str">
        <f t="shared" si="6"/>
        <v/>
      </c>
      <c r="F27" s="54" t="str">
        <f t="shared" si="7"/>
        <v/>
      </c>
      <c r="G27" s="55" t="str">
        <f t="shared" si="8"/>
        <v/>
      </c>
      <c r="H27" s="56" t="str">
        <f t="shared" si="9"/>
        <v/>
      </c>
      <c r="I27" s="57" t="str">
        <f t="shared" si="10"/>
        <v/>
      </c>
      <c r="J27" s="58"/>
      <c r="K27" s="58"/>
      <c r="L27" s="58"/>
      <c r="M27" s="58"/>
      <c r="N27" s="58"/>
      <c r="O27" s="58"/>
      <c r="P27" s="58"/>
      <c r="Q27" s="58"/>
      <c r="R27" s="58"/>
      <c r="S27" s="58"/>
      <c r="T27" s="58"/>
      <c r="U27" s="58"/>
      <c r="V27" s="58"/>
      <c r="W27" s="58"/>
      <c r="X27" s="58"/>
      <c r="Y27" s="58"/>
      <c r="Z27" s="58"/>
      <c r="AA27" s="58"/>
      <c r="AB27" s="58"/>
      <c r="AC27" s="58"/>
      <c r="AD27" s="58"/>
      <c r="AE27" s="58"/>
      <c r="AF27" s="58"/>
      <c r="AG27" s="58"/>
      <c r="AH27" s="58"/>
      <c r="AI27" s="58"/>
      <c r="AJ27" s="58"/>
      <c r="AK27" s="58"/>
      <c r="AL27" s="58"/>
      <c r="AM27" s="58"/>
      <c r="AN27" s="58"/>
      <c r="AO27" s="58"/>
      <c r="AP27" s="58"/>
      <c r="AQ27" s="58"/>
      <c r="AR27" s="58"/>
      <c r="AS27" s="58"/>
      <c r="AT27" s="58"/>
      <c r="AU27" s="58"/>
      <c r="AV27" s="58"/>
      <c r="AW27" s="58"/>
      <c r="AX27" s="58"/>
      <c r="AY27" s="58"/>
      <c r="AZ27" s="58"/>
      <c r="BA27" s="58"/>
      <c r="BB27" s="58"/>
      <c r="BC27" s="58"/>
      <c r="BD27" s="58"/>
      <c r="BE27" s="58"/>
      <c r="BF27" s="58"/>
      <c r="BG27" s="58"/>
      <c r="BH27" s="58"/>
      <c r="BI27" s="58"/>
      <c r="BJ27" s="58"/>
      <c r="BL27">
        <f>IFERROR(MATCH(الإعدادات!$B$7&amp;"|"&amp;21,'قاعدة البيانات'!$N$6:$N$305,0),0)</f>
        <v>0</v>
      </c>
      <c r="BM27">
        <f>IF($BL27=0,0,IF(INDEX('قاعدة البيانات'!$M$6:$M$305,$BL27)="غير نشط",5,IF($F27="",0,IF($G27&gt;=الإعدادات!$B$18,4,IF($F27&gt;=الإعدادات!$B$16,1,IF($F27&gt;=الإعدادات!$B$17,2,3))))))</f>
        <v>0</v>
      </c>
    </row>
    <row r="28" spans="1:65" ht="21.75" customHeight="1">
      <c r="A28" s="49" t="str">
        <f>IF($BL28=0,"",22)</f>
        <v/>
      </c>
      <c r="B28" s="50" t="str">
        <f>IF($BL28=0,"",INDEX('قاعدة البيانات'!$C$6:$C$305,$BL28))</f>
        <v/>
      </c>
      <c r="C28" s="51" t="str">
        <f t="shared" si="4"/>
        <v/>
      </c>
      <c r="D28" s="52" t="str">
        <f t="shared" si="5"/>
        <v/>
      </c>
      <c r="E28" s="53" t="str">
        <f t="shared" si="6"/>
        <v/>
      </c>
      <c r="F28" s="54" t="str">
        <f t="shared" si="7"/>
        <v/>
      </c>
      <c r="G28" s="55" t="str">
        <f t="shared" si="8"/>
        <v/>
      </c>
      <c r="H28" s="56" t="str">
        <f t="shared" si="9"/>
        <v/>
      </c>
      <c r="I28" s="57" t="str">
        <f t="shared" si="10"/>
        <v/>
      </c>
      <c r="J28" s="58"/>
      <c r="K28" s="58"/>
      <c r="L28" s="58"/>
      <c r="M28" s="58"/>
      <c r="N28" s="58"/>
      <c r="O28" s="58"/>
      <c r="P28" s="58"/>
      <c r="Q28" s="58"/>
      <c r="R28" s="58"/>
      <c r="S28" s="58"/>
      <c r="T28" s="58"/>
      <c r="U28" s="58"/>
      <c r="V28" s="58"/>
      <c r="W28" s="58"/>
      <c r="X28" s="58"/>
      <c r="Y28" s="58"/>
      <c r="Z28" s="58"/>
      <c r="AA28" s="58"/>
      <c r="AB28" s="58"/>
      <c r="AC28" s="58"/>
      <c r="AD28" s="58"/>
      <c r="AE28" s="58"/>
      <c r="AF28" s="58"/>
      <c r="AG28" s="58"/>
      <c r="AH28" s="58"/>
      <c r="AI28" s="58"/>
      <c r="AJ28" s="58"/>
      <c r="AK28" s="58"/>
      <c r="AL28" s="58"/>
      <c r="AM28" s="58"/>
      <c r="AN28" s="58"/>
      <c r="AO28" s="58"/>
      <c r="AP28" s="58"/>
      <c r="AQ28" s="58"/>
      <c r="AR28" s="58"/>
      <c r="AS28" s="58"/>
      <c r="AT28" s="58"/>
      <c r="AU28" s="58"/>
      <c r="AV28" s="58"/>
      <c r="AW28" s="58"/>
      <c r="AX28" s="58"/>
      <c r="AY28" s="58"/>
      <c r="AZ28" s="58"/>
      <c r="BA28" s="58"/>
      <c r="BB28" s="58"/>
      <c r="BC28" s="58"/>
      <c r="BD28" s="58"/>
      <c r="BE28" s="58"/>
      <c r="BF28" s="58"/>
      <c r="BG28" s="58"/>
      <c r="BH28" s="58"/>
      <c r="BI28" s="58"/>
      <c r="BJ28" s="58"/>
      <c r="BL28">
        <f>IFERROR(MATCH(الإعدادات!$B$7&amp;"|"&amp;22,'قاعدة البيانات'!$N$6:$N$305,0),0)</f>
        <v>0</v>
      </c>
      <c r="BM28">
        <f>IF($BL28=0,0,IF(INDEX('قاعدة البيانات'!$M$6:$M$305,$BL28)="غير نشط",5,IF($F28="",0,IF($G28&gt;=الإعدادات!$B$18,4,IF($F28&gt;=الإعدادات!$B$16,1,IF($F28&gt;=الإعدادات!$B$17,2,3))))))</f>
        <v>0</v>
      </c>
    </row>
    <row r="29" spans="1:65" ht="21.75" customHeight="1">
      <c r="A29" s="49" t="str">
        <f>IF($BL29=0,"",23)</f>
        <v/>
      </c>
      <c r="B29" s="50" t="str">
        <f>IF($BL29=0,"",INDEX('قاعدة البيانات'!$C$6:$C$305,$BL29))</f>
        <v/>
      </c>
      <c r="C29" s="51" t="str">
        <f t="shared" si="4"/>
        <v/>
      </c>
      <c r="D29" s="52" t="str">
        <f t="shared" si="5"/>
        <v/>
      </c>
      <c r="E29" s="53" t="str">
        <f t="shared" si="6"/>
        <v/>
      </c>
      <c r="F29" s="54" t="str">
        <f t="shared" si="7"/>
        <v/>
      </c>
      <c r="G29" s="55" t="str">
        <f t="shared" si="8"/>
        <v/>
      </c>
      <c r="H29" s="56" t="str">
        <f t="shared" si="9"/>
        <v/>
      </c>
      <c r="I29" s="57" t="str">
        <f t="shared" si="10"/>
        <v/>
      </c>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AQ29" s="58"/>
      <c r="AR29" s="58"/>
      <c r="AS29" s="58"/>
      <c r="AT29" s="58"/>
      <c r="AU29" s="58"/>
      <c r="AV29" s="58"/>
      <c r="AW29" s="58"/>
      <c r="AX29" s="58"/>
      <c r="AY29" s="58"/>
      <c r="AZ29" s="58"/>
      <c r="BA29" s="58"/>
      <c r="BB29" s="58"/>
      <c r="BC29" s="58"/>
      <c r="BD29" s="58"/>
      <c r="BE29" s="58"/>
      <c r="BF29" s="58"/>
      <c r="BG29" s="58"/>
      <c r="BH29" s="58"/>
      <c r="BI29" s="58"/>
      <c r="BJ29" s="58"/>
      <c r="BL29">
        <f>IFERROR(MATCH(الإعدادات!$B$7&amp;"|"&amp;23,'قاعدة البيانات'!$N$6:$N$305,0),0)</f>
        <v>0</v>
      </c>
      <c r="BM29">
        <f>IF($BL29=0,0,IF(INDEX('قاعدة البيانات'!$M$6:$M$305,$BL29)="غير نشط",5,IF($F29="",0,IF($G29&gt;=الإعدادات!$B$18,4,IF($F29&gt;=الإعدادات!$B$16,1,IF($F29&gt;=الإعدادات!$B$17,2,3))))))</f>
        <v>0</v>
      </c>
    </row>
    <row r="30" spans="1:65" ht="21.75" customHeight="1">
      <c r="A30" s="49" t="str">
        <f>IF($BL30=0,"",24)</f>
        <v/>
      </c>
      <c r="B30" s="50" t="str">
        <f>IF($BL30=0,"",INDEX('قاعدة البيانات'!$C$6:$C$305,$BL30))</f>
        <v/>
      </c>
      <c r="C30" s="51" t="str">
        <f t="shared" si="4"/>
        <v/>
      </c>
      <c r="D30" s="52" t="str">
        <f t="shared" si="5"/>
        <v/>
      </c>
      <c r="E30" s="53" t="str">
        <f t="shared" si="6"/>
        <v/>
      </c>
      <c r="F30" s="54" t="str">
        <f t="shared" si="7"/>
        <v/>
      </c>
      <c r="G30" s="55" t="str">
        <f t="shared" si="8"/>
        <v/>
      </c>
      <c r="H30" s="56" t="str">
        <f t="shared" si="9"/>
        <v/>
      </c>
      <c r="I30" s="57" t="str">
        <f t="shared" si="10"/>
        <v/>
      </c>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AQ30" s="58"/>
      <c r="AR30" s="58"/>
      <c r="AS30" s="58"/>
      <c r="AT30" s="58"/>
      <c r="AU30" s="58"/>
      <c r="AV30" s="58"/>
      <c r="AW30" s="58"/>
      <c r="AX30" s="58"/>
      <c r="AY30" s="58"/>
      <c r="AZ30" s="58"/>
      <c r="BA30" s="58"/>
      <c r="BB30" s="58"/>
      <c r="BC30" s="58"/>
      <c r="BD30" s="58"/>
      <c r="BE30" s="58"/>
      <c r="BF30" s="58"/>
      <c r="BG30" s="58"/>
      <c r="BH30" s="58"/>
      <c r="BI30" s="58"/>
      <c r="BJ30" s="58"/>
      <c r="BL30">
        <f>IFERROR(MATCH(الإعدادات!$B$7&amp;"|"&amp;24,'قاعدة البيانات'!$N$6:$N$305,0),0)</f>
        <v>0</v>
      </c>
      <c r="BM30">
        <f>IF($BL30=0,0,IF(INDEX('قاعدة البيانات'!$M$6:$M$305,$BL30)="غير نشط",5,IF($F30="",0,IF($G30&gt;=الإعدادات!$B$18,4,IF($F30&gt;=الإعدادات!$B$16,1,IF($F30&gt;=الإعدادات!$B$17,2,3))))))</f>
        <v>0</v>
      </c>
    </row>
    <row r="31" spans="1:65" ht="21.75" customHeight="1">
      <c r="A31" s="49" t="str">
        <f>IF($BL31=0,"",25)</f>
        <v/>
      </c>
      <c r="B31" s="50" t="str">
        <f>IF($BL31=0,"",INDEX('قاعدة البيانات'!$C$6:$C$305,$BL31))</f>
        <v/>
      </c>
      <c r="C31" s="51" t="str">
        <f t="shared" si="4"/>
        <v/>
      </c>
      <c r="D31" s="52" t="str">
        <f t="shared" si="5"/>
        <v/>
      </c>
      <c r="E31" s="53" t="str">
        <f t="shared" si="6"/>
        <v/>
      </c>
      <c r="F31" s="54" t="str">
        <f t="shared" si="7"/>
        <v/>
      </c>
      <c r="G31" s="55" t="str">
        <f t="shared" si="8"/>
        <v/>
      </c>
      <c r="H31" s="56" t="str">
        <f t="shared" si="9"/>
        <v/>
      </c>
      <c r="I31" s="57" t="str">
        <f t="shared" si="10"/>
        <v/>
      </c>
      <c r="J31" s="58"/>
      <c r="K31" s="58"/>
      <c r="L31" s="58"/>
      <c r="M31" s="58"/>
      <c r="N31" s="58"/>
      <c r="O31" s="58"/>
      <c r="P31" s="58"/>
      <c r="Q31" s="58"/>
      <c r="R31" s="58"/>
      <c r="S31" s="58"/>
      <c r="T31" s="58"/>
      <c r="U31" s="58"/>
      <c r="V31" s="58"/>
      <c r="W31" s="58"/>
      <c r="X31" s="58"/>
      <c r="Y31" s="58"/>
      <c r="Z31" s="58"/>
      <c r="AA31" s="58"/>
      <c r="AB31" s="58"/>
      <c r="AC31" s="58"/>
      <c r="AD31" s="58"/>
      <c r="AE31" s="58"/>
      <c r="AF31" s="58"/>
      <c r="AG31" s="58"/>
      <c r="AH31" s="58"/>
      <c r="AI31" s="58"/>
      <c r="AJ31" s="58"/>
      <c r="AK31" s="58"/>
      <c r="AL31" s="58"/>
      <c r="AM31" s="58"/>
      <c r="AN31" s="58"/>
      <c r="AO31" s="58"/>
      <c r="AP31" s="58"/>
      <c r="AQ31" s="58"/>
      <c r="AR31" s="58"/>
      <c r="AS31" s="58"/>
      <c r="AT31" s="58"/>
      <c r="AU31" s="58"/>
      <c r="AV31" s="58"/>
      <c r="AW31" s="58"/>
      <c r="AX31" s="58"/>
      <c r="AY31" s="58"/>
      <c r="AZ31" s="58"/>
      <c r="BA31" s="58"/>
      <c r="BB31" s="58"/>
      <c r="BC31" s="58"/>
      <c r="BD31" s="58"/>
      <c r="BE31" s="58"/>
      <c r="BF31" s="58"/>
      <c r="BG31" s="58"/>
      <c r="BH31" s="58"/>
      <c r="BI31" s="58"/>
      <c r="BJ31" s="58"/>
      <c r="BL31">
        <f>IFERROR(MATCH(الإعدادات!$B$7&amp;"|"&amp;25,'قاعدة البيانات'!$N$6:$N$305,0),0)</f>
        <v>0</v>
      </c>
      <c r="BM31">
        <f>IF($BL31=0,0,IF(INDEX('قاعدة البيانات'!$M$6:$M$305,$BL31)="غير نشط",5,IF($F31="",0,IF($G31&gt;=الإعدادات!$B$18,4,IF($F31&gt;=الإعدادات!$B$16,1,IF($F31&gt;=الإعدادات!$B$17,2,3))))))</f>
        <v>0</v>
      </c>
    </row>
    <row r="32" spans="1:65" ht="21.75" customHeight="1">
      <c r="A32" s="49" t="str">
        <f>IF($BL32=0,"",26)</f>
        <v/>
      </c>
      <c r="B32" s="50" t="str">
        <f>IF($BL32=0,"",INDEX('قاعدة البيانات'!$C$6:$C$305,$BL32))</f>
        <v/>
      </c>
      <c r="C32" s="51" t="str">
        <f t="shared" si="4"/>
        <v/>
      </c>
      <c r="D32" s="52" t="str">
        <f t="shared" si="5"/>
        <v/>
      </c>
      <c r="E32" s="53" t="str">
        <f t="shared" si="6"/>
        <v/>
      </c>
      <c r="F32" s="54" t="str">
        <f t="shared" si="7"/>
        <v/>
      </c>
      <c r="G32" s="55" t="str">
        <f t="shared" si="8"/>
        <v/>
      </c>
      <c r="H32" s="56" t="str">
        <f t="shared" si="9"/>
        <v/>
      </c>
      <c r="I32" s="57" t="str">
        <f t="shared" si="10"/>
        <v/>
      </c>
      <c r="J32" s="58"/>
      <c r="K32" s="58"/>
      <c r="L32" s="58"/>
      <c r="M32" s="58"/>
      <c r="N32" s="58"/>
      <c r="O32" s="58"/>
      <c r="P32" s="58"/>
      <c r="Q32" s="58"/>
      <c r="R32" s="58"/>
      <c r="S32" s="58"/>
      <c r="T32" s="58"/>
      <c r="U32" s="58"/>
      <c r="V32" s="58"/>
      <c r="W32" s="58"/>
      <c r="X32" s="58"/>
      <c r="Y32" s="58"/>
      <c r="Z32" s="58"/>
      <c r="AA32" s="58"/>
      <c r="AB32" s="58"/>
      <c r="AC32" s="58"/>
      <c r="AD32" s="58"/>
      <c r="AE32" s="58"/>
      <c r="AF32" s="58"/>
      <c r="AG32" s="58"/>
      <c r="AH32" s="58"/>
      <c r="AI32" s="58"/>
      <c r="AJ32" s="58"/>
      <c r="AK32" s="58"/>
      <c r="AL32" s="58"/>
      <c r="AM32" s="58"/>
      <c r="AN32" s="58"/>
      <c r="AO32" s="58"/>
      <c r="AP32" s="58"/>
      <c r="AQ32" s="58"/>
      <c r="AR32" s="58"/>
      <c r="AS32" s="58"/>
      <c r="AT32" s="58"/>
      <c r="AU32" s="58"/>
      <c r="AV32" s="58"/>
      <c r="AW32" s="58"/>
      <c r="AX32" s="58"/>
      <c r="AY32" s="58"/>
      <c r="AZ32" s="58"/>
      <c r="BA32" s="58"/>
      <c r="BB32" s="58"/>
      <c r="BC32" s="58"/>
      <c r="BD32" s="58"/>
      <c r="BE32" s="58"/>
      <c r="BF32" s="58"/>
      <c r="BG32" s="58"/>
      <c r="BH32" s="58"/>
      <c r="BI32" s="58"/>
      <c r="BJ32" s="58"/>
      <c r="BL32">
        <f>IFERROR(MATCH(الإعدادات!$B$7&amp;"|"&amp;26,'قاعدة البيانات'!$N$6:$N$305,0),0)</f>
        <v>0</v>
      </c>
      <c r="BM32">
        <f>IF($BL32=0,0,IF(INDEX('قاعدة البيانات'!$M$6:$M$305,$BL32)="غير نشط",5,IF($F32="",0,IF($G32&gt;=الإعدادات!$B$18,4,IF($F32&gt;=الإعدادات!$B$16,1,IF($F32&gt;=الإعدادات!$B$17,2,3))))))</f>
        <v>0</v>
      </c>
    </row>
    <row r="33" spans="1:65" ht="21.75" customHeight="1">
      <c r="A33" s="49" t="str">
        <f>IF($BL33=0,"",27)</f>
        <v/>
      </c>
      <c r="B33" s="50" t="str">
        <f>IF($BL33=0,"",INDEX('قاعدة البيانات'!$C$6:$C$305,$BL33))</f>
        <v/>
      </c>
      <c r="C33" s="51" t="str">
        <f t="shared" si="4"/>
        <v/>
      </c>
      <c r="D33" s="52" t="str">
        <f t="shared" si="5"/>
        <v/>
      </c>
      <c r="E33" s="53" t="str">
        <f t="shared" si="6"/>
        <v/>
      </c>
      <c r="F33" s="54" t="str">
        <f t="shared" si="7"/>
        <v/>
      </c>
      <c r="G33" s="55" t="str">
        <f t="shared" si="8"/>
        <v/>
      </c>
      <c r="H33" s="56" t="str">
        <f t="shared" si="9"/>
        <v/>
      </c>
      <c r="I33" s="57" t="str">
        <f t="shared" si="10"/>
        <v/>
      </c>
      <c r="J33" s="58"/>
      <c r="K33" s="58"/>
      <c r="L33" s="58"/>
      <c r="M33" s="58"/>
      <c r="N33" s="58"/>
      <c r="O33" s="58"/>
      <c r="P33" s="58"/>
      <c r="Q33" s="58"/>
      <c r="R33" s="58"/>
      <c r="S33" s="58"/>
      <c r="T33" s="58"/>
      <c r="U33" s="58"/>
      <c r="V33" s="58"/>
      <c r="W33" s="58"/>
      <c r="X33" s="58"/>
      <c r="Y33" s="58"/>
      <c r="Z33" s="58"/>
      <c r="AA33" s="58"/>
      <c r="AB33" s="58"/>
      <c r="AC33" s="58"/>
      <c r="AD33" s="58"/>
      <c r="AE33" s="58"/>
      <c r="AF33" s="58"/>
      <c r="AG33" s="58"/>
      <c r="AH33" s="58"/>
      <c r="AI33" s="58"/>
      <c r="AJ33" s="58"/>
      <c r="AK33" s="58"/>
      <c r="AL33" s="58"/>
      <c r="AM33" s="58"/>
      <c r="AN33" s="58"/>
      <c r="AO33" s="58"/>
      <c r="AP33" s="58"/>
      <c r="AQ33" s="58"/>
      <c r="AR33" s="58"/>
      <c r="AS33" s="58"/>
      <c r="AT33" s="58"/>
      <c r="AU33" s="58"/>
      <c r="AV33" s="58"/>
      <c r="AW33" s="58"/>
      <c r="AX33" s="58"/>
      <c r="AY33" s="58"/>
      <c r="AZ33" s="58"/>
      <c r="BA33" s="58"/>
      <c r="BB33" s="58"/>
      <c r="BC33" s="58"/>
      <c r="BD33" s="58"/>
      <c r="BE33" s="58"/>
      <c r="BF33" s="58"/>
      <c r="BG33" s="58"/>
      <c r="BH33" s="58"/>
      <c r="BI33" s="58"/>
      <c r="BJ33" s="58"/>
      <c r="BL33">
        <f>IFERROR(MATCH(الإعدادات!$B$7&amp;"|"&amp;27,'قاعدة البيانات'!$N$6:$N$305,0),0)</f>
        <v>0</v>
      </c>
      <c r="BM33">
        <f>IF($BL33=0,0,IF(INDEX('قاعدة البيانات'!$M$6:$M$305,$BL33)="غير نشط",5,IF($F33="",0,IF($G33&gt;=الإعدادات!$B$18,4,IF($F33&gt;=الإعدادات!$B$16,1,IF($F33&gt;=الإعدادات!$B$17,2,3))))))</f>
        <v>0</v>
      </c>
    </row>
    <row r="34" spans="1:65" ht="21.75" customHeight="1">
      <c r="A34" s="49" t="str">
        <f>IF($BL34=0,"",28)</f>
        <v/>
      </c>
      <c r="B34" s="50" t="str">
        <f>IF($BL34=0,"",INDEX('قاعدة البيانات'!$C$6:$C$305,$BL34))</f>
        <v/>
      </c>
      <c r="C34" s="51" t="str">
        <f t="shared" si="4"/>
        <v/>
      </c>
      <c r="D34" s="52" t="str">
        <f t="shared" si="5"/>
        <v/>
      </c>
      <c r="E34" s="53" t="str">
        <f t="shared" si="6"/>
        <v/>
      </c>
      <c r="F34" s="54" t="str">
        <f t="shared" si="7"/>
        <v/>
      </c>
      <c r="G34" s="55" t="str">
        <f t="shared" si="8"/>
        <v/>
      </c>
      <c r="H34" s="56" t="str">
        <f t="shared" si="9"/>
        <v/>
      </c>
      <c r="I34" s="57" t="str">
        <f t="shared" si="10"/>
        <v/>
      </c>
      <c r="J34" s="58"/>
      <c r="K34" s="58"/>
      <c r="L34" s="58"/>
      <c r="M34" s="58"/>
      <c r="N34" s="58"/>
      <c r="O34" s="58"/>
      <c r="P34" s="58"/>
      <c r="Q34" s="58"/>
      <c r="R34" s="58"/>
      <c r="S34" s="58"/>
      <c r="T34" s="58"/>
      <c r="U34" s="58"/>
      <c r="V34" s="58"/>
      <c r="W34" s="58"/>
      <c r="X34" s="58"/>
      <c r="Y34" s="58"/>
      <c r="Z34" s="58"/>
      <c r="AA34" s="58"/>
      <c r="AB34" s="58"/>
      <c r="AC34" s="58"/>
      <c r="AD34" s="58"/>
      <c r="AE34" s="58"/>
      <c r="AF34" s="58"/>
      <c r="AG34" s="58"/>
      <c r="AH34" s="58"/>
      <c r="AI34" s="58"/>
      <c r="AJ34" s="58"/>
      <c r="AK34" s="58"/>
      <c r="AL34" s="58"/>
      <c r="AM34" s="58"/>
      <c r="AN34" s="58"/>
      <c r="AO34" s="58"/>
      <c r="AP34" s="58"/>
      <c r="AQ34" s="58"/>
      <c r="AR34" s="58"/>
      <c r="AS34" s="58"/>
      <c r="AT34" s="58"/>
      <c r="AU34" s="58"/>
      <c r="AV34" s="58"/>
      <c r="AW34" s="58"/>
      <c r="AX34" s="58"/>
      <c r="AY34" s="58"/>
      <c r="AZ34" s="58"/>
      <c r="BA34" s="58"/>
      <c r="BB34" s="58"/>
      <c r="BC34" s="58"/>
      <c r="BD34" s="58"/>
      <c r="BE34" s="58"/>
      <c r="BF34" s="58"/>
      <c r="BG34" s="58"/>
      <c r="BH34" s="58"/>
      <c r="BI34" s="58"/>
      <c r="BJ34" s="58"/>
      <c r="BL34">
        <f>IFERROR(MATCH(الإعدادات!$B$7&amp;"|"&amp;28,'قاعدة البيانات'!$N$6:$N$305,0),0)</f>
        <v>0</v>
      </c>
      <c r="BM34">
        <f>IF($BL34=0,0,IF(INDEX('قاعدة البيانات'!$M$6:$M$305,$BL34)="غير نشط",5,IF($F34="",0,IF($G34&gt;=الإعدادات!$B$18,4,IF($F34&gt;=الإعدادات!$B$16,1,IF($F34&gt;=الإعدادات!$B$17,2,3))))))</f>
        <v>0</v>
      </c>
    </row>
    <row r="35" spans="1:65" ht="21.75" customHeight="1">
      <c r="A35" s="49" t="str">
        <f>IF($BL35=0,"",29)</f>
        <v/>
      </c>
      <c r="B35" s="50" t="str">
        <f>IF($BL35=0,"",INDEX('قاعدة البيانات'!$C$6:$C$305,$BL35))</f>
        <v/>
      </c>
      <c r="C35" s="51" t="str">
        <f t="shared" si="4"/>
        <v/>
      </c>
      <c r="D35" s="52" t="str">
        <f t="shared" si="5"/>
        <v/>
      </c>
      <c r="E35" s="53" t="str">
        <f t="shared" si="6"/>
        <v/>
      </c>
      <c r="F35" s="54" t="str">
        <f t="shared" si="7"/>
        <v/>
      </c>
      <c r="G35" s="55" t="str">
        <f t="shared" si="8"/>
        <v/>
      </c>
      <c r="H35" s="56" t="str">
        <f t="shared" si="9"/>
        <v/>
      </c>
      <c r="I35" s="57" t="str">
        <f t="shared" si="10"/>
        <v/>
      </c>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c r="AQ35" s="58"/>
      <c r="AR35" s="58"/>
      <c r="AS35" s="58"/>
      <c r="AT35" s="58"/>
      <c r="AU35" s="58"/>
      <c r="AV35" s="58"/>
      <c r="AW35" s="58"/>
      <c r="AX35" s="58"/>
      <c r="AY35" s="58"/>
      <c r="AZ35" s="58"/>
      <c r="BA35" s="58"/>
      <c r="BB35" s="58"/>
      <c r="BC35" s="58"/>
      <c r="BD35" s="58"/>
      <c r="BE35" s="58"/>
      <c r="BF35" s="58"/>
      <c r="BG35" s="58"/>
      <c r="BH35" s="58"/>
      <c r="BI35" s="58"/>
      <c r="BJ35" s="58"/>
      <c r="BL35">
        <f>IFERROR(MATCH(الإعدادات!$B$7&amp;"|"&amp;29,'قاعدة البيانات'!$N$6:$N$305,0),0)</f>
        <v>0</v>
      </c>
      <c r="BM35">
        <f>IF($BL35=0,0,IF(INDEX('قاعدة البيانات'!$M$6:$M$305,$BL35)="غير نشط",5,IF($F35="",0,IF($G35&gt;=الإعدادات!$B$18,4,IF($F35&gt;=الإعدادات!$B$16,1,IF($F35&gt;=الإعدادات!$B$17,2,3))))))</f>
        <v>0</v>
      </c>
    </row>
    <row r="36" spans="1:65" ht="21.75" customHeight="1">
      <c r="A36" s="49" t="str">
        <f>IF($BL36=0,"",30)</f>
        <v/>
      </c>
      <c r="B36" s="50" t="str">
        <f>IF($BL36=0,"",INDEX('قاعدة البيانات'!$C$6:$C$305,$BL36))</f>
        <v/>
      </c>
      <c r="C36" s="51" t="str">
        <f t="shared" si="4"/>
        <v/>
      </c>
      <c r="D36" s="52" t="str">
        <f t="shared" si="5"/>
        <v/>
      </c>
      <c r="E36" s="53" t="str">
        <f t="shared" si="6"/>
        <v/>
      </c>
      <c r="F36" s="54" t="str">
        <f t="shared" si="7"/>
        <v/>
      </c>
      <c r="G36" s="55" t="str">
        <f t="shared" si="8"/>
        <v/>
      </c>
      <c r="H36" s="56" t="str">
        <f t="shared" si="9"/>
        <v/>
      </c>
      <c r="I36" s="57" t="str">
        <f t="shared" si="10"/>
        <v/>
      </c>
      <c r="J36" s="58"/>
      <c r="K36" s="58"/>
      <c r="L36" s="58"/>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58"/>
      <c r="AL36" s="58"/>
      <c r="AM36" s="58"/>
      <c r="AN36" s="58"/>
      <c r="AO36" s="58"/>
      <c r="AP36" s="58"/>
      <c r="AQ36" s="58"/>
      <c r="AR36" s="58"/>
      <c r="AS36" s="58"/>
      <c r="AT36" s="58"/>
      <c r="AU36" s="58"/>
      <c r="AV36" s="58"/>
      <c r="AW36" s="58"/>
      <c r="AX36" s="58"/>
      <c r="AY36" s="58"/>
      <c r="AZ36" s="58"/>
      <c r="BA36" s="58"/>
      <c r="BB36" s="58"/>
      <c r="BC36" s="58"/>
      <c r="BD36" s="58"/>
      <c r="BE36" s="58"/>
      <c r="BF36" s="58"/>
      <c r="BG36" s="58"/>
      <c r="BH36" s="58"/>
      <c r="BI36" s="58"/>
      <c r="BJ36" s="58"/>
      <c r="BL36">
        <f>IFERROR(MATCH(الإعدادات!$B$7&amp;"|"&amp;30,'قاعدة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17" priority="2">
      <formula>$BL7=0</formula>
    </cfRule>
  </conditionalFormatting>
  <conditionalFormatting sqref="F7:F36">
    <cfRule type="expression" dxfId="16" priority="9">
      <formula>$BM7=1</formula>
    </cfRule>
    <cfRule type="expression" dxfId="15" priority="10">
      <formula>$BM7=2</formula>
    </cfRule>
    <cfRule type="expression" dxfId="14" priority="11">
      <formula>OR($BM7=3,$BM7=4)</formula>
    </cfRule>
  </conditionalFormatting>
  <conditionalFormatting sqref="I7:I36">
    <cfRule type="expression" dxfId="12" priority="12">
      <formula>$BM7=1</formula>
    </cfRule>
    <cfRule type="expression" dxfId="11" priority="13">
      <formula>$BM7=2</formula>
    </cfRule>
    <cfRule type="expression" dxfId="10" priority="14">
      <formula>$BM7=3</formula>
    </cfRule>
    <cfRule type="expression" dxfId="9" priority="15">
      <formula>$BM7=4</formula>
    </cfRule>
  </conditionalFormatting>
  <conditionalFormatting sqref="J6:BJ6">
    <cfRule type="expression" dxfId="8" priority="7">
      <formula>AND(J$6&lt;&gt;"",J$6&lt;=TODAY(),J$6+7&gt;TODAY())</formula>
    </cfRule>
    <cfRule type="expression" dxfId="7" priority="8">
      <formula>MOD(MONTH(J$6),2)=0</formula>
    </cfRule>
  </conditionalFormatting>
  <conditionalFormatting sqref="J7:BJ36">
    <cfRule type="expression" dxfId="6" priority="3">
      <formula>J7="ح"</formula>
    </cfRule>
    <cfRule type="expression" dxfId="5" priority="4">
      <formula>J7="غ"</formula>
    </cfRule>
    <cfRule type="expression" dxfId="4" priority="5">
      <formula>J7="ع"</formula>
    </cfRule>
    <cfRule type="expression" dxfId="3" priority="6">
      <formula>AND(J$6&lt;&gt;"",J$6&lt;=TODAY(),J$6+7&gt;TODAY())</formula>
    </cfRule>
  </conditionalFormatting>
  <dataValidations count="1">
    <dataValidation type="list" allowBlank="1" showErrorMessage="1" errorTitle="حضور" error="اختار ح أو غ أو ع." sqref="J7:BJ36" xr:uid="{00000000-0002-0000-09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9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fitToPage="1"/>
  </sheetPr>
  <dimension ref="A1:N65"/>
  <sheetViews>
    <sheetView showGridLines="0" rightToLeft="1" zoomScale="90" zoomScaleNormal="90" workbookViewId="0">
      <pane xSplit="2" ySplit="5" topLeftCell="C6" activePane="bottomRight" state="frozen"/>
      <selection pane="topRight" activeCell="C1" sqref="C1"/>
      <selection pane="bottomLeft" activeCell="A6" sqref="A6"/>
      <selection pane="bottomRight" sqref="A1:L1"/>
    </sheetView>
  </sheetViews>
  <sheetFormatPr defaultColWidth="8.6640625" defaultRowHeight="14.4"/>
  <cols>
    <col min="1" max="1" width="5" customWidth="1"/>
    <col min="2" max="2" width="26" customWidth="1"/>
    <col min="3" max="3" width="12" customWidth="1"/>
    <col min="4" max="4" width="9" customWidth="1"/>
    <col min="5" max="5" width="11" customWidth="1"/>
    <col min="6" max="6" width="13" customWidth="1"/>
    <col min="7" max="8" width="19" customWidth="1"/>
    <col min="9" max="9" width="12" customWidth="1"/>
    <col min="10" max="10" width="19" customWidth="1"/>
    <col min="11" max="11" width="12" customWidth="1"/>
    <col min="12" max="12" width="36" customWidth="1"/>
    <col min="13" max="13" width="3" customWidth="1"/>
    <col min="14" max="14" width="6" hidden="1" customWidth="1"/>
  </cols>
  <sheetData>
    <row r="1" spans="1:14" ht="45.75" customHeight="1">
      <c r="A1" s="157" t="s">
        <v>60</v>
      </c>
      <c r="B1" s="157"/>
      <c r="C1" s="157"/>
      <c r="D1" s="157"/>
      <c r="E1" s="157"/>
      <c r="F1" s="157"/>
      <c r="G1" s="157"/>
      <c r="H1" s="157"/>
      <c r="I1" s="157"/>
      <c r="J1" s="157"/>
      <c r="K1" s="157"/>
      <c r="L1" s="157"/>
    </row>
    <row r="2" spans="1:14" ht="27.75" customHeight="1">
      <c r="A2" s="111" t="str">
        <f>HYPERLINK("#'الرئيسية'!A1","🏠 الرئيسية")</f>
        <v>🏠 الرئيسية</v>
      </c>
      <c r="B2" s="111"/>
      <c r="C2" s="111" t="str">
        <f>HYPERLINK("#'قاعدة البيانات'!A1","📋 القاعدة")</f>
        <v>📋 القاعدة</v>
      </c>
      <c r="D2" s="111"/>
      <c r="E2" s="111"/>
      <c r="F2" s="115" t="str">
        <f>HYPERLINK("#'قاعدة البيانات'!C"&amp;MIN(305,6+COUNTA('قاعدة البيانات'!$C$6:$C$305)),"➕ إضافة طفل")</f>
        <v>➕ إضافة طفل</v>
      </c>
      <c r="G2" s="115"/>
      <c r="H2" s="111" t="str">
        <f>HYPERLINK("#'الإعدادات'!A1","⚙️ الإعدادات")</f>
        <v>⚙️ الإعدادات</v>
      </c>
      <c r="I2" s="111"/>
    </row>
    <row r="3" spans="1:14" ht="25.5" customHeight="1">
      <c r="A3" s="158" t="str">
        <f>"⚠️ الأطفال اللي نسبة حضورهم أقل من "&amp;ROUND(الإعدادات!$B$17*100,0)&amp;"% أو غايبين "&amp;الإعدادات!$B$18&amp;" اجتماعات ورا بعض أو أكتر  —  العدد الحالي: "&amp;COUNT('قاعدة البيانات'!$W$6:$W$305)</f>
        <v>⚠️ الأطفال اللي نسبة حضورهم أقل من 70% أو غايبين 3 اجتماعات ورا بعض أو أكتر  —  العدد الحالي: 0</v>
      </c>
      <c r="B3" s="158"/>
      <c r="C3" s="158"/>
      <c r="D3" s="158"/>
      <c r="E3" s="158"/>
      <c r="F3" s="158"/>
      <c r="G3" s="158"/>
      <c r="H3" s="158"/>
      <c r="I3" s="158"/>
      <c r="J3" s="158"/>
      <c r="K3" s="158"/>
      <c r="L3" s="158"/>
    </row>
    <row r="4" spans="1:14" ht="21.75" customHeight="1">
      <c r="A4" s="159" t="s">
        <v>61</v>
      </c>
      <c r="B4" s="159"/>
      <c r="C4" s="159"/>
      <c r="D4" s="159"/>
      <c r="E4" s="159"/>
      <c r="F4" s="159"/>
      <c r="G4" s="159"/>
      <c r="H4" s="159"/>
      <c r="I4" s="159"/>
      <c r="J4" s="159"/>
      <c r="K4" s="159"/>
      <c r="L4" s="159"/>
    </row>
    <row r="5" spans="1:14" ht="30" customHeight="1">
      <c r="A5" s="65" t="s">
        <v>20</v>
      </c>
      <c r="B5" s="65" t="s">
        <v>22</v>
      </c>
      <c r="C5" s="65" t="s">
        <v>10</v>
      </c>
      <c r="D5" s="65" t="s">
        <v>37</v>
      </c>
      <c r="E5" s="65" t="s">
        <v>38</v>
      </c>
      <c r="F5" s="65" t="s">
        <v>39</v>
      </c>
      <c r="G5" s="65" t="s">
        <v>32</v>
      </c>
      <c r="H5" s="65" t="s">
        <v>27</v>
      </c>
      <c r="I5" s="65" t="s">
        <v>62</v>
      </c>
      <c r="J5" s="65" t="s">
        <v>28</v>
      </c>
      <c r="K5" s="65" t="s">
        <v>63</v>
      </c>
      <c r="L5" s="65" t="s">
        <v>29</v>
      </c>
    </row>
    <row r="6" spans="1:14" ht="24" customHeight="1">
      <c r="A6" s="49" t="str">
        <f>IF($N6=0,"",1)</f>
        <v/>
      </c>
      <c r="B6" s="50" t="str">
        <f>IF($N6=0,"",INDEX('قاعدة البيانات'!$C$6:$C$305,$N6))</f>
        <v/>
      </c>
      <c r="C6" s="57" t="str">
        <f>IF($N6=0,"",INDEX('قاعدة البيانات'!$F$6:$F$305,$N6))</f>
        <v/>
      </c>
      <c r="D6" s="54" t="str">
        <f>IF($N6=0,"",INDEX('قاعدة البيانات'!$R$6:$R$305,$N6))</f>
        <v/>
      </c>
      <c r="E6" s="55" t="str">
        <f>IF($N6=0,"",INDEX('قاعدة البيانات'!$S$6:$S$305,$N6))</f>
        <v/>
      </c>
      <c r="F6" s="56" t="str">
        <f>IF($N6=0,"",INDEX('قاعدة البيانات'!$T$6:$T$305,$N6))</f>
        <v/>
      </c>
      <c r="G6" s="57" t="str">
        <f>IF($N6=0,"",INDEX('قاعدة البيانات'!$U$6:$U$305,$N6))</f>
        <v/>
      </c>
      <c r="H6" s="66" t="str">
        <f>IF($N6=0,"",IF(INDEX('قاعدة البيانات'!$H$6:$H$305,$N6)="","— مفيش رقم —",HYPERLINK("tel:"&amp;INDEX('قاعدة البيانات'!$H$6:$H$305,$N6),"📞 "&amp;INDEX('قاعدة البيانات'!$H$6:$H$305,$N6))))</f>
        <v/>
      </c>
      <c r="I6" s="67" t="str">
        <f>IF(OR($N6=0,INDEX('قاعدة البيانات'!$H$6:$H$305,$N6)=""),"",HYPERLINK("https://wa.me/20"&amp;RIGHT(INDEX('قاعدة البيانات'!$H$6:$H$305,$N6),10),"💬 واتساب"))</f>
        <v/>
      </c>
      <c r="J6" s="66" t="str">
        <f>IF($N6=0,"",IF(INDEX('قاعدة البيانات'!$I$6:$I$305,$N6)="","— مفيش رقم —",HYPERLINK("tel:"&amp;INDEX('قاعدة البيانات'!$I$6:$I$305,$N6),"📞 "&amp;INDEX('قاعدة البيانات'!$I$6:$I$305,$N6))))</f>
        <v/>
      </c>
      <c r="K6" s="67" t="str">
        <f>IF(OR($N6=0,INDEX('قاعدة البيانات'!$I$6:$I$305,$N6)=""),"",HYPERLINK("https://wa.me/20"&amp;RIGHT(INDEX('قاعدة البيانات'!$I$6:$I$305,$N6),10),"💬 واتساب"))</f>
        <v/>
      </c>
      <c r="L6" s="68" t="str">
        <f>IF($N6=0,"",IF(INDEX('قاعدة البيانات'!$J$6:$J$305,$N6)="","—",INDEX('قاعدة البيانات'!$J$6:$J$305,$N6)))</f>
        <v/>
      </c>
      <c r="N6">
        <f>IFERROR(MATCH(1,'قاعدة البيانات'!$W$6:$W$305,0),0)</f>
        <v>0</v>
      </c>
    </row>
    <row r="7" spans="1:14" ht="24" customHeight="1">
      <c r="A7" s="49" t="str">
        <f>IF($N7=0,"",2)</f>
        <v/>
      </c>
      <c r="B7" s="50" t="str">
        <f>IF($N7=0,"",INDEX('قاعدة البيانات'!$C$6:$C$305,$N7))</f>
        <v/>
      </c>
      <c r="C7" s="57" t="str">
        <f>IF($N7=0,"",INDEX('قاعدة البيانات'!$F$6:$F$305,$N7))</f>
        <v/>
      </c>
      <c r="D7" s="54" t="str">
        <f>IF($N7=0,"",INDEX('قاعدة البيانات'!$R$6:$R$305,$N7))</f>
        <v/>
      </c>
      <c r="E7" s="55" t="str">
        <f>IF($N7=0,"",INDEX('قاعدة البيانات'!$S$6:$S$305,$N7))</f>
        <v/>
      </c>
      <c r="F7" s="56" t="str">
        <f>IF($N7=0,"",INDEX('قاعدة البيانات'!$T$6:$T$305,$N7))</f>
        <v/>
      </c>
      <c r="G7" s="57" t="str">
        <f>IF($N7=0,"",INDEX('قاعدة البيانات'!$U$6:$U$305,$N7))</f>
        <v/>
      </c>
      <c r="H7" s="66" t="str">
        <f>IF($N7=0,"",IF(INDEX('قاعدة البيانات'!$H$6:$H$305,$N7)="","— مفيش رقم —",HYPERLINK("tel:"&amp;INDEX('قاعدة البيانات'!$H$6:$H$305,$N7),"📞 "&amp;INDEX('قاعدة البيانات'!$H$6:$H$305,$N7))))</f>
        <v/>
      </c>
      <c r="I7" s="67" t="str">
        <f>IF(OR($N7=0,INDEX('قاعدة البيانات'!$H$6:$H$305,$N7)=""),"",HYPERLINK("https://wa.me/20"&amp;RIGHT(INDEX('قاعدة البيانات'!$H$6:$H$305,$N7),10),"💬 واتساب"))</f>
        <v/>
      </c>
      <c r="J7" s="66" t="str">
        <f>IF($N7=0,"",IF(INDEX('قاعدة البيانات'!$I$6:$I$305,$N7)="","— مفيش رقم —",HYPERLINK("tel:"&amp;INDEX('قاعدة البيانات'!$I$6:$I$305,$N7),"📞 "&amp;INDEX('قاعدة البيانات'!$I$6:$I$305,$N7))))</f>
        <v/>
      </c>
      <c r="K7" s="67" t="str">
        <f>IF(OR($N7=0,INDEX('قاعدة البيانات'!$I$6:$I$305,$N7)=""),"",HYPERLINK("https://wa.me/20"&amp;RIGHT(INDEX('قاعدة البيانات'!$I$6:$I$305,$N7),10),"💬 واتساب"))</f>
        <v/>
      </c>
      <c r="L7" s="68" t="str">
        <f>IF($N7=0,"",IF(INDEX('قاعدة البيانات'!$J$6:$J$305,$N7)="","—",INDEX('قاعدة البيانات'!$J$6:$J$305,$N7)))</f>
        <v/>
      </c>
      <c r="N7">
        <f>IFERROR(MATCH(2,'قاعدة البيانات'!$W$6:$W$305,0),0)</f>
        <v>0</v>
      </c>
    </row>
    <row r="8" spans="1:14" ht="24" customHeight="1">
      <c r="A8" s="49" t="str">
        <f>IF($N8=0,"",3)</f>
        <v/>
      </c>
      <c r="B8" s="50" t="str">
        <f>IF($N8=0,"",INDEX('قاعدة البيانات'!$C$6:$C$305,$N8))</f>
        <v/>
      </c>
      <c r="C8" s="57" t="str">
        <f>IF($N8=0,"",INDEX('قاعدة البيانات'!$F$6:$F$305,$N8))</f>
        <v/>
      </c>
      <c r="D8" s="54" t="str">
        <f>IF($N8=0,"",INDEX('قاعدة البيانات'!$R$6:$R$305,$N8))</f>
        <v/>
      </c>
      <c r="E8" s="55" t="str">
        <f>IF($N8=0,"",INDEX('قاعدة البيانات'!$S$6:$S$305,$N8))</f>
        <v/>
      </c>
      <c r="F8" s="56" t="str">
        <f>IF($N8=0,"",INDEX('قاعدة البيانات'!$T$6:$T$305,$N8))</f>
        <v/>
      </c>
      <c r="G8" s="57" t="str">
        <f>IF($N8=0,"",INDEX('قاعدة البيانات'!$U$6:$U$305,$N8))</f>
        <v/>
      </c>
      <c r="H8" s="66" t="str">
        <f>IF($N8=0,"",IF(INDEX('قاعدة البيانات'!$H$6:$H$305,$N8)="","— مفيش رقم —",HYPERLINK("tel:"&amp;INDEX('قاعدة البيانات'!$H$6:$H$305,$N8),"📞 "&amp;INDEX('قاعدة البيانات'!$H$6:$H$305,$N8))))</f>
        <v/>
      </c>
      <c r="I8" s="67" t="str">
        <f>IF(OR($N8=0,INDEX('قاعدة البيانات'!$H$6:$H$305,$N8)=""),"",HYPERLINK("https://wa.me/20"&amp;RIGHT(INDEX('قاعدة البيانات'!$H$6:$H$305,$N8),10),"💬 واتساب"))</f>
        <v/>
      </c>
      <c r="J8" s="66" t="str">
        <f>IF($N8=0,"",IF(INDEX('قاعدة البيانات'!$I$6:$I$305,$N8)="","— مفيش رقم —",HYPERLINK("tel:"&amp;INDEX('قاعدة البيانات'!$I$6:$I$305,$N8),"📞 "&amp;INDEX('قاعدة البيانات'!$I$6:$I$305,$N8))))</f>
        <v/>
      </c>
      <c r="K8" s="67" t="str">
        <f>IF(OR($N8=0,INDEX('قاعدة البيانات'!$I$6:$I$305,$N8)=""),"",HYPERLINK("https://wa.me/20"&amp;RIGHT(INDEX('قاعدة البيانات'!$I$6:$I$305,$N8),10),"💬 واتساب"))</f>
        <v/>
      </c>
      <c r="L8" s="68" t="str">
        <f>IF($N8=0,"",IF(INDEX('قاعدة البيانات'!$J$6:$J$305,$N8)="","—",INDEX('قاعدة البيانات'!$J$6:$J$305,$N8)))</f>
        <v/>
      </c>
      <c r="N8">
        <f>IFERROR(MATCH(3,'قاعدة البيانات'!$W$6:$W$305,0),0)</f>
        <v>0</v>
      </c>
    </row>
    <row r="9" spans="1:14" ht="24" customHeight="1">
      <c r="A9" s="49" t="str">
        <f>IF($N9=0,"",4)</f>
        <v/>
      </c>
      <c r="B9" s="50" t="str">
        <f>IF($N9=0,"",INDEX('قاعدة البيانات'!$C$6:$C$305,$N9))</f>
        <v/>
      </c>
      <c r="C9" s="57" t="str">
        <f>IF($N9=0,"",INDEX('قاعدة البيانات'!$F$6:$F$305,$N9))</f>
        <v/>
      </c>
      <c r="D9" s="54" t="str">
        <f>IF($N9=0,"",INDEX('قاعدة البيانات'!$R$6:$R$305,$N9))</f>
        <v/>
      </c>
      <c r="E9" s="55" t="str">
        <f>IF($N9=0,"",INDEX('قاعدة البيانات'!$S$6:$S$305,$N9))</f>
        <v/>
      </c>
      <c r="F9" s="56" t="str">
        <f>IF($N9=0,"",INDEX('قاعدة البيانات'!$T$6:$T$305,$N9))</f>
        <v/>
      </c>
      <c r="G9" s="57" t="str">
        <f>IF($N9=0,"",INDEX('قاعدة البيانات'!$U$6:$U$305,$N9))</f>
        <v/>
      </c>
      <c r="H9" s="66" t="str">
        <f>IF($N9=0,"",IF(INDEX('قاعدة البيانات'!$H$6:$H$305,$N9)="","— مفيش رقم —",HYPERLINK("tel:"&amp;INDEX('قاعدة البيانات'!$H$6:$H$305,$N9),"📞 "&amp;INDEX('قاعدة البيانات'!$H$6:$H$305,$N9))))</f>
        <v/>
      </c>
      <c r="I9" s="67" t="str">
        <f>IF(OR($N9=0,INDEX('قاعدة البيانات'!$H$6:$H$305,$N9)=""),"",HYPERLINK("https://wa.me/20"&amp;RIGHT(INDEX('قاعدة البيانات'!$H$6:$H$305,$N9),10),"💬 واتساب"))</f>
        <v/>
      </c>
      <c r="J9" s="66" t="str">
        <f>IF($N9=0,"",IF(INDEX('قاعدة البيانات'!$I$6:$I$305,$N9)="","— مفيش رقم —",HYPERLINK("tel:"&amp;INDEX('قاعدة البيانات'!$I$6:$I$305,$N9),"📞 "&amp;INDEX('قاعدة البيانات'!$I$6:$I$305,$N9))))</f>
        <v/>
      </c>
      <c r="K9" s="67" t="str">
        <f>IF(OR($N9=0,INDEX('قاعدة البيانات'!$I$6:$I$305,$N9)=""),"",HYPERLINK("https://wa.me/20"&amp;RIGHT(INDEX('قاعدة البيانات'!$I$6:$I$305,$N9),10),"💬 واتساب"))</f>
        <v/>
      </c>
      <c r="L9" s="68" t="str">
        <f>IF($N9=0,"",IF(INDEX('قاعدة البيانات'!$J$6:$J$305,$N9)="","—",INDEX('قاعدة البيانات'!$J$6:$J$305,$N9)))</f>
        <v/>
      </c>
      <c r="N9">
        <f>IFERROR(MATCH(4,'قاعدة البيانات'!$W$6:$W$305,0),0)</f>
        <v>0</v>
      </c>
    </row>
    <row r="10" spans="1:14" ht="24" customHeight="1">
      <c r="A10" s="49" t="str">
        <f>IF($N10=0,"",5)</f>
        <v/>
      </c>
      <c r="B10" s="50" t="str">
        <f>IF($N10=0,"",INDEX('قاعدة البيانات'!$C$6:$C$305,$N10))</f>
        <v/>
      </c>
      <c r="C10" s="57" t="str">
        <f>IF($N10=0,"",INDEX('قاعدة البيانات'!$F$6:$F$305,$N10))</f>
        <v/>
      </c>
      <c r="D10" s="54" t="str">
        <f>IF($N10=0,"",INDEX('قاعدة البيانات'!$R$6:$R$305,$N10))</f>
        <v/>
      </c>
      <c r="E10" s="55" t="str">
        <f>IF($N10=0,"",INDEX('قاعدة البيانات'!$S$6:$S$305,$N10))</f>
        <v/>
      </c>
      <c r="F10" s="56" t="str">
        <f>IF($N10=0,"",INDEX('قاعدة البيانات'!$T$6:$T$305,$N10))</f>
        <v/>
      </c>
      <c r="G10" s="57" t="str">
        <f>IF($N10=0,"",INDEX('قاعدة البيانات'!$U$6:$U$305,$N10))</f>
        <v/>
      </c>
      <c r="H10" s="66" t="str">
        <f>IF($N10=0,"",IF(INDEX('قاعدة البيانات'!$H$6:$H$305,$N10)="","— مفيش رقم —",HYPERLINK("tel:"&amp;INDEX('قاعدة البيانات'!$H$6:$H$305,$N10),"📞 "&amp;INDEX('قاعدة البيانات'!$H$6:$H$305,$N10))))</f>
        <v/>
      </c>
      <c r="I10" s="67" t="str">
        <f>IF(OR($N10=0,INDEX('قاعدة البيانات'!$H$6:$H$305,$N10)=""),"",HYPERLINK("https://wa.me/20"&amp;RIGHT(INDEX('قاعدة البيانات'!$H$6:$H$305,$N10),10),"💬 واتساب"))</f>
        <v/>
      </c>
      <c r="J10" s="66" t="str">
        <f>IF($N10=0,"",IF(INDEX('قاعدة البيانات'!$I$6:$I$305,$N10)="","— مفيش رقم —",HYPERLINK("tel:"&amp;INDEX('قاعدة البيانات'!$I$6:$I$305,$N10),"📞 "&amp;INDEX('قاعدة البيانات'!$I$6:$I$305,$N10))))</f>
        <v/>
      </c>
      <c r="K10" s="67" t="str">
        <f>IF(OR($N10=0,INDEX('قاعدة البيانات'!$I$6:$I$305,$N10)=""),"",HYPERLINK("https://wa.me/20"&amp;RIGHT(INDEX('قاعدة البيانات'!$I$6:$I$305,$N10),10),"💬 واتساب"))</f>
        <v/>
      </c>
      <c r="L10" s="68" t="str">
        <f>IF($N10=0,"",IF(INDEX('قاعدة البيانات'!$J$6:$J$305,$N10)="","—",INDEX('قاعدة البيانات'!$J$6:$J$305,$N10)))</f>
        <v/>
      </c>
      <c r="N10">
        <f>IFERROR(MATCH(5,'قاعدة البيانات'!$W$6:$W$305,0),0)</f>
        <v>0</v>
      </c>
    </row>
    <row r="11" spans="1:14" ht="24" customHeight="1">
      <c r="A11" s="49" t="str">
        <f>IF($N11=0,"",6)</f>
        <v/>
      </c>
      <c r="B11" s="50" t="str">
        <f>IF($N11=0,"",INDEX('قاعدة البيانات'!$C$6:$C$305,$N11))</f>
        <v/>
      </c>
      <c r="C11" s="57" t="str">
        <f>IF($N11=0,"",INDEX('قاعدة البيانات'!$F$6:$F$305,$N11))</f>
        <v/>
      </c>
      <c r="D11" s="54" t="str">
        <f>IF($N11=0,"",INDEX('قاعدة البيانات'!$R$6:$R$305,$N11))</f>
        <v/>
      </c>
      <c r="E11" s="55" t="str">
        <f>IF($N11=0,"",INDEX('قاعدة البيانات'!$S$6:$S$305,$N11))</f>
        <v/>
      </c>
      <c r="F11" s="56" t="str">
        <f>IF($N11=0,"",INDEX('قاعدة البيانات'!$T$6:$T$305,$N11))</f>
        <v/>
      </c>
      <c r="G11" s="57" t="str">
        <f>IF($N11=0,"",INDEX('قاعدة البيانات'!$U$6:$U$305,$N11))</f>
        <v/>
      </c>
      <c r="H11" s="66" t="str">
        <f>IF($N11=0,"",IF(INDEX('قاعدة البيانات'!$H$6:$H$305,$N11)="","— مفيش رقم —",HYPERLINK("tel:"&amp;INDEX('قاعدة البيانات'!$H$6:$H$305,$N11),"📞 "&amp;INDEX('قاعدة البيانات'!$H$6:$H$305,$N11))))</f>
        <v/>
      </c>
      <c r="I11" s="67" t="str">
        <f>IF(OR($N11=0,INDEX('قاعدة البيانات'!$H$6:$H$305,$N11)=""),"",HYPERLINK("https://wa.me/20"&amp;RIGHT(INDEX('قاعدة البيانات'!$H$6:$H$305,$N11),10),"💬 واتساب"))</f>
        <v/>
      </c>
      <c r="J11" s="66" t="str">
        <f>IF($N11=0,"",IF(INDEX('قاعدة البيانات'!$I$6:$I$305,$N11)="","— مفيش رقم —",HYPERLINK("tel:"&amp;INDEX('قاعدة البيانات'!$I$6:$I$305,$N11),"📞 "&amp;INDEX('قاعدة البيانات'!$I$6:$I$305,$N11))))</f>
        <v/>
      </c>
      <c r="K11" s="67" t="str">
        <f>IF(OR($N11=0,INDEX('قاعدة البيانات'!$I$6:$I$305,$N11)=""),"",HYPERLINK("https://wa.me/20"&amp;RIGHT(INDEX('قاعدة البيانات'!$I$6:$I$305,$N11),10),"💬 واتساب"))</f>
        <v/>
      </c>
      <c r="L11" s="68" t="str">
        <f>IF($N11=0,"",IF(INDEX('قاعدة البيانات'!$J$6:$J$305,$N11)="","—",INDEX('قاعدة البيانات'!$J$6:$J$305,$N11)))</f>
        <v/>
      </c>
      <c r="N11">
        <f>IFERROR(MATCH(6,'قاعدة البيانات'!$W$6:$W$305,0),0)</f>
        <v>0</v>
      </c>
    </row>
    <row r="12" spans="1:14" ht="24" customHeight="1">
      <c r="A12" s="49" t="str">
        <f>IF($N12=0,"",7)</f>
        <v/>
      </c>
      <c r="B12" s="50" t="str">
        <f>IF($N12=0,"",INDEX('قاعدة البيانات'!$C$6:$C$305,$N12))</f>
        <v/>
      </c>
      <c r="C12" s="57" t="str">
        <f>IF($N12=0,"",INDEX('قاعدة البيانات'!$F$6:$F$305,$N12))</f>
        <v/>
      </c>
      <c r="D12" s="54" t="str">
        <f>IF($N12=0,"",INDEX('قاعدة البيانات'!$R$6:$R$305,$N12))</f>
        <v/>
      </c>
      <c r="E12" s="55" t="str">
        <f>IF($N12=0,"",INDEX('قاعدة البيانات'!$S$6:$S$305,$N12))</f>
        <v/>
      </c>
      <c r="F12" s="56" t="str">
        <f>IF($N12=0,"",INDEX('قاعدة البيانات'!$T$6:$T$305,$N12))</f>
        <v/>
      </c>
      <c r="G12" s="57" t="str">
        <f>IF($N12=0,"",INDEX('قاعدة البيانات'!$U$6:$U$305,$N12))</f>
        <v/>
      </c>
      <c r="H12" s="66" t="str">
        <f>IF($N12=0,"",IF(INDEX('قاعدة البيانات'!$H$6:$H$305,$N12)="","— مفيش رقم —",HYPERLINK("tel:"&amp;INDEX('قاعدة البيانات'!$H$6:$H$305,$N12),"📞 "&amp;INDEX('قاعدة البيانات'!$H$6:$H$305,$N12))))</f>
        <v/>
      </c>
      <c r="I12" s="67" t="str">
        <f>IF(OR($N12=0,INDEX('قاعدة البيانات'!$H$6:$H$305,$N12)=""),"",HYPERLINK("https://wa.me/20"&amp;RIGHT(INDEX('قاعدة البيانات'!$H$6:$H$305,$N12),10),"💬 واتساب"))</f>
        <v/>
      </c>
      <c r="J12" s="66" t="str">
        <f>IF($N12=0,"",IF(INDEX('قاعدة البيانات'!$I$6:$I$305,$N12)="","— مفيش رقم —",HYPERLINK("tel:"&amp;INDEX('قاعدة البيانات'!$I$6:$I$305,$N12),"📞 "&amp;INDEX('قاعدة البيانات'!$I$6:$I$305,$N12))))</f>
        <v/>
      </c>
      <c r="K12" s="67" t="str">
        <f>IF(OR($N12=0,INDEX('قاعدة البيانات'!$I$6:$I$305,$N12)=""),"",HYPERLINK("https://wa.me/20"&amp;RIGHT(INDEX('قاعدة البيانات'!$I$6:$I$305,$N12),10),"💬 واتساب"))</f>
        <v/>
      </c>
      <c r="L12" s="68" t="str">
        <f>IF($N12=0,"",IF(INDEX('قاعدة البيانات'!$J$6:$J$305,$N12)="","—",INDEX('قاعدة البيانات'!$J$6:$J$305,$N12)))</f>
        <v/>
      </c>
      <c r="N12">
        <f>IFERROR(MATCH(7,'قاعدة البيانات'!$W$6:$W$305,0),0)</f>
        <v>0</v>
      </c>
    </row>
    <row r="13" spans="1:14" ht="24" customHeight="1">
      <c r="A13" s="49" t="str">
        <f>IF($N13=0,"",8)</f>
        <v/>
      </c>
      <c r="B13" s="50" t="str">
        <f>IF($N13=0,"",INDEX('قاعدة البيانات'!$C$6:$C$305,$N13))</f>
        <v/>
      </c>
      <c r="C13" s="57" t="str">
        <f>IF($N13=0,"",INDEX('قاعدة البيانات'!$F$6:$F$305,$N13))</f>
        <v/>
      </c>
      <c r="D13" s="54" t="str">
        <f>IF($N13=0,"",INDEX('قاعدة البيانات'!$R$6:$R$305,$N13))</f>
        <v/>
      </c>
      <c r="E13" s="55" t="str">
        <f>IF($N13=0,"",INDEX('قاعدة البيانات'!$S$6:$S$305,$N13))</f>
        <v/>
      </c>
      <c r="F13" s="56" t="str">
        <f>IF($N13=0,"",INDEX('قاعدة البيانات'!$T$6:$T$305,$N13))</f>
        <v/>
      </c>
      <c r="G13" s="57" t="str">
        <f>IF($N13=0,"",INDEX('قاعدة البيانات'!$U$6:$U$305,$N13))</f>
        <v/>
      </c>
      <c r="H13" s="66" t="str">
        <f>IF($N13=0,"",IF(INDEX('قاعدة البيانات'!$H$6:$H$305,$N13)="","— مفيش رقم —",HYPERLINK("tel:"&amp;INDEX('قاعدة البيانات'!$H$6:$H$305,$N13),"📞 "&amp;INDEX('قاعدة البيانات'!$H$6:$H$305,$N13))))</f>
        <v/>
      </c>
      <c r="I13" s="67" t="str">
        <f>IF(OR($N13=0,INDEX('قاعدة البيانات'!$H$6:$H$305,$N13)=""),"",HYPERLINK("https://wa.me/20"&amp;RIGHT(INDEX('قاعدة البيانات'!$H$6:$H$305,$N13),10),"💬 واتساب"))</f>
        <v/>
      </c>
      <c r="J13" s="66" t="str">
        <f>IF($N13=0,"",IF(INDEX('قاعدة البيانات'!$I$6:$I$305,$N13)="","— مفيش رقم —",HYPERLINK("tel:"&amp;INDEX('قاعدة البيانات'!$I$6:$I$305,$N13),"📞 "&amp;INDEX('قاعدة البيانات'!$I$6:$I$305,$N13))))</f>
        <v/>
      </c>
      <c r="K13" s="67" t="str">
        <f>IF(OR($N13=0,INDEX('قاعدة البيانات'!$I$6:$I$305,$N13)=""),"",HYPERLINK("https://wa.me/20"&amp;RIGHT(INDEX('قاعدة البيانات'!$I$6:$I$305,$N13),10),"💬 واتساب"))</f>
        <v/>
      </c>
      <c r="L13" s="68" t="str">
        <f>IF($N13=0,"",IF(INDEX('قاعدة البيانات'!$J$6:$J$305,$N13)="","—",INDEX('قاعدة البيانات'!$J$6:$J$305,$N13)))</f>
        <v/>
      </c>
      <c r="N13">
        <f>IFERROR(MATCH(8,'قاعدة البيانات'!$W$6:$W$305,0),0)</f>
        <v>0</v>
      </c>
    </row>
    <row r="14" spans="1:14" ht="24" customHeight="1">
      <c r="A14" s="49" t="str">
        <f>IF($N14=0,"",9)</f>
        <v/>
      </c>
      <c r="B14" s="50" t="str">
        <f>IF($N14=0,"",INDEX('قاعدة البيانات'!$C$6:$C$305,$N14))</f>
        <v/>
      </c>
      <c r="C14" s="57" t="str">
        <f>IF($N14=0,"",INDEX('قاعدة البيانات'!$F$6:$F$305,$N14))</f>
        <v/>
      </c>
      <c r="D14" s="54" t="str">
        <f>IF($N14=0,"",INDEX('قاعدة البيانات'!$R$6:$R$305,$N14))</f>
        <v/>
      </c>
      <c r="E14" s="55" t="str">
        <f>IF($N14=0,"",INDEX('قاعدة البيانات'!$S$6:$S$305,$N14))</f>
        <v/>
      </c>
      <c r="F14" s="56" t="str">
        <f>IF($N14=0,"",INDEX('قاعدة البيانات'!$T$6:$T$305,$N14))</f>
        <v/>
      </c>
      <c r="G14" s="57" t="str">
        <f>IF($N14=0,"",INDEX('قاعدة البيانات'!$U$6:$U$305,$N14))</f>
        <v/>
      </c>
      <c r="H14" s="66" t="str">
        <f>IF($N14=0,"",IF(INDEX('قاعدة البيانات'!$H$6:$H$305,$N14)="","— مفيش رقم —",HYPERLINK("tel:"&amp;INDEX('قاعدة البيانات'!$H$6:$H$305,$N14),"📞 "&amp;INDEX('قاعدة البيانات'!$H$6:$H$305,$N14))))</f>
        <v/>
      </c>
      <c r="I14" s="67" t="str">
        <f>IF(OR($N14=0,INDEX('قاعدة البيانات'!$H$6:$H$305,$N14)=""),"",HYPERLINK("https://wa.me/20"&amp;RIGHT(INDEX('قاعدة البيانات'!$H$6:$H$305,$N14),10),"💬 واتساب"))</f>
        <v/>
      </c>
      <c r="J14" s="66" t="str">
        <f>IF($N14=0,"",IF(INDEX('قاعدة البيانات'!$I$6:$I$305,$N14)="","— مفيش رقم —",HYPERLINK("tel:"&amp;INDEX('قاعدة البيانات'!$I$6:$I$305,$N14),"📞 "&amp;INDEX('قاعدة البيانات'!$I$6:$I$305,$N14))))</f>
        <v/>
      </c>
      <c r="K14" s="67" t="str">
        <f>IF(OR($N14=0,INDEX('قاعدة البيانات'!$I$6:$I$305,$N14)=""),"",HYPERLINK("https://wa.me/20"&amp;RIGHT(INDEX('قاعدة البيانات'!$I$6:$I$305,$N14),10),"💬 واتساب"))</f>
        <v/>
      </c>
      <c r="L14" s="68" t="str">
        <f>IF($N14=0,"",IF(INDEX('قاعدة البيانات'!$J$6:$J$305,$N14)="","—",INDEX('قاعدة البيانات'!$J$6:$J$305,$N14)))</f>
        <v/>
      </c>
      <c r="N14">
        <f>IFERROR(MATCH(9,'قاعدة البيانات'!$W$6:$W$305,0),0)</f>
        <v>0</v>
      </c>
    </row>
    <row r="15" spans="1:14" ht="24" customHeight="1">
      <c r="A15" s="49" t="str">
        <f>IF($N15=0,"",10)</f>
        <v/>
      </c>
      <c r="B15" s="50" t="str">
        <f>IF($N15=0,"",INDEX('قاعدة البيانات'!$C$6:$C$305,$N15))</f>
        <v/>
      </c>
      <c r="C15" s="57" t="str">
        <f>IF($N15=0,"",INDEX('قاعدة البيانات'!$F$6:$F$305,$N15))</f>
        <v/>
      </c>
      <c r="D15" s="54" t="str">
        <f>IF($N15=0,"",INDEX('قاعدة البيانات'!$R$6:$R$305,$N15))</f>
        <v/>
      </c>
      <c r="E15" s="55" t="str">
        <f>IF($N15=0,"",INDEX('قاعدة البيانات'!$S$6:$S$305,$N15))</f>
        <v/>
      </c>
      <c r="F15" s="56" t="str">
        <f>IF($N15=0,"",INDEX('قاعدة البيانات'!$T$6:$T$305,$N15))</f>
        <v/>
      </c>
      <c r="G15" s="57" t="str">
        <f>IF($N15=0,"",INDEX('قاعدة البيانات'!$U$6:$U$305,$N15))</f>
        <v/>
      </c>
      <c r="H15" s="66" t="str">
        <f>IF($N15=0,"",IF(INDEX('قاعدة البيانات'!$H$6:$H$305,$N15)="","— مفيش رقم —",HYPERLINK("tel:"&amp;INDEX('قاعدة البيانات'!$H$6:$H$305,$N15),"📞 "&amp;INDEX('قاعدة البيانات'!$H$6:$H$305,$N15))))</f>
        <v/>
      </c>
      <c r="I15" s="67" t="str">
        <f>IF(OR($N15=0,INDEX('قاعدة البيانات'!$H$6:$H$305,$N15)=""),"",HYPERLINK("https://wa.me/20"&amp;RIGHT(INDEX('قاعدة البيانات'!$H$6:$H$305,$N15),10),"💬 واتساب"))</f>
        <v/>
      </c>
      <c r="J15" s="66" t="str">
        <f>IF($N15=0,"",IF(INDEX('قاعدة البيانات'!$I$6:$I$305,$N15)="","— مفيش رقم —",HYPERLINK("tel:"&amp;INDEX('قاعدة البيانات'!$I$6:$I$305,$N15),"📞 "&amp;INDEX('قاعدة البيانات'!$I$6:$I$305,$N15))))</f>
        <v/>
      </c>
      <c r="K15" s="67" t="str">
        <f>IF(OR($N15=0,INDEX('قاعدة البيانات'!$I$6:$I$305,$N15)=""),"",HYPERLINK("https://wa.me/20"&amp;RIGHT(INDEX('قاعدة البيانات'!$I$6:$I$305,$N15),10),"💬 واتساب"))</f>
        <v/>
      </c>
      <c r="L15" s="68" t="str">
        <f>IF($N15=0,"",IF(INDEX('قاعدة البيانات'!$J$6:$J$305,$N15)="","—",INDEX('قاعدة البيانات'!$J$6:$J$305,$N15)))</f>
        <v/>
      </c>
      <c r="N15">
        <f>IFERROR(MATCH(10,'قاعدة البيانات'!$W$6:$W$305,0),0)</f>
        <v>0</v>
      </c>
    </row>
    <row r="16" spans="1:14" ht="24" customHeight="1">
      <c r="A16" s="49" t="str">
        <f>IF($N16=0,"",11)</f>
        <v/>
      </c>
      <c r="B16" s="50" t="str">
        <f>IF($N16=0,"",INDEX('قاعدة البيانات'!$C$6:$C$305,$N16))</f>
        <v/>
      </c>
      <c r="C16" s="57" t="str">
        <f>IF($N16=0,"",INDEX('قاعدة البيانات'!$F$6:$F$305,$N16))</f>
        <v/>
      </c>
      <c r="D16" s="54" t="str">
        <f>IF($N16=0,"",INDEX('قاعدة البيانات'!$R$6:$R$305,$N16))</f>
        <v/>
      </c>
      <c r="E16" s="55" t="str">
        <f>IF($N16=0,"",INDEX('قاعدة البيانات'!$S$6:$S$305,$N16))</f>
        <v/>
      </c>
      <c r="F16" s="56" t="str">
        <f>IF($N16=0,"",INDEX('قاعدة البيانات'!$T$6:$T$305,$N16))</f>
        <v/>
      </c>
      <c r="G16" s="57" t="str">
        <f>IF($N16=0,"",INDEX('قاعدة البيانات'!$U$6:$U$305,$N16))</f>
        <v/>
      </c>
      <c r="H16" s="66" t="str">
        <f>IF($N16=0,"",IF(INDEX('قاعدة البيانات'!$H$6:$H$305,$N16)="","— مفيش رقم —",HYPERLINK("tel:"&amp;INDEX('قاعدة البيانات'!$H$6:$H$305,$N16),"📞 "&amp;INDEX('قاعدة البيانات'!$H$6:$H$305,$N16))))</f>
        <v/>
      </c>
      <c r="I16" s="67" t="str">
        <f>IF(OR($N16=0,INDEX('قاعدة البيانات'!$H$6:$H$305,$N16)=""),"",HYPERLINK("https://wa.me/20"&amp;RIGHT(INDEX('قاعدة البيانات'!$H$6:$H$305,$N16),10),"💬 واتساب"))</f>
        <v/>
      </c>
      <c r="J16" s="66" t="str">
        <f>IF($N16=0,"",IF(INDEX('قاعدة البيانات'!$I$6:$I$305,$N16)="","— مفيش رقم —",HYPERLINK("tel:"&amp;INDEX('قاعدة البيانات'!$I$6:$I$305,$N16),"📞 "&amp;INDEX('قاعدة البيانات'!$I$6:$I$305,$N16))))</f>
        <v/>
      </c>
      <c r="K16" s="67" t="str">
        <f>IF(OR($N16=0,INDEX('قاعدة البيانات'!$I$6:$I$305,$N16)=""),"",HYPERLINK("https://wa.me/20"&amp;RIGHT(INDEX('قاعدة البيانات'!$I$6:$I$305,$N16),10),"💬 واتساب"))</f>
        <v/>
      </c>
      <c r="L16" s="68" t="str">
        <f>IF($N16=0,"",IF(INDEX('قاعدة البيانات'!$J$6:$J$305,$N16)="","—",INDEX('قاعدة البيانات'!$J$6:$J$305,$N16)))</f>
        <v/>
      </c>
      <c r="N16">
        <f>IFERROR(MATCH(11,'قاعدة البيانات'!$W$6:$W$305,0),0)</f>
        <v>0</v>
      </c>
    </row>
    <row r="17" spans="1:14" ht="24" customHeight="1">
      <c r="A17" s="49" t="str">
        <f>IF($N17=0,"",12)</f>
        <v/>
      </c>
      <c r="B17" s="50" t="str">
        <f>IF($N17=0,"",INDEX('قاعدة البيانات'!$C$6:$C$305,$N17))</f>
        <v/>
      </c>
      <c r="C17" s="57" t="str">
        <f>IF($N17=0,"",INDEX('قاعدة البيانات'!$F$6:$F$305,$N17))</f>
        <v/>
      </c>
      <c r="D17" s="54" t="str">
        <f>IF($N17=0,"",INDEX('قاعدة البيانات'!$R$6:$R$305,$N17))</f>
        <v/>
      </c>
      <c r="E17" s="55" t="str">
        <f>IF($N17=0,"",INDEX('قاعدة البيانات'!$S$6:$S$305,$N17))</f>
        <v/>
      </c>
      <c r="F17" s="56" t="str">
        <f>IF($N17=0,"",INDEX('قاعدة البيانات'!$T$6:$T$305,$N17))</f>
        <v/>
      </c>
      <c r="G17" s="57" t="str">
        <f>IF($N17=0,"",INDEX('قاعدة البيانات'!$U$6:$U$305,$N17))</f>
        <v/>
      </c>
      <c r="H17" s="66" t="str">
        <f>IF($N17=0,"",IF(INDEX('قاعدة البيانات'!$H$6:$H$305,$N17)="","— مفيش رقم —",HYPERLINK("tel:"&amp;INDEX('قاعدة البيانات'!$H$6:$H$305,$N17),"📞 "&amp;INDEX('قاعدة البيانات'!$H$6:$H$305,$N17))))</f>
        <v/>
      </c>
      <c r="I17" s="67" t="str">
        <f>IF(OR($N17=0,INDEX('قاعدة البيانات'!$H$6:$H$305,$N17)=""),"",HYPERLINK("https://wa.me/20"&amp;RIGHT(INDEX('قاعدة البيانات'!$H$6:$H$305,$N17),10),"💬 واتساب"))</f>
        <v/>
      </c>
      <c r="J17" s="66" t="str">
        <f>IF($N17=0,"",IF(INDEX('قاعدة البيانات'!$I$6:$I$305,$N17)="","— مفيش رقم —",HYPERLINK("tel:"&amp;INDEX('قاعدة البيانات'!$I$6:$I$305,$N17),"📞 "&amp;INDEX('قاعدة البيانات'!$I$6:$I$305,$N17))))</f>
        <v/>
      </c>
      <c r="K17" s="67" t="str">
        <f>IF(OR($N17=0,INDEX('قاعدة البيانات'!$I$6:$I$305,$N17)=""),"",HYPERLINK("https://wa.me/20"&amp;RIGHT(INDEX('قاعدة البيانات'!$I$6:$I$305,$N17),10),"💬 واتساب"))</f>
        <v/>
      </c>
      <c r="L17" s="68" t="str">
        <f>IF($N17=0,"",IF(INDEX('قاعدة البيانات'!$J$6:$J$305,$N17)="","—",INDEX('قاعدة البيانات'!$J$6:$J$305,$N17)))</f>
        <v/>
      </c>
      <c r="N17">
        <f>IFERROR(MATCH(12,'قاعدة البيانات'!$W$6:$W$305,0),0)</f>
        <v>0</v>
      </c>
    </row>
    <row r="18" spans="1:14" ht="24" customHeight="1">
      <c r="A18" s="49" t="str">
        <f>IF($N18=0,"",13)</f>
        <v/>
      </c>
      <c r="B18" s="50" t="str">
        <f>IF($N18=0,"",INDEX('قاعدة البيانات'!$C$6:$C$305,$N18))</f>
        <v/>
      </c>
      <c r="C18" s="57" t="str">
        <f>IF($N18=0,"",INDEX('قاعدة البيانات'!$F$6:$F$305,$N18))</f>
        <v/>
      </c>
      <c r="D18" s="54" t="str">
        <f>IF($N18=0,"",INDEX('قاعدة البيانات'!$R$6:$R$305,$N18))</f>
        <v/>
      </c>
      <c r="E18" s="55" t="str">
        <f>IF($N18=0,"",INDEX('قاعدة البيانات'!$S$6:$S$305,$N18))</f>
        <v/>
      </c>
      <c r="F18" s="56" t="str">
        <f>IF($N18=0,"",INDEX('قاعدة البيانات'!$T$6:$T$305,$N18))</f>
        <v/>
      </c>
      <c r="G18" s="57" t="str">
        <f>IF($N18=0,"",INDEX('قاعدة البيانات'!$U$6:$U$305,$N18))</f>
        <v/>
      </c>
      <c r="H18" s="66" t="str">
        <f>IF($N18=0,"",IF(INDEX('قاعدة البيانات'!$H$6:$H$305,$N18)="","— مفيش رقم —",HYPERLINK("tel:"&amp;INDEX('قاعدة البيانات'!$H$6:$H$305,$N18),"📞 "&amp;INDEX('قاعدة البيانات'!$H$6:$H$305,$N18))))</f>
        <v/>
      </c>
      <c r="I18" s="67" t="str">
        <f>IF(OR($N18=0,INDEX('قاعدة البيانات'!$H$6:$H$305,$N18)=""),"",HYPERLINK("https://wa.me/20"&amp;RIGHT(INDEX('قاعدة البيانات'!$H$6:$H$305,$N18),10),"💬 واتساب"))</f>
        <v/>
      </c>
      <c r="J18" s="66" t="str">
        <f>IF($N18=0,"",IF(INDEX('قاعدة البيانات'!$I$6:$I$305,$N18)="","— مفيش رقم —",HYPERLINK("tel:"&amp;INDEX('قاعدة البيانات'!$I$6:$I$305,$N18),"📞 "&amp;INDEX('قاعدة البيانات'!$I$6:$I$305,$N18))))</f>
        <v/>
      </c>
      <c r="K18" s="67" t="str">
        <f>IF(OR($N18=0,INDEX('قاعدة البيانات'!$I$6:$I$305,$N18)=""),"",HYPERLINK("https://wa.me/20"&amp;RIGHT(INDEX('قاعدة البيانات'!$I$6:$I$305,$N18),10),"💬 واتساب"))</f>
        <v/>
      </c>
      <c r="L18" s="68" t="str">
        <f>IF($N18=0,"",IF(INDEX('قاعدة البيانات'!$J$6:$J$305,$N18)="","—",INDEX('قاعدة البيانات'!$J$6:$J$305,$N18)))</f>
        <v/>
      </c>
      <c r="N18">
        <f>IFERROR(MATCH(13,'قاعدة البيانات'!$W$6:$W$305,0),0)</f>
        <v>0</v>
      </c>
    </row>
    <row r="19" spans="1:14" ht="24" customHeight="1">
      <c r="A19" s="49" t="str">
        <f>IF($N19=0,"",14)</f>
        <v/>
      </c>
      <c r="B19" s="50" t="str">
        <f>IF($N19=0,"",INDEX('قاعدة البيانات'!$C$6:$C$305,$N19))</f>
        <v/>
      </c>
      <c r="C19" s="57" t="str">
        <f>IF($N19=0,"",INDEX('قاعدة البيانات'!$F$6:$F$305,$N19))</f>
        <v/>
      </c>
      <c r="D19" s="54" t="str">
        <f>IF($N19=0,"",INDEX('قاعدة البيانات'!$R$6:$R$305,$N19))</f>
        <v/>
      </c>
      <c r="E19" s="55" t="str">
        <f>IF($N19=0,"",INDEX('قاعدة البيانات'!$S$6:$S$305,$N19))</f>
        <v/>
      </c>
      <c r="F19" s="56" t="str">
        <f>IF($N19=0,"",INDEX('قاعدة البيانات'!$T$6:$T$305,$N19))</f>
        <v/>
      </c>
      <c r="G19" s="57" t="str">
        <f>IF($N19=0,"",INDEX('قاعدة البيانات'!$U$6:$U$305,$N19))</f>
        <v/>
      </c>
      <c r="H19" s="66" t="str">
        <f>IF($N19=0,"",IF(INDEX('قاعدة البيانات'!$H$6:$H$305,$N19)="","— مفيش رقم —",HYPERLINK("tel:"&amp;INDEX('قاعدة البيانات'!$H$6:$H$305,$N19),"📞 "&amp;INDEX('قاعدة البيانات'!$H$6:$H$305,$N19))))</f>
        <v/>
      </c>
      <c r="I19" s="67" t="str">
        <f>IF(OR($N19=0,INDEX('قاعدة البيانات'!$H$6:$H$305,$N19)=""),"",HYPERLINK("https://wa.me/20"&amp;RIGHT(INDEX('قاعدة البيانات'!$H$6:$H$305,$N19),10),"💬 واتساب"))</f>
        <v/>
      </c>
      <c r="J19" s="66" t="str">
        <f>IF($N19=0,"",IF(INDEX('قاعدة البيانات'!$I$6:$I$305,$N19)="","— مفيش رقم —",HYPERLINK("tel:"&amp;INDEX('قاعدة البيانات'!$I$6:$I$305,$N19),"📞 "&amp;INDEX('قاعدة البيانات'!$I$6:$I$305,$N19))))</f>
        <v/>
      </c>
      <c r="K19" s="67" t="str">
        <f>IF(OR($N19=0,INDEX('قاعدة البيانات'!$I$6:$I$305,$N19)=""),"",HYPERLINK("https://wa.me/20"&amp;RIGHT(INDEX('قاعدة البيانات'!$I$6:$I$305,$N19),10),"💬 واتساب"))</f>
        <v/>
      </c>
      <c r="L19" s="68" t="str">
        <f>IF($N19=0,"",IF(INDEX('قاعدة البيانات'!$J$6:$J$305,$N19)="","—",INDEX('قاعدة البيانات'!$J$6:$J$305,$N19)))</f>
        <v/>
      </c>
      <c r="N19">
        <f>IFERROR(MATCH(14,'قاعدة البيانات'!$W$6:$W$305,0),0)</f>
        <v>0</v>
      </c>
    </row>
    <row r="20" spans="1:14" ht="24" customHeight="1">
      <c r="A20" s="49" t="str">
        <f>IF($N20=0,"",15)</f>
        <v/>
      </c>
      <c r="B20" s="50" t="str">
        <f>IF($N20=0,"",INDEX('قاعدة البيانات'!$C$6:$C$305,$N20))</f>
        <v/>
      </c>
      <c r="C20" s="57" t="str">
        <f>IF($N20=0,"",INDEX('قاعدة البيانات'!$F$6:$F$305,$N20))</f>
        <v/>
      </c>
      <c r="D20" s="54" t="str">
        <f>IF($N20=0,"",INDEX('قاعدة البيانات'!$R$6:$R$305,$N20))</f>
        <v/>
      </c>
      <c r="E20" s="55" t="str">
        <f>IF($N20=0,"",INDEX('قاعدة البيانات'!$S$6:$S$305,$N20))</f>
        <v/>
      </c>
      <c r="F20" s="56" t="str">
        <f>IF($N20=0,"",INDEX('قاعدة البيانات'!$T$6:$T$305,$N20))</f>
        <v/>
      </c>
      <c r="G20" s="57" t="str">
        <f>IF($N20=0,"",INDEX('قاعدة البيانات'!$U$6:$U$305,$N20))</f>
        <v/>
      </c>
      <c r="H20" s="66" t="str">
        <f>IF($N20=0,"",IF(INDEX('قاعدة البيانات'!$H$6:$H$305,$N20)="","— مفيش رقم —",HYPERLINK("tel:"&amp;INDEX('قاعدة البيانات'!$H$6:$H$305,$N20),"📞 "&amp;INDEX('قاعدة البيانات'!$H$6:$H$305,$N20))))</f>
        <v/>
      </c>
      <c r="I20" s="67" t="str">
        <f>IF(OR($N20=0,INDEX('قاعدة البيانات'!$H$6:$H$305,$N20)=""),"",HYPERLINK("https://wa.me/20"&amp;RIGHT(INDEX('قاعدة البيانات'!$H$6:$H$305,$N20),10),"💬 واتساب"))</f>
        <v/>
      </c>
      <c r="J20" s="66" t="str">
        <f>IF($N20=0,"",IF(INDEX('قاعدة البيانات'!$I$6:$I$305,$N20)="","— مفيش رقم —",HYPERLINK("tel:"&amp;INDEX('قاعدة البيانات'!$I$6:$I$305,$N20),"📞 "&amp;INDEX('قاعدة البيانات'!$I$6:$I$305,$N20))))</f>
        <v/>
      </c>
      <c r="K20" s="67" t="str">
        <f>IF(OR($N20=0,INDEX('قاعدة البيانات'!$I$6:$I$305,$N20)=""),"",HYPERLINK("https://wa.me/20"&amp;RIGHT(INDEX('قاعدة البيانات'!$I$6:$I$305,$N20),10),"💬 واتساب"))</f>
        <v/>
      </c>
      <c r="L20" s="68" t="str">
        <f>IF($N20=0,"",IF(INDEX('قاعدة البيانات'!$J$6:$J$305,$N20)="","—",INDEX('قاعدة البيانات'!$J$6:$J$305,$N20)))</f>
        <v/>
      </c>
      <c r="N20">
        <f>IFERROR(MATCH(15,'قاعدة البيانات'!$W$6:$W$305,0),0)</f>
        <v>0</v>
      </c>
    </row>
    <row r="21" spans="1:14" ht="24" customHeight="1">
      <c r="A21" s="49" t="str">
        <f>IF($N21=0,"",16)</f>
        <v/>
      </c>
      <c r="B21" s="50" t="str">
        <f>IF($N21=0,"",INDEX('قاعدة البيانات'!$C$6:$C$305,$N21))</f>
        <v/>
      </c>
      <c r="C21" s="57" t="str">
        <f>IF($N21=0,"",INDEX('قاعدة البيانات'!$F$6:$F$305,$N21))</f>
        <v/>
      </c>
      <c r="D21" s="54" t="str">
        <f>IF($N21=0,"",INDEX('قاعدة البيانات'!$R$6:$R$305,$N21))</f>
        <v/>
      </c>
      <c r="E21" s="55" t="str">
        <f>IF($N21=0,"",INDEX('قاعدة البيانات'!$S$6:$S$305,$N21))</f>
        <v/>
      </c>
      <c r="F21" s="56" t="str">
        <f>IF($N21=0,"",INDEX('قاعدة البيانات'!$T$6:$T$305,$N21))</f>
        <v/>
      </c>
      <c r="G21" s="57" t="str">
        <f>IF($N21=0,"",INDEX('قاعدة البيانات'!$U$6:$U$305,$N21))</f>
        <v/>
      </c>
      <c r="H21" s="66" t="str">
        <f>IF($N21=0,"",IF(INDEX('قاعدة البيانات'!$H$6:$H$305,$N21)="","— مفيش رقم —",HYPERLINK("tel:"&amp;INDEX('قاعدة البيانات'!$H$6:$H$305,$N21),"📞 "&amp;INDEX('قاعدة البيانات'!$H$6:$H$305,$N21))))</f>
        <v/>
      </c>
      <c r="I21" s="67" t="str">
        <f>IF(OR($N21=0,INDEX('قاعدة البيانات'!$H$6:$H$305,$N21)=""),"",HYPERLINK("https://wa.me/20"&amp;RIGHT(INDEX('قاعدة البيانات'!$H$6:$H$305,$N21),10),"💬 واتساب"))</f>
        <v/>
      </c>
      <c r="J21" s="66" t="str">
        <f>IF($N21=0,"",IF(INDEX('قاعدة البيانات'!$I$6:$I$305,$N21)="","— مفيش رقم —",HYPERLINK("tel:"&amp;INDEX('قاعدة البيانات'!$I$6:$I$305,$N21),"📞 "&amp;INDEX('قاعدة البيانات'!$I$6:$I$305,$N21))))</f>
        <v/>
      </c>
      <c r="K21" s="67" t="str">
        <f>IF(OR($N21=0,INDEX('قاعدة البيانات'!$I$6:$I$305,$N21)=""),"",HYPERLINK("https://wa.me/20"&amp;RIGHT(INDEX('قاعدة البيانات'!$I$6:$I$305,$N21),10),"💬 واتساب"))</f>
        <v/>
      </c>
      <c r="L21" s="68" t="str">
        <f>IF($N21=0,"",IF(INDEX('قاعدة البيانات'!$J$6:$J$305,$N21)="","—",INDEX('قاعدة البيانات'!$J$6:$J$305,$N21)))</f>
        <v/>
      </c>
      <c r="N21">
        <f>IFERROR(MATCH(16,'قاعدة البيانات'!$W$6:$W$305,0),0)</f>
        <v>0</v>
      </c>
    </row>
    <row r="22" spans="1:14" ht="24" customHeight="1">
      <c r="A22" s="49" t="str">
        <f>IF($N22=0,"",17)</f>
        <v/>
      </c>
      <c r="B22" s="50" t="str">
        <f>IF($N22=0,"",INDEX('قاعدة البيانات'!$C$6:$C$305,$N22))</f>
        <v/>
      </c>
      <c r="C22" s="57" t="str">
        <f>IF($N22=0,"",INDEX('قاعدة البيانات'!$F$6:$F$305,$N22))</f>
        <v/>
      </c>
      <c r="D22" s="54" t="str">
        <f>IF($N22=0,"",INDEX('قاعدة البيانات'!$R$6:$R$305,$N22))</f>
        <v/>
      </c>
      <c r="E22" s="55" t="str">
        <f>IF($N22=0,"",INDEX('قاعدة البيانات'!$S$6:$S$305,$N22))</f>
        <v/>
      </c>
      <c r="F22" s="56" t="str">
        <f>IF($N22=0,"",INDEX('قاعدة البيانات'!$T$6:$T$305,$N22))</f>
        <v/>
      </c>
      <c r="G22" s="57" t="str">
        <f>IF($N22=0,"",INDEX('قاعدة البيانات'!$U$6:$U$305,$N22))</f>
        <v/>
      </c>
      <c r="H22" s="66" t="str">
        <f>IF($N22=0,"",IF(INDEX('قاعدة البيانات'!$H$6:$H$305,$N22)="","— مفيش رقم —",HYPERLINK("tel:"&amp;INDEX('قاعدة البيانات'!$H$6:$H$305,$N22),"📞 "&amp;INDEX('قاعدة البيانات'!$H$6:$H$305,$N22))))</f>
        <v/>
      </c>
      <c r="I22" s="67" t="str">
        <f>IF(OR($N22=0,INDEX('قاعدة البيانات'!$H$6:$H$305,$N22)=""),"",HYPERLINK("https://wa.me/20"&amp;RIGHT(INDEX('قاعدة البيانات'!$H$6:$H$305,$N22),10),"💬 واتساب"))</f>
        <v/>
      </c>
      <c r="J22" s="66" t="str">
        <f>IF($N22=0,"",IF(INDEX('قاعدة البيانات'!$I$6:$I$305,$N22)="","— مفيش رقم —",HYPERLINK("tel:"&amp;INDEX('قاعدة البيانات'!$I$6:$I$305,$N22),"📞 "&amp;INDEX('قاعدة البيانات'!$I$6:$I$305,$N22))))</f>
        <v/>
      </c>
      <c r="K22" s="67" t="str">
        <f>IF(OR($N22=0,INDEX('قاعدة البيانات'!$I$6:$I$305,$N22)=""),"",HYPERLINK("https://wa.me/20"&amp;RIGHT(INDEX('قاعدة البيانات'!$I$6:$I$305,$N22),10),"💬 واتساب"))</f>
        <v/>
      </c>
      <c r="L22" s="68" t="str">
        <f>IF($N22=0,"",IF(INDEX('قاعدة البيانات'!$J$6:$J$305,$N22)="","—",INDEX('قاعدة البيانات'!$J$6:$J$305,$N22)))</f>
        <v/>
      </c>
      <c r="N22">
        <f>IFERROR(MATCH(17,'قاعدة البيانات'!$W$6:$W$305,0),0)</f>
        <v>0</v>
      </c>
    </row>
    <row r="23" spans="1:14" ht="24" customHeight="1">
      <c r="A23" s="49" t="str">
        <f>IF($N23=0,"",18)</f>
        <v/>
      </c>
      <c r="B23" s="50" t="str">
        <f>IF($N23=0,"",INDEX('قاعدة البيانات'!$C$6:$C$305,$N23))</f>
        <v/>
      </c>
      <c r="C23" s="57" t="str">
        <f>IF($N23=0,"",INDEX('قاعدة البيانات'!$F$6:$F$305,$N23))</f>
        <v/>
      </c>
      <c r="D23" s="54" t="str">
        <f>IF($N23=0,"",INDEX('قاعدة البيانات'!$R$6:$R$305,$N23))</f>
        <v/>
      </c>
      <c r="E23" s="55" t="str">
        <f>IF($N23=0,"",INDEX('قاعدة البيانات'!$S$6:$S$305,$N23))</f>
        <v/>
      </c>
      <c r="F23" s="56" t="str">
        <f>IF($N23=0,"",INDEX('قاعدة البيانات'!$T$6:$T$305,$N23))</f>
        <v/>
      </c>
      <c r="G23" s="57" t="str">
        <f>IF($N23=0,"",INDEX('قاعدة البيانات'!$U$6:$U$305,$N23))</f>
        <v/>
      </c>
      <c r="H23" s="66" t="str">
        <f>IF($N23=0,"",IF(INDEX('قاعدة البيانات'!$H$6:$H$305,$N23)="","— مفيش رقم —",HYPERLINK("tel:"&amp;INDEX('قاعدة البيانات'!$H$6:$H$305,$N23),"📞 "&amp;INDEX('قاعدة البيانات'!$H$6:$H$305,$N23))))</f>
        <v/>
      </c>
      <c r="I23" s="67" t="str">
        <f>IF(OR($N23=0,INDEX('قاعدة البيانات'!$H$6:$H$305,$N23)=""),"",HYPERLINK("https://wa.me/20"&amp;RIGHT(INDEX('قاعدة البيانات'!$H$6:$H$305,$N23),10),"💬 واتساب"))</f>
        <v/>
      </c>
      <c r="J23" s="66" t="str">
        <f>IF($N23=0,"",IF(INDEX('قاعدة البيانات'!$I$6:$I$305,$N23)="","— مفيش رقم —",HYPERLINK("tel:"&amp;INDEX('قاعدة البيانات'!$I$6:$I$305,$N23),"📞 "&amp;INDEX('قاعدة البيانات'!$I$6:$I$305,$N23))))</f>
        <v/>
      </c>
      <c r="K23" s="67" t="str">
        <f>IF(OR($N23=0,INDEX('قاعدة البيانات'!$I$6:$I$305,$N23)=""),"",HYPERLINK("https://wa.me/20"&amp;RIGHT(INDEX('قاعدة البيانات'!$I$6:$I$305,$N23),10),"💬 واتساب"))</f>
        <v/>
      </c>
      <c r="L23" s="68" t="str">
        <f>IF($N23=0,"",IF(INDEX('قاعدة البيانات'!$J$6:$J$305,$N23)="","—",INDEX('قاعدة البيانات'!$J$6:$J$305,$N23)))</f>
        <v/>
      </c>
      <c r="N23">
        <f>IFERROR(MATCH(18,'قاعدة البيانات'!$W$6:$W$305,0),0)</f>
        <v>0</v>
      </c>
    </row>
    <row r="24" spans="1:14" ht="24" customHeight="1">
      <c r="A24" s="49" t="str">
        <f>IF($N24=0,"",19)</f>
        <v/>
      </c>
      <c r="B24" s="50" t="str">
        <f>IF($N24=0,"",INDEX('قاعدة البيانات'!$C$6:$C$305,$N24))</f>
        <v/>
      </c>
      <c r="C24" s="57" t="str">
        <f>IF($N24=0,"",INDEX('قاعدة البيانات'!$F$6:$F$305,$N24))</f>
        <v/>
      </c>
      <c r="D24" s="54" t="str">
        <f>IF($N24=0,"",INDEX('قاعدة البيانات'!$R$6:$R$305,$N24))</f>
        <v/>
      </c>
      <c r="E24" s="55" t="str">
        <f>IF($N24=0,"",INDEX('قاعدة البيانات'!$S$6:$S$305,$N24))</f>
        <v/>
      </c>
      <c r="F24" s="56" t="str">
        <f>IF($N24=0,"",INDEX('قاعدة البيانات'!$T$6:$T$305,$N24))</f>
        <v/>
      </c>
      <c r="G24" s="57" t="str">
        <f>IF($N24=0,"",INDEX('قاعدة البيانات'!$U$6:$U$305,$N24))</f>
        <v/>
      </c>
      <c r="H24" s="66" t="str">
        <f>IF($N24=0,"",IF(INDEX('قاعدة البيانات'!$H$6:$H$305,$N24)="","— مفيش رقم —",HYPERLINK("tel:"&amp;INDEX('قاعدة البيانات'!$H$6:$H$305,$N24),"📞 "&amp;INDEX('قاعدة البيانات'!$H$6:$H$305,$N24))))</f>
        <v/>
      </c>
      <c r="I24" s="67" t="str">
        <f>IF(OR($N24=0,INDEX('قاعدة البيانات'!$H$6:$H$305,$N24)=""),"",HYPERLINK("https://wa.me/20"&amp;RIGHT(INDEX('قاعدة البيانات'!$H$6:$H$305,$N24),10),"💬 واتساب"))</f>
        <v/>
      </c>
      <c r="J24" s="66" t="str">
        <f>IF($N24=0,"",IF(INDEX('قاعدة البيانات'!$I$6:$I$305,$N24)="","— مفيش رقم —",HYPERLINK("tel:"&amp;INDEX('قاعدة البيانات'!$I$6:$I$305,$N24),"📞 "&amp;INDEX('قاعدة البيانات'!$I$6:$I$305,$N24))))</f>
        <v/>
      </c>
      <c r="K24" s="67" t="str">
        <f>IF(OR($N24=0,INDEX('قاعدة البيانات'!$I$6:$I$305,$N24)=""),"",HYPERLINK("https://wa.me/20"&amp;RIGHT(INDEX('قاعدة البيانات'!$I$6:$I$305,$N24),10),"💬 واتساب"))</f>
        <v/>
      </c>
      <c r="L24" s="68" t="str">
        <f>IF($N24=0,"",IF(INDEX('قاعدة البيانات'!$J$6:$J$305,$N24)="","—",INDEX('قاعدة البيانات'!$J$6:$J$305,$N24)))</f>
        <v/>
      </c>
      <c r="N24">
        <f>IFERROR(MATCH(19,'قاعدة البيانات'!$W$6:$W$305,0),0)</f>
        <v>0</v>
      </c>
    </row>
    <row r="25" spans="1:14" ht="24" customHeight="1">
      <c r="A25" s="49" t="str">
        <f>IF($N25=0,"",20)</f>
        <v/>
      </c>
      <c r="B25" s="50" t="str">
        <f>IF($N25=0,"",INDEX('قاعدة البيانات'!$C$6:$C$305,$N25))</f>
        <v/>
      </c>
      <c r="C25" s="57" t="str">
        <f>IF($N25=0,"",INDEX('قاعدة البيانات'!$F$6:$F$305,$N25))</f>
        <v/>
      </c>
      <c r="D25" s="54" t="str">
        <f>IF($N25=0,"",INDEX('قاعدة البيانات'!$R$6:$R$305,$N25))</f>
        <v/>
      </c>
      <c r="E25" s="55" t="str">
        <f>IF($N25=0,"",INDEX('قاعدة البيانات'!$S$6:$S$305,$N25))</f>
        <v/>
      </c>
      <c r="F25" s="56" t="str">
        <f>IF($N25=0,"",INDEX('قاعدة البيانات'!$T$6:$T$305,$N25))</f>
        <v/>
      </c>
      <c r="G25" s="57" t="str">
        <f>IF($N25=0,"",INDEX('قاعدة البيانات'!$U$6:$U$305,$N25))</f>
        <v/>
      </c>
      <c r="H25" s="66" t="str">
        <f>IF($N25=0,"",IF(INDEX('قاعدة البيانات'!$H$6:$H$305,$N25)="","— مفيش رقم —",HYPERLINK("tel:"&amp;INDEX('قاعدة البيانات'!$H$6:$H$305,$N25),"📞 "&amp;INDEX('قاعدة البيانات'!$H$6:$H$305,$N25))))</f>
        <v/>
      </c>
      <c r="I25" s="67" t="str">
        <f>IF(OR($N25=0,INDEX('قاعدة البيانات'!$H$6:$H$305,$N25)=""),"",HYPERLINK("https://wa.me/20"&amp;RIGHT(INDEX('قاعدة البيانات'!$H$6:$H$305,$N25),10),"💬 واتساب"))</f>
        <v/>
      </c>
      <c r="J25" s="66" t="str">
        <f>IF($N25=0,"",IF(INDEX('قاعدة البيانات'!$I$6:$I$305,$N25)="","— مفيش رقم —",HYPERLINK("tel:"&amp;INDEX('قاعدة البيانات'!$I$6:$I$305,$N25),"📞 "&amp;INDEX('قاعدة البيانات'!$I$6:$I$305,$N25))))</f>
        <v/>
      </c>
      <c r="K25" s="67" t="str">
        <f>IF(OR($N25=0,INDEX('قاعدة البيانات'!$I$6:$I$305,$N25)=""),"",HYPERLINK("https://wa.me/20"&amp;RIGHT(INDEX('قاعدة البيانات'!$I$6:$I$305,$N25),10),"💬 واتساب"))</f>
        <v/>
      </c>
      <c r="L25" s="68" t="str">
        <f>IF($N25=0,"",IF(INDEX('قاعدة البيانات'!$J$6:$J$305,$N25)="","—",INDEX('قاعدة البيانات'!$J$6:$J$305,$N25)))</f>
        <v/>
      </c>
      <c r="N25">
        <f>IFERROR(MATCH(20,'قاعدة البيانات'!$W$6:$W$305,0),0)</f>
        <v>0</v>
      </c>
    </row>
    <row r="26" spans="1:14" ht="24" customHeight="1">
      <c r="A26" s="49" t="str">
        <f>IF($N26=0,"",21)</f>
        <v/>
      </c>
      <c r="B26" s="50" t="str">
        <f>IF($N26=0,"",INDEX('قاعدة البيانات'!$C$6:$C$305,$N26))</f>
        <v/>
      </c>
      <c r="C26" s="57" t="str">
        <f>IF($N26=0,"",INDEX('قاعدة البيانات'!$F$6:$F$305,$N26))</f>
        <v/>
      </c>
      <c r="D26" s="54" t="str">
        <f>IF($N26=0,"",INDEX('قاعدة البيانات'!$R$6:$R$305,$N26))</f>
        <v/>
      </c>
      <c r="E26" s="55" t="str">
        <f>IF($N26=0,"",INDEX('قاعدة البيانات'!$S$6:$S$305,$N26))</f>
        <v/>
      </c>
      <c r="F26" s="56" t="str">
        <f>IF($N26=0,"",INDEX('قاعدة البيانات'!$T$6:$T$305,$N26))</f>
        <v/>
      </c>
      <c r="G26" s="57" t="str">
        <f>IF($N26=0,"",INDEX('قاعدة البيانات'!$U$6:$U$305,$N26))</f>
        <v/>
      </c>
      <c r="H26" s="66" t="str">
        <f>IF($N26=0,"",IF(INDEX('قاعدة البيانات'!$H$6:$H$305,$N26)="","— مفيش رقم —",HYPERLINK("tel:"&amp;INDEX('قاعدة البيانات'!$H$6:$H$305,$N26),"📞 "&amp;INDEX('قاعدة البيانات'!$H$6:$H$305,$N26))))</f>
        <v/>
      </c>
      <c r="I26" s="67" t="str">
        <f>IF(OR($N26=0,INDEX('قاعدة البيانات'!$H$6:$H$305,$N26)=""),"",HYPERLINK("https://wa.me/20"&amp;RIGHT(INDEX('قاعدة البيانات'!$H$6:$H$305,$N26),10),"💬 واتساب"))</f>
        <v/>
      </c>
      <c r="J26" s="66" t="str">
        <f>IF($N26=0,"",IF(INDEX('قاعدة البيانات'!$I$6:$I$305,$N26)="","— مفيش رقم —",HYPERLINK("tel:"&amp;INDEX('قاعدة البيانات'!$I$6:$I$305,$N26),"📞 "&amp;INDEX('قاعدة البيانات'!$I$6:$I$305,$N26))))</f>
        <v/>
      </c>
      <c r="K26" s="67" t="str">
        <f>IF(OR($N26=0,INDEX('قاعدة البيانات'!$I$6:$I$305,$N26)=""),"",HYPERLINK("https://wa.me/20"&amp;RIGHT(INDEX('قاعدة البيانات'!$I$6:$I$305,$N26),10),"💬 واتساب"))</f>
        <v/>
      </c>
      <c r="L26" s="68" t="str">
        <f>IF($N26=0,"",IF(INDEX('قاعدة البيانات'!$J$6:$J$305,$N26)="","—",INDEX('قاعدة البيانات'!$J$6:$J$305,$N26)))</f>
        <v/>
      </c>
      <c r="N26">
        <f>IFERROR(MATCH(21,'قاعدة البيانات'!$W$6:$W$305,0),0)</f>
        <v>0</v>
      </c>
    </row>
    <row r="27" spans="1:14" ht="24" customHeight="1">
      <c r="A27" s="49" t="str">
        <f>IF($N27=0,"",22)</f>
        <v/>
      </c>
      <c r="B27" s="50" t="str">
        <f>IF($N27=0,"",INDEX('قاعدة البيانات'!$C$6:$C$305,$N27))</f>
        <v/>
      </c>
      <c r="C27" s="57" t="str">
        <f>IF($N27=0,"",INDEX('قاعدة البيانات'!$F$6:$F$305,$N27))</f>
        <v/>
      </c>
      <c r="D27" s="54" t="str">
        <f>IF($N27=0,"",INDEX('قاعدة البيانات'!$R$6:$R$305,$N27))</f>
        <v/>
      </c>
      <c r="E27" s="55" t="str">
        <f>IF($N27=0,"",INDEX('قاعدة البيانات'!$S$6:$S$305,$N27))</f>
        <v/>
      </c>
      <c r="F27" s="56" t="str">
        <f>IF($N27=0,"",INDEX('قاعدة البيانات'!$T$6:$T$305,$N27))</f>
        <v/>
      </c>
      <c r="G27" s="57" t="str">
        <f>IF($N27=0,"",INDEX('قاعدة البيانات'!$U$6:$U$305,$N27))</f>
        <v/>
      </c>
      <c r="H27" s="66" t="str">
        <f>IF($N27=0,"",IF(INDEX('قاعدة البيانات'!$H$6:$H$305,$N27)="","— مفيش رقم —",HYPERLINK("tel:"&amp;INDEX('قاعدة البيانات'!$H$6:$H$305,$N27),"📞 "&amp;INDEX('قاعدة البيانات'!$H$6:$H$305,$N27))))</f>
        <v/>
      </c>
      <c r="I27" s="67" t="str">
        <f>IF(OR($N27=0,INDEX('قاعدة البيانات'!$H$6:$H$305,$N27)=""),"",HYPERLINK("https://wa.me/20"&amp;RIGHT(INDEX('قاعدة البيانات'!$H$6:$H$305,$N27),10),"💬 واتساب"))</f>
        <v/>
      </c>
      <c r="J27" s="66" t="str">
        <f>IF($N27=0,"",IF(INDEX('قاعدة البيانات'!$I$6:$I$305,$N27)="","— مفيش رقم —",HYPERLINK("tel:"&amp;INDEX('قاعدة البيانات'!$I$6:$I$305,$N27),"📞 "&amp;INDEX('قاعدة البيانات'!$I$6:$I$305,$N27))))</f>
        <v/>
      </c>
      <c r="K27" s="67" t="str">
        <f>IF(OR($N27=0,INDEX('قاعدة البيانات'!$I$6:$I$305,$N27)=""),"",HYPERLINK("https://wa.me/20"&amp;RIGHT(INDEX('قاعدة البيانات'!$I$6:$I$305,$N27),10),"💬 واتساب"))</f>
        <v/>
      </c>
      <c r="L27" s="68" t="str">
        <f>IF($N27=0,"",IF(INDEX('قاعدة البيانات'!$J$6:$J$305,$N27)="","—",INDEX('قاعدة البيانات'!$J$6:$J$305,$N27)))</f>
        <v/>
      </c>
      <c r="N27">
        <f>IFERROR(MATCH(22,'قاعدة البيانات'!$W$6:$W$305,0),0)</f>
        <v>0</v>
      </c>
    </row>
    <row r="28" spans="1:14" ht="24" customHeight="1">
      <c r="A28" s="49" t="str">
        <f>IF($N28=0,"",23)</f>
        <v/>
      </c>
      <c r="B28" s="50" t="str">
        <f>IF($N28=0,"",INDEX('قاعدة البيانات'!$C$6:$C$305,$N28))</f>
        <v/>
      </c>
      <c r="C28" s="57" t="str">
        <f>IF($N28=0,"",INDEX('قاعدة البيانات'!$F$6:$F$305,$N28))</f>
        <v/>
      </c>
      <c r="D28" s="54" t="str">
        <f>IF($N28=0,"",INDEX('قاعدة البيانات'!$R$6:$R$305,$N28))</f>
        <v/>
      </c>
      <c r="E28" s="55" t="str">
        <f>IF($N28=0,"",INDEX('قاعدة البيانات'!$S$6:$S$305,$N28))</f>
        <v/>
      </c>
      <c r="F28" s="56" t="str">
        <f>IF($N28=0,"",INDEX('قاعدة البيانات'!$T$6:$T$305,$N28))</f>
        <v/>
      </c>
      <c r="G28" s="57" t="str">
        <f>IF($N28=0,"",INDEX('قاعدة البيانات'!$U$6:$U$305,$N28))</f>
        <v/>
      </c>
      <c r="H28" s="66" t="str">
        <f>IF($N28=0,"",IF(INDEX('قاعدة البيانات'!$H$6:$H$305,$N28)="","— مفيش رقم —",HYPERLINK("tel:"&amp;INDEX('قاعدة البيانات'!$H$6:$H$305,$N28),"📞 "&amp;INDEX('قاعدة البيانات'!$H$6:$H$305,$N28))))</f>
        <v/>
      </c>
      <c r="I28" s="67" t="str">
        <f>IF(OR($N28=0,INDEX('قاعدة البيانات'!$H$6:$H$305,$N28)=""),"",HYPERLINK("https://wa.me/20"&amp;RIGHT(INDEX('قاعدة البيانات'!$H$6:$H$305,$N28),10),"💬 واتساب"))</f>
        <v/>
      </c>
      <c r="J28" s="66" t="str">
        <f>IF($N28=0,"",IF(INDEX('قاعدة البيانات'!$I$6:$I$305,$N28)="","— مفيش رقم —",HYPERLINK("tel:"&amp;INDEX('قاعدة البيانات'!$I$6:$I$305,$N28),"📞 "&amp;INDEX('قاعدة البيانات'!$I$6:$I$305,$N28))))</f>
        <v/>
      </c>
      <c r="K28" s="67" t="str">
        <f>IF(OR($N28=0,INDEX('قاعدة البيانات'!$I$6:$I$305,$N28)=""),"",HYPERLINK("https://wa.me/20"&amp;RIGHT(INDEX('قاعدة البيانات'!$I$6:$I$305,$N28),10),"💬 واتساب"))</f>
        <v/>
      </c>
      <c r="L28" s="68" t="str">
        <f>IF($N28=0,"",IF(INDEX('قاعدة البيانات'!$J$6:$J$305,$N28)="","—",INDEX('قاعدة البيانات'!$J$6:$J$305,$N28)))</f>
        <v/>
      </c>
      <c r="N28">
        <f>IFERROR(MATCH(23,'قاعدة البيانات'!$W$6:$W$305,0),0)</f>
        <v>0</v>
      </c>
    </row>
    <row r="29" spans="1:14" ht="24" customHeight="1">
      <c r="A29" s="49" t="str">
        <f>IF($N29=0,"",24)</f>
        <v/>
      </c>
      <c r="B29" s="50" t="str">
        <f>IF($N29=0,"",INDEX('قاعدة البيانات'!$C$6:$C$305,$N29))</f>
        <v/>
      </c>
      <c r="C29" s="57" t="str">
        <f>IF($N29=0,"",INDEX('قاعدة البيانات'!$F$6:$F$305,$N29))</f>
        <v/>
      </c>
      <c r="D29" s="54" t="str">
        <f>IF($N29=0,"",INDEX('قاعدة البيانات'!$R$6:$R$305,$N29))</f>
        <v/>
      </c>
      <c r="E29" s="55" t="str">
        <f>IF($N29=0,"",INDEX('قاعدة البيانات'!$S$6:$S$305,$N29))</f>
        <v/>
      </c>
      <c r="F29" s="56" t="str">
        <f>IF($N29=0,"",INDEX('قاعدة البيانات'!$T$6:$T$305,$N29))</f>
        <v/>
      </c>
      <c r="G29" s="57" t="str">
        <f>IF($N29=0,"",INDEX('قاعدة البيانات'!$U$6:$U$305,$N29))</f>
        <v/>
      </c>
      <c r="H29" s="66" t="str">
        <f>IF($N29=0,"",IF(INDEX('قاعدة البيانات'!$H$6:$H$305,$N29)="","— مفيش رقم —",HYPERLINK("tel:"&amp;INDEX('قاعدة البيانات'!$H$6:$H$305,$N29),"📞 "&amp;INDEX('قاعدة البيانات'!$H$6:$H$305,$N29))))</f>
        <v/>
      </c>
      <c r="I29" s="67" t="str">
        <f>IF(OR($N29=0,INDEX('قاعدة البيانات'!$H$6:$H$305,$N29)=""),"",HYPERLINK("https://wa.me/20"&amp;RIGHT(INDEX('قاعدة البيانات'!$H$6:$H$305,$N29),10),"💬 واتساب"))</f>
        <v/>
      </c>
      <c r="J29" s="66" t="str">
        <f>IF($N29=0,"",IF(INDEX('قاعدة البيانات'!$I$6:$I$305,$N29)="","— مفيش رقم —",HYPERLINK("tel:"&amp;INDEX('قاعدة البيانات'!$I$6:$I$305,$N29),"📞 "&amp;INDEX('قاعدة البيانات'!$I$6:$I$305,$N29))))</f>
        <v/>
      </c>
      <c r="K29" s="67" t="str">
        <f>IF(OR($N29=0,INDEX('قاعدة البيانات'!$I$6:$I$305,$N29)=""),"",HYPERLINK("https://wa.me/20"&amp;RIGHT(INDEX('قاعدة البيانات'!$I$6:$I$305,$N29),10),"💬 واتساب"))</f>
        <v/>
      </c>
      <c r="L29" s="68" t="str">
        <f>IF($N29=0,"",IF(INDEX('قاعدة البيانات'!$J$6:$J$305,$N29)="","—",INDEX('قاعدة البيانات'!$J$6:$J$305,$N29)))</f>
        <v/>
      </c>
      <c r="N29">
        <f>IFERROR(MATCH(24,'قاعدة البيانات'!$W$6:$W$305,0),0)</f>
        <v>0</v>
      </c>
    </row>
    <row r="30" spans="1:14" ht="24" customHeight="1">
      <c r="A30" s="49" t="str">
        <f>IF($N30=0,"",25)</f>
        <v/>
      </c>
      <c r="B30" s="50" t="str">
        <f>IF($N30=0,"",INDEX('قاعدة البيانات'!$C$6:$C$305,$N30))</f>
        <v/>
      </c>
      <c r="C30" s="57" t="str">
        <f>IF($N30=0,"",INDEX('قاعدة البيانات'!$F$6:$F$305,$N30))</f>
        <v/>
      </c>
      <c r="D30" s="54" t="str">
        <f>IF($N30=0,"",INDEX('قاعدة البيانات'!$R$6:$R$305,$N30))</f>
        <v/>
      </c>
      <c r="E30" s="55" t="str">
        <f>IF($N30=0,"",INDEX('قاعدة البيانات'!$S$6:$S$305,$N30))</f>
        <v/>
      </c>
      <c r="F30" s="56" t="str">
        <f>IF($N30=0,"",INDEX('قاعدة البيانات'!$T$6:$T$305,$N30))</f>
        <v/>
      </c>
      <c r="G30" s="57" t="str">
        <f>IF($N30=0,"",INDEX('قاعدة البيانات'!$U$6:$U$305,$N30))</f>
        <v/>
      </c>
      <c r="H30" s="66" t="str">
        <f>IF($N30=0,"",IF(INDEX('قاعدة البيانات'!$H$6:$H$305,$N30)="","— مفيش رقم —",HYPERLINK("tel:"&amp;INDEX('قاعدة البيانات'!$H$6:$H$305,$N30),"📞 "&amp;INDEX('قاعدة البيانات'!$H$6:$H$305,$N30))))</f>
        <v/>
      </c>
      <c r="I30" s="67" t="str">
        <f>IF(OR($N30=0,INDEX('قاعدة البيانات'!$H$6:$H$305,$N30)=""),"",HYPERLINK("https://wa.me/20"&amp;RIGHT(INDEX('قاعدة البيانات'!$H$6:$H$305,$N30),10),"💬 واتساب"))</f>
        <v/>
      </c>
      <c r="J30" s="66" t="str">
        <f>IF($N30=0,"",IF(INDEX('قاعدة البيانات'!$I$6:$I$305,$N30)="","— مفيش رقم —",HYPERLINK("tel:"&amp;INDEX('قاعدة البيانات'!$I$6:$I$305,$N30),"📞 "&amp;INDEX('قاعدة البيانات'!$I$6:$I$305,$N30))))</f>
        <v/>
      </c>
      <c r="K30" s="67" t="str">
        <f>IF(OR($N30=0,INDEX('قاعدة البيانات'!$I$6:$I$305,$N30)=""),"",HYPERLINK("https://wa.me/20"&amp;RIGHT(INDEX('قاعدة البيانات'!$I$6:$I$305,$N30),10),"💬 واتساب"))</f>
        <v/>
      </c>
      <c r="L30" s="68" t="str">
        <f>IF($N30=0,"",IF(INDEX('قاعدة البيانات'!$J$6:$J$305,$N30)="","—",INDEX('قاعدة البيانات'!$J$6:$J$305,$N30)))</f>
        <v/>
      </c>
      <c r="N30">
        <f>IFERROR(MATCH(25,'قاعدة البيانات'!$W$6:$W$305,0),0)</f>
        <v>0</v>
      </c>
    </row>
    <row r="31" spans="1:14" ht="24" customHeight="1">
      <c r="A31" s="49" t="str">
        <f>IF($N31=0,"",26)</f>
        <v/>
      </c>
      <c r="B31" s="50" t="str">
        <f>IF($N31=0,"",INDEX('قاعدة البيانات'!$C$6:$C$305,$N31))</f>
        <v/>
      </c>
      <c r="C31" s="57" t="str">
        <f>IF($N31=0,"",INDEX('قاعدة البيانات'!$F$6:$F$305,$N31))</f>
        <v/>
      </c>
      <c r="D31" s="54" t="str">
        <f>IF($N31=0,"",INDEX('قاعدة البيانات'!$R$6:$R$305,$N31))</f>
        <v/>
      </c>
      <c r="E31" s="55" t="str">
        <f>IF($N31=0,"",INDEX('قاعدة البيانات'!$S$6:$S$305,$N31))</f>
        <v/>
      </c>
      <c r="F31" s="56" t="str">
        <f>IF($N31=0,"",INDEX('قاعدة البيانات'!$T$6:$T$305,$N31))</f>
        <v/>
      </c>
      <c r="G31" s="57" t="str">
        <f>IF($N31=0,"",INDEX('قاعدة البيانات'!$U$6:$U$305,$N31))</f>
        <v/>
      </c>
      <c r="H31" s="66" t="str">
        <f>IF($N31=0,"",IF(INDEX('قاعدة البيانات'!$H$6:$H$305,$N31)="","— مفيش رقم —",HYPERLINK("tel:"&amp;INDEX('قاعدة البيانات'!$H$6:$H$305,$N31),"📞 "&amp;INDEX('قاعدة البيانات'!$H$6:$H$305,$N31))))</f>
        <v/>
      </c>
      <c r="I31" s="67" t="str">
        <f>IF(OR($N31=0,INDEX('قاعدة البيانات'!$H$6:$H$305,$N31)=""),"",HYPERLINK("https://wa.me/20"&amp;RIGHT(INDEX('قاعدة البيانات'!$H$6:$H$305,$N31),10),"💬 واتساب"))</f>
        <v/>
      </c>
      <c r="J31" s="66" t="str">
        <f>IF($N31=0,"",IF(INDEX('قاعدة البيانات'!$I$6:$I$305,$N31)="","— مفيش رقم —",HYPERLINK("tel:"&amp;INDEX('قاعدة البيانات'!$I$6:$I$305,$N31),"📞 "&amp;INDEX('قاعدة البيانات'!$I$6:$I$305,$N31))))</f>
        <v/>
      </c>
      <c r="K31" s="67" t="str">
        <f>IF(OR($N31=0,INDEX('قاعدة البيانات'!$I$6:$I$305,$N31)=""),"",HYPERLINK("https://wa.me/20"&amp;RIGHT(INDEX('قاعدة البيانات'!$I$6:$I$305,$N31),10),"💬 واتساب"))</f>
        <v/>
      </c>
      <c r="L31" s="68" t="str">
        <f>IF($N31=0,"",IF(INDEX('قاعدة البيانات'!$J$6:$J$305,$N31)="","—",INDEX('قاعدة البيانات'!$J$6:$J$305,$N31)))</f>
        <v/>
      </c>
      <c r="N31">
        <f>IFERROR(MATCH(26,'قاعدة البيانات'!$W$6:$W$305,0),0)</f>
        <v>0</v>
      </c>
    </row>
    <row r="32" spans="1:14" ht="24" customHeight="1">
      <c r="A32" s="49" t="str">
        <f>IF($N32=0,"",27)</f>
        <v/>
      </c>
      <c r="B32" s="50" t="str">
        <f>IF($N32=0,"",INDEX('قاعدة البيانات'!$C$6:$C$305,$N32))</f>
        <v/>
      </c>
      <c r="C32" s="57" t="str">
        <f>IF($N32=0,"",INDEX('قاعدة البيانات'!$F$6:$F$305,$N32))</f>
        <v/>
      </c>
      <c r="D32" s="54" t="str">
        <f>IF($N32=0,"",INDEX('قاعدة البيانات'!$R$6:$R$305,$N32))</f>
        <v/>
      </c>
      <c r="E32" s="55" t="str">
        <f>IF($N32=0,"",INDEX('قاعدة البيانات'!$S$6:$S$305,$N32))</f>
        <v/>
      </c>
      <c r="F32" s="56" t="str">
        <f>IF($N32=0,"",INDEX('قاعدة البيانات'!$T$6:$T$305,$N32))</f>
        <v/>
      </c>
      <c r="G32" s="57" t="str">
        <f>IF($N32=0,"",INDEX('قاعدة البيانات'!$U$6:$U$305,$N32))</f>
        <v/>
      </c>
      <c r="H32" s="66" t="str">
        <f>IF($N32=0,"",IF(INDEX('قاعدة البيانات'!$H$6:$H$305,$N32)="","— مفيش رقم —",HYPERLINK("tel:"&amp;INDEX('قاعدة البيانات'!$H$6:$H$305,$N32),"📞 "&amp;INDEX('قاعدة البيانات'!$H$6:$H$305,$N32))))</f>
        <v/>
      </c>
      <c r="I32" s="67" t="str">
        <f>IF(OR($N32=0,INDEX('قاعدة البيانات'!$H$6:$H$305,$N32)=""),"",HYPERLINK("https://wa.me/20"&amp;RIGHT(INDEX('قاعدة البيانات'!$H$6:$H$305,$N32),10),"💬 واتساب"))</f>
        <v/>
      </c>
      <c r="J32" s="66" t="str">
        <f>IF($N32=0,"",IF(INDEX('قاعدة البيانات'!$I$6:$I$305,$N32)="","— مفيش رقم —",HYPERLINK("tel:"&amp;INDEX('قاعدة البيانات'!$I$6:$I$305,$N32),"📞 "&amp;INDEX('قاعدة البيانات'!$I$6:$I$305,$N32))))</f>
        <v/>
      </c>
      <c r="K32" s="67" t="str">
        <f>IF(OR($N32=0,INDEX('قاعدة البيانات'!$I$6:$I$305,$N32)=""),"",HYPERLINK("https://wa.me/20"&amp;RIGHT(INDEX('قاعدة البيانات'!$I$6:$I$305,$N32),10),"💬 واتساب"))</f>
        <v/>
      </c>
      <c r="L32" s="68" t="str">
        <f>IF($N32=0,"",IF(INDEX('قاعدة البيانات'!$J$6:$J$305,$N32)="","—",INDEX('قاعدة البيانات'!$J$6:$J$305,$N32)))</f>
        <v/>
      </c>
      <c r="N32">
        <f>IFERROR(MATCH(27,'قاعدة البيانات'!$W$6:$W$305,0),0)</f>
        <v>0</v>
      </c>
    </row>
    <row r="33" spans="1:14" ht="24" customHeight="1">
      <c r="A33" s="49" t="str">
        <f>IF($N33=0,"",28)</f>
        <v/>
      </c>
      <c r="B33" s="50" t="str">
        <f>IF($N33=0,"",INDEX('قاعدة البيانات'!$C$6:$C$305,$N33))</f>
        <v/>
      </c>
      <c r="C33" s="57" t="str">
        <f>IF($N33=0,"",INDEX('قاعدة البيانات'!$F$6:$F$305,$N33))</f>
        <v/>
      </c>
      <c r="D33" s="54" t="str">
        <f>IF($N33=0,"",INDEX('قاعدة البيانات'!$R$6:$R$305,$N33))</f>
        <v/>
      </c>
      <c r="E33" s="55" t="str">
        <f>IF($N33=0,"",INDEX('قاعدة البيانات'!$S$6:$S$305,$N33))</f>
        <v/>
      </c>
      <c r="F33" s="56" t="str">
        <f>IF($N33=0,"",INDEX('قاعدة البيانات'!$T$6:$T$305,$N33))</f>
        <v/>
      </c>
      <c r="G33" s="57" t="str">
        <f>IF($N33=0,"",INDEX('قاعدة البيانات'!$U$6:$U$305,$N33))</f>
        <v/>
      </c>
      <c r="H33" s="66" t="str">
        <f>IF($N33=0,"",IF(INDEX('قاعدة البيانات'!$H$6:$H$305,$N33)="","— مفيش رقم —",HYPERLINK("tel:"&amp;INDEX('قاعدة البيانات'!$H$6:$H$305,$N33),"📞 "&amp;INDEX('قاعدة البيانات'!$H$6:$H$305,$N33))))</f>
        <v/>
      </c>
      <c r="I33" s="67" t="str">
        <f>IF(OR($N33=0,INDEX('قاعدة البيانات'!$H$6:$H$305,$N33)=""),"",HYPERLINK("https://wa.me/20"&amp;RIGHT(INDEX('قاعدة البيانات'!$H$6:$H$305,$N33),10),"💬 واتساب"))</f>
        <v/>
      </c>
      <c r="J33" s="66" t="str">
        <f>IF($N33=0,"",IF(INDEX('قاعدة البيانات'!$I$6:$I$305,$N33)="","— مفيش رقم —",HYPERLINK("tel:"&amp;INDEX('قاعدة البيانات'!$I$6:$I$305,$N33),"📞 "&amp;INDEX('قاعدة البيانات'!$I$6:$I$305,$N33))))</f>
        <v/>
      </c>
      <c r="K33" s="67" t="str">
        <f>IF(OR($N33=0,INDEX('قاعدة البيانات'!$I$6:$I$305,$N33)=""),"",HYPERLINK("https://wa.me/20"&amp;RIGHT(INDEX('قاعدة البيانات'!$I$6:$I$305,$N33),10),"💬 واتساب"))</f>
        <v/>
      </c>
      <c r="L33" s="68" t="str">
        <f>IF($N33=0,"",IF(INDEX('قاعدة البيانات'!$J$6:$J$305,$N33)="","—",INDEX('قاعدة البيانات'!$J$6:$J$305,$N33)))</f>
        <v/>
      </c>
      <c r="N33">
        <f>IFERROR(MATCH(28,'قاعدة البيانات'!$W$6:$W$305,0),0)</f>
        <v>0</v>
      </c>
    </row>
    <row r="34" spans="1:14" ht="24" customHeight="1">
      <c r="A34" s="49" t="str">
        <f>IF($N34=0,"",29)</f>
        <v/>
      </c>
      <c r="B34" s="50" t="str">
        <f>IF($N34=0,"",INDEX('قاعدة البيانات'!$C$6:$C$305,$N34))</f>
        <v/>
      </c>
      <c r="C34" s="57" t="str">
        <f>IF($N34=0,"",INDEX('قاعدة البيانات'!$F$6:$F$305,$N34))</f>
        <v/>
      </c>
      <c r="D34" s="54" t="str">
        <f>IF($N34=0,"",INDEX('قاعدة البيانات'!$R$6:$R$305,$N34))</f>
        <v/>
      </c>
      <c r="E34" s="55" t="str">
        <f>IF($N34=0,"",INDEX('قاعدة البيانات'!$S$6:$S$305,$N34))</f>
        <v/>
      </c>
      <c r="F34" s="56" t="str">
        <f>IF($N34=0,"",INDEX('قاعدة البيانات'!$T$6:$T$305,$N34))</f>
        <v/>
      </c>
      <c r="G34" s="57" t="str">
        <f>IF($N34=0,"",INDEX('قاعدة البيانات'!$U$6:$U$305,$N34))</f>
        <v/>
      </c>
      <c r="H34" s="66" t="str">
        <f>IF($N34=0,"",IF(INDEX('قاعدة البيانات'!$H$6:$H$305,$N34)="","— مفيش رقم —",HYPERLINK("tel:"&amp;INDEX('قاعدة البيانات'!$H$6:$H$305,$N34),"📞 "&amp;INDEX('قاعدة البيانات'!$H$6:$H$305,$N34))))</f>
        <v/>
      </c>
      <c r="I34" s="67" t="str">
        <f>IF(OR($N34=0,INDEX('قاعدة البيانات'!$H$6:$H$305,$N34)=""),"",HYPERLINK("https://wa.me/20"&amp;RIGHT(INDEX('قاعدة البيانات'!$H$6:$H$305,$N34),10),"💬 واتساب"))</f>
        <v/>
      </c>
      <c r="J34" s="66" t="str">
        <f>IF($N34=0,"",IF(INDEX('قاعدة البيانات'!$I$6:$I$305,$N34)="","— مفيش رقم —",HYPERLINK("tel:"&amp;INDEX('قاعدة البيانات'!$I$6:$I$305,$N34),"📞 "&amp;INDEX('قاعدة البيانات'!$I$6:$I$305,$N34))))</f>
        <v/>
      </c>
      <c r="K34" s="67" t="str">
        <f>IF(OR($N34=0,INDEX('قاعدة البيانات'!$I$6:$I$305,$N34)=""),"",HYPERLINK("https://wa.me/20"&amp;RIGHT(INDEX('قاعدة البيانات'!$I$6:$I$305,$N34),10),"💬 واتساب"))</f>
        <v/>
      </c>
      <c r="L34" s="68" t="str">
        <f>IF($N34=0,"",IF(INDEX('قاعدة البيانات'!$J$6:$J$305,$N34)="","—",INDEX('قاعدة البيانات'!$J$6:$J$305,$N34)))</f>
        <v/>
      </c>
      <c r="N34">
        <f>IFERROR(MATCH(29,'قاعدة البيانات'!$W$6:$W$305,0),0)</f>
        <v>0</v>
      </c>
    </row>
    <row r="35" spans="1:14" ht="24" customHeight="1">
      <c r="A35" s="49" t="str">
        <f>IF($N35=0,"",30)</f>
        <v/>
      </c>
      <c r="B35" s="50" t="str">
        <f>IF($N35=0,"",INDEX('قاعدة البيانات'!$C$6:$C$305,$N35))</f>
        <v/>
      </c>
      <c r="C35" s="57" t="str">
        <f>IF($N35=0,"",INDEX('قاعدة البيانات'!$F$6:$F$305,$N35))</f>
        <v/>
      </c>
      <c r="D35" s="54" t="str">
        <f>IF($N35=0,"",INDEX('قاعدة البيانات'!$R$6:$R$305,$N35))</f>
        <v/>
      </c>
      <c r="E35" s="55" t="str">
        <f>IF($N35=0,"",INDEX('قاعدة البيانات'!$S$6:$S$305,$N35))</f>
        <v/>
      </c>
      <c r="F35" s="56" t="str">
        <f>IF($N35=0,"",INDEX('قاعدة البيانات'!$T$6:$T$305,$N35))</f>
        <v/>
      </c>
      <c r="G35" s="57" t="str">
        <f>IF($N35=0,"",INDEX('قاعدة البيانات'!$U$6:$U$305,$N35))</f>
        <v/>
      </c>
      <c r="H35" s="66" t="str">
        <f>IF($N35=0,"",IF(INDEX('قاعدة البيانات'!$H$6:$H$305,$N35)="","— مفيش رقم —",HYPERLINK("tel:"&amp;INDEX('قاعدة البيانات'!$H$6:$H$305,$N35),"📞 "&amp;INDEX('قاعدة البيانات'!$H$6:$H$305,$N35))))</f>
        <v/>
      </c>
      <c r="I35" s="67" t="str">
        <f>IF(OR($N35=0,INDEX('قاعدة البيانات'!$H$6:$H$305,$N35)=""),"",HYPERLINK("https://wa.me/20"&amp;RIGHT(INDEX('قاعدة البيانات'!$H$6:$H$305,$N35),10),"💬 واتساب"))</f>
        <v/>
      </c>
      <c r="J35" s="66" t="str">
        <f>IF($N35=0,"",IF(INDEX('قاعدة البيانات'!$I$6:$I$305,$N35)="","— مفيش رقم —",HYPERLINK("tel:"&amp;INDEX('قاعدة البيانات'!$I$6:$I$305,$N35),"📞 "&amp;INDEX('قاعدة البيانات'!$I$6:$I$305,$N35))))</f>
        <v/>
      </c>
      <c r="K35" s="67" t="str">
        <f>IF(OR($N35=0,INDEX('قاعدة البيانات'!$I$6:$I$305,$N35)=""),"",HYPERLINK("https://wa.me/20"&amp;RIGHT(INDEX('قاعدة البيانات'!$I$6:$I$305,$N35),10),"💬 واتساب"))</f>
        <v/>
      </c>
      <c r="L35" s="68" t="str">
        <f>IF($N35=0,"",IF(INDEX('قاعدة البيانات'!$J$6:$J$305,$N35)="","—",INDEX('قاعدة البيانات'!$J$6:$J$305,$N35)))</f>
        <v/>
      </c>
      <c r="N35">
        <f>IFERROR(MATCH(30,'قاعدة البيانات'!$W$6:$W$305,0),0)</f>
        <v>0</v>
      </c>
    </row>
    <row r="36" spans="1:14" ht="24" customHeight="1">
      <c r="A36" s="49" t="str">
        <f>IF($N36=0,"",31)</f>
        <v/>
      </c>
      <c r="B36" s="50" t="str">
        <f>IF($N36=0,"",INDEX('قاعدة البيانات'!$C$6:$C$305,$N36))</f>
        <v/>
      </c>
      <c r="C36" s="57" t="str">
        <f>IF($N36=0,"",INDEX('قاعدة البيانات'!$F$6:$F$305,$N36))</f>
        <v/>
      </c>
      <c r="D36" s="54" t="str">
        <f>IF($N36=0,"",INDEX('قاعدة البيانات'!$R$6:$R$305,$N36))</f>
        <v/>
      </c>
      <c r="E36" s="55" t="str">
        <f>IF($N36=0,"",INDEX('قاعدة البيانات'!$S$6:$S$305,$N36))</f>
        <v/>
      </c>
      <c r="F36" s="56" t="str">
        <f>IF($N36=0,"",INDEX('قاعدة البيانات'!$T$6:$T$305,$N36))</f>
        <v/>
      </c>
      <c r="G36" s="57" t="str">
        <f>IF($N36=0,"",INDEX('قاعدة البيانات'!$U$6:$U$305,$N36))</f>
        <v/>
      </c>
      <c r="H36" s="66" t="str">
        <f>IF($N36=0,"",IF(INDEX('قاعدة البيانات'!$H$6:$H$305,$N36)="","— مفيش رقم —",HYPERLINK("tel:"&amp;INDEX('قاعدة البيانات'!$H$6:$H$305,$N36),"📞 "&amp;INDEX('قاعدة البيانات'!$H$6:$H$305,$N36))))</f>
        <v/>
      </c>
      <c r="I36" s="67" t="str">
        <f>IF(OR($N36=0,INDEX('قاعدة البيانات'!$H$6:$H$305,$N36)=""),"",HYPERLINK("https://wa.me/20"&amp;RIGHT(INDEX('قاعدة البيانات'!$H$6:$H$305,$N36),10),"💬 واتساب"))</f>
        <v/>
      </c>
      <c r="J36" s="66" t="str">
        <f>IF($N36=0,"",IF(INDEX('قاعدة البيانات'!$I$6:$I$305,$N36)="","— مفيش رقم —",HYPERLINK("tel:"&amp;INDEX('قاعدة البيانات'!$I$6:$I$305,$N36),"📞 "&amp;INDEX('قاعدة البيانات'!$I$6:$I$305,$N36))))</f>
        <v/>
      </c>
      <c r="K36" s="67" t="str">
        <f>IF(OR($N36=0,INDEX('قاعدة البيانات'!$I$6:$I$305,$N36)=""),"",HYPERLINK("https://wa.me/20"&amp;RIGHT(INDEX('قاعدة البيانات'!$I$6:$I$305,$N36),10),"💬 واتساب"))</f>
        <v/>
      </c>
      <c r="L36" s="68" t="str">
        <f>IF($N36=0,"",IF(INDEX('قاعدة البيانات'!$J$6:$J$305,$N36)="","—",INDEX('قاعدة البيانات'!$J$6:$J$305,$N36)))</f>
        <v/>
      </c>
      <c r="N36">
        <f>IFERROR(MATCH(31,'قاعدة البيانات'!$W$6:$W$305,0),0)</f>
        <v>0</v>
      </c>
    </row>
    <row r="37" spans="1:14" ht="24" customHeight="1">
      <c r="A37" s="49" t="str">
        <f>IF($N37=0,"",32)</f>
        <v/>
      </c>
      <c r="B37" s="50" t="str">
        <f>IF($N37=0,"",INDEX('قاعدة البيانات'!$C$6:$C$305,$N37))</f>
        <v/>
      </c>
      <c r="C37" s="57" t="str">
        <f>IF($N37=0,"",INDEX('قاعدة البيانات'!$F$6:$F$305,$N37))</f>
        <v/>
      </c>
      <c r="D37" s="54" t="str">
        <f>IF($N37=0,"",INDEX('قاعدة البيانات'!$R$6:$R$305,$N37))</f>
        <v/>
      </c>
      <c r="E37" s="55" t="str">
        <f>IF($N37=0,"",INDEX('قاعدة البيانات'!$S$6:$S$305,$N37))</f>
        <v/>
      </c>
      <c r="F37" s="56" t="str">
        <f>IF($N37=0,"",INDEX('قاعدة البيانات'!$T$6:$T$305,$N37))</f>
        <v/>
      </c>
      <c r="G37" s="57" t="str">
        <f>IF($N37=0,"",INDEX('قاعدة البيانات'!$U$6:$U$305,$N37))</f>
        <v/>
      </c>
      <c r="H37" s="66" t="str">
        <f>IF($N37=0,"",IF(INDEX('قاعدة البيانات'!$H$6:$H$305,$N37)="","— مفيش رقم —",HYPERLINK("tel:"&amp;INDEX('قاعدة البيانات'!$H$6:$H$305,$N37),"📞 "&amp;INDEX('قاعدة البيانات'!$H$6:$H$305,$N37))))</f>
        <v/>
      </c>
      <c r="I37" s="67" t="str">
        <f>IF(OR($N37=0,INDEX('قاعدة البيانات'!$H$6:$H$305,$N37)=""),"",HYPERLINK("https://wa.me/20"&amp;RIGHT(INDEX('قاعدة البيانات'!$H$6:$H$305,$N37),10),"💬 واتساب"))</f>
        <v/>
      </c>
      <c r="J37" s="66" t="str">
        <f>IF($N37=0,"",IF(INDEX('قاعدة البيانات'!$I$6:$I$305,$N37)="","— مفيش رقم —",HYPERLINK("tel:"&amp;INDEX('قاعدة البيانات'!$I$6:$I$305,$N37),"📞 "&amp;INDEX('قاعدة البيانات'!$I$6:$I$305,$N37))))</f>
        <v/>
      </c>
      <c r="K37" s="67" t="str">
        <f>IF(OR($N37=0,INDEX('قاعدة البيانات'!$I$6:$I$305,$N37)=""),"",HYPERLINK("https://wa.me/20"&amp;RIGHT(INDEX('قاعدة البيانات'!$I$6:$I$305,$N37),10),"💬 واتساب"))</f>
        <v/>
      </c>
      <c r="L37" s="68" t="str">
        <f>IF($N37=0,"",IF(INDEX('قاعدة البيانات'!$J$6:$J$305,$N37)="","—",INDEX('قاعدة البيانات'!$J$6:$J$305,$N37)))</f>
        <v/>
      </c>
      <c r="N37">
        <f>IFERROR(MATCH(32,'قاعدة البيانات'!$W$6:$W$305,0),0)</f>
        <v>0</v>
      </c>
    </row>
    <row r="38" spans="1:14" ht="24" customHeight="1">
      <c r="A38" s="49" t="str">
        <f>IF($N38=0,"",33)</f>
        <v/>
      </c>
      <c r="B38" s="50" t="str">
        <f>IF($N38=0,"",INDEX('قاعدة البيانات'!$C$6:$C$305,$N38))</f>
        <v/>
      </c>
      <c r="C38" s="57" t="str">
        <f>IF($N38=0,"",INDEX('قاعدة البيانات'!$F$6:$F$305,$N38))</f>
        <v/>
      </c>
      <c r="D38" s="54" t="str">
        <f>IF($N38=0,"",INDEX('قاعدة البيانات'!$R$6:$R$305,$N38))</f>
        <v/>
      </c>
      <c r="E38" s="55" t="str">
        <f>IF($N38=0,"",INDEX('قاعدة البيانات'!$S$6:$S$305,$N38))</f>
        <v/>
      </c>
      <c r="F38" s="56" t="str">
        <f>IF($N38=0,"",INDEX('قاعدة البيانات'!$T$6:$T$305,$N38))</f>
        <v/>
      </c>
      <c r="G38" s="57" t="str">
        <f>IF($N38=0,"",INDEX('قاعدة البيانات'!$U$6:$U$305,$N38))</f>
        <v/>
      </c>
      <c r="H38" s="66" t="str">
        <f>IF($N38=0,"",IF(INDEX('قاعدة البيانات'!$H$6:$H$305,$N38)="","— مفيش رقم —",HYPERLINK("tel:"&amp;INDEX('قاعدة البيانات'!$H$6:$H$305,$N38),"📞 "&amp;INDEX('قاعدة البيانات'!$H$6:$H$305,$N38))))</f>
        <v/>
      </c>
      <c r="I38" s="67" t="str">
        <f>IF(OR($N38=0,INDEX('قاعدة البيانات'!$H$6:$H$305,$N38)=""),"",HYPERLINK("https://wa.me/20"&amp;RIGHT(INDEX('قاعدة البيانات'!$H$6:$H$305,$N38),10),"💬 واتساب"))</f>
        <v/>
      </c>
      <c r="J38" s="66" t="str">
        <f>IF($N38=0,"",IF(INDEX('قاعدة البيانات'!$I$6:$I$305,$N38)="","— مفيش رقم —",HYPERLINK("tel:"&amp;INDEX('قاعدة البيانات'!$I$6:$I$305,$N38),"📞 "&amp;INDEX('قاعدة البيانات'!$I$6:$I$305,$N38))))</f>
        <v/>
      </c>
      <c r="K38" s="67" t="str">
        <f>IF(OR($N38=0,INDEX('قاعدة البيانات'!$I$6:$I$305,$N38)=""),"",HYPERLINK("https://wa.me/20"&amp;RIGHT(INDEX('قاعدة البيانات'!$I$6:$I$305,$N38),10),"💬 واتساب"))</f>
        <v/>
      </c>
      <c r="L38" s="68" t="str">
        <f>IF($N38=0,"",IF(INDEX('قاعدة البيانات'!$J$6:$J$305,$N38)="","—",INDEX('قاعدة البيانات'!$J$6:$J$305,$N38)))</f>
        <v/>
      </c>
      <c r="N38">
        <f>IFERROR(MATCH(33,'قاعدة البيانات'!$W$6:$W$305,0),0)</f>
        <v>0</v>
      </c>
    </row>
    <row r="39" spans="1:14" ht="24" customHeight="1">
      <c r="A39" s="49" t="str">
        <f>IF($N39=0,"",34)</f>
        <v/>
      </c>
      <c r="B39" s="50" t="str">
        <f>IF($N39=0,"",INDEX('قاعدة البيانات'!$C$6:$C$305,$N39))</f>
        <v/>
      </c>
      <c r="C39" s="57" t="str">
        <f>IF($N39=0,"",INDEX('قاعدة البيانات'!$F$6:$F$305,$N39))</f>
        <v/>
      </c>
      <c r="D39" s="54" t="str">
        <f>IF($N39=0,"",INDEX('قاعدة البيانات'!$R$6:$R$305,$N39))</f>
        <v/>
      </c>
      <c r="E39" s="55" t="str">
        <f>IF($N39=0,"",INDEX('قاعدة البيانات'!$S$6:$S$305,$N39))</f>
        <v/>
      </c>
      <c r="F39" s="56" t="str">
        <f>IF($N39=0,"",INDEX('قاعدة البيانات'!$T$6:$T$305,$N39))</f>
        <v/>
      </c>
      <c r="G39" s="57" t="str">
        <f>IF($N39=0,"",INDEX('قاعدة البيانات'!$U$6:$U$305,$N39))</f>
        <v/>
      </c>
      <c r="H39" s="66" t="str">
        <f>IF($N39=0,"",IF(INDEX('قاعدة البيانات'!$H$6:$H$305,$N39)="","— مفيش رقم —",HYPERLINK("tel:"&amp;INDEX('قاعدة البيانات'!$H$6:$H$305,$N39),"📞 "&amp;INDEX('قاعدة البيانات'!$H$6:$H$305,$N39))))</f>
        <v/>
      </c>
      <c r="I39" s="67" t="str">
        <f>IF(OR($N39=0,INDEX('قاعدة البيانات'!$H$6:$H$305,$N39)=""),"",HYPERLINK("https://wa.me/20"&amp;RIGHT(INDEX('قاعدة البيانات'!$H$6:$H$305,$N39),10),"💬 واتساب"))</f>
        <v/>
      </c>
      <c r="J39" s="66" t="str">
        <f>IF($N39=0,"",IF(INDEX('قاعدة البيانات'!$I$6:$I$305,$N39)="","— مفيش رقم —",HYPERLINK("tel:"&amp;INDEX('قاعدة البيانات'!$I$6:$I$305,$N39),"📞 "&amp;INDEX('قاعدة البيانات'!$I$6:$I$305,$N39))))</f>
        <v/>
      </c>
      <c r="K39" s="67" t="str">
        <f>IF(OR($N39=0,INDEX('قاعدة البيانات'!$I$6:$I$305,$N39)=""),"",HYPERLINK("https://wa.me/20"&amp;RIGHT(INDEX('قاعدة البيانات'!$I$6:$I$305,$N39),10),"💬 واتساب"))</f>
        <v/>
      </c>
      <c r="L39" s="68" t="str">
        <f>IF($N39=0,"",IF(INDEX('قاعدة البيانات'!$J$6:$J$305,$N39)="","—",INDEX('قاعدة البيانات'!$J$6:$J$305,$N39)))</f>
        <v/>
      </c>
      <c r="N39">
        <f>IFERROR(MATCH(34,'قاعدة البيانات'!$W$6:$W$305,0),0)</f>
        <v>0</v>
      </c>
    </row>
    <row r="40" spans="1:14" ht="24" customHeight="1">
      <c r="A40" s="49" t="str">
        <f>IF($N40=0,"",35)</f>
        <v/>
      </c>
      <c r="B40" s="50" t="str">
        <f>IF($N40=0,"",INDEX('قاعدة البيانات'!$C$6:$C$305,$N40))</f>
        <v/>
      </c>
      <c r="C40" s="57" t="str">
        <f>IF($N40=0,"",INDEX('قاعدة البيانات'!$F$6:$F$305,$N40))</f>
        <v/>
      </c>
      <c r="D40" s="54" t="str">
        <f>IF($N40=0,"",INDEX('قاعدة البيانات'!$R$6:$R$305,$N40))</f>
        <v/>
      </c>
      <c r="E40" s="55" t="str">
        <f>IF($N40=0,"",INDEX('قاعدة البيانات'!$S$6:$S$305,$N40))</f>
        <v/>
      </c>
      <c r="F40" s="56" t="str">
        <f>IF($N40=0,"",INDEX('قاعدة البيانات'!$T$6:$T$305,$N40))</f>
        <v/>
      </c>
      <c r="G40" s="57" t="str">
        <f>IF($N40=0,"",INDEX('قاعدة البيانات'!$U$6:$U$305,$N40))</f>
        <v/>
      </c>
      <c r="H40" s="66" t="str">
        <f>IF($N40=0,"",IF(INDEX('قاعدة البيانات'!$H$6:$H$305,$N40)="","— مفيش رقم —",HYPERLINK("tel:"&amp;INDEX('قاعدة البيانات'!$H$6:$H$305,$N40),"📞 "&amp;INDEX('قاعدة البيانات'!$H$6:$H$305,$N40))))</f>
        <v/>
      </c>
      <c r="I40" s="67" t="str">
        <f>IF(OR($N40=0,INDEX('قاعدة البيانات'!$H$6:$H$305,$N40)=""),"",HYPERLINK("https://wa.me/20"&amp;RIGHT(INDEX('قاعدة البيانات'!$H$6:$H$305,$N40),10),"💬 واتساب"))</f>
        <v/>
      </c>
      <c r="J40" s="66" t="str">
        <f>IF($N40=0,"",IF(INDEX('قاعدة البيانات'!$I$6:$I$305,$N40)="","— مفيش رقم —",HYPERLINK("tel:"&amp;INDEX('قاعدة البيانات'!$I$6:$I$305,$N40),"📞 "&amp;INDEX('قاعدة البيانات'!$I$6:$I$305,$N40))))</f>
        <v/>
      </c>
      <c r="K40" s="67" t="str">
        <f>IF(OR($N40=0,INDEX('قاعدة البيانات'!$I$6:$I$305,$N40)=""),"",HYPERLINK("https://wa.me/20"&amp;RIGHT(INDEX('قاعدة البيانات'!$I$6:$I$305,$N40),10),"💬 واتساب"))</f>
        <v/>
      </c>
      <c r="L40" s="68" t="str">
        <f>IF($N40=0,"",IF(INDEX('قاعدة البيانات'!$J$6:$J$305,$N40)="","—",INDEX('قاعدة البيانات'!$J$6:$J$305,$N40)))</f>
        <v/>
      </c>
      <c r="N40">
        <f>IFERROR(MATCH(35,'قاعدة البيانات'!$W$6:$W$305,0),0)</f>
        <v>0</v>
      </c>
    </row>
    <row r="41" spans="1:14" ht="24" customHeight="1">
      <c r="A41" s="49" t="str">
        <f>IF($N41=0,"",36)</f>
        <v/>
      </c>
      <c r="B41" s="50" t="str">
        <f>IF($N41=0,"",INDEX('قاعدة البيانات'!$C$6:$C$305,$N41))</f>
        <v/>
      </c>
      <c r="C41" s="57" t="str">
        <f>IF($N41=0,"",INDEX('قاعدة البيانات'!$F$6:$F$305,$N41))</f>
        <v/>
      </c>
      <c r="D41" s="54" t="str">
        <f>IF($N41=0,"",INDEX('قاعدة البيانات'!$R$6:$R$305,$N41))</f>
        <v/>
      </c>
      <c r="E41" s="55" t="str">
        <f>IF($N41=0,"",INDEX('قاعدة البيانات'!$S$6:$S$305,$N41))</f>
        <v/>
      </c>
      <c r="F41" s="56" t="str">
        <f>IF($N41=0,"",INDEX('قاعدة البيانات'!$T$6:$T$305,$N41))</f>
        <v/>
      </c>
      <c r="G41" s="57" t="str">
        <f>IF($N41=0,"",INDEX('قاعدة البيانات'!$U$6:$U$305,$N41))</f>
        <v/>
      </c>
      <c r="H41" s="66" t="str">
        <f>IF($N41=0,"",IF(INDEX('قاعدة البيانات'!$H$6:$H$305,$N41)="","— مفيش رقم —",HYPERLINK("tel:"&amp;INDEX('قاعدة البيانات'!$H$6:$H$305,$N41),"📞 "&amp;INDEX('قاعدة البيانات'!$H$6:$H$305,$N41))))</f>
        <v/>
      </c>
      <c r="I41" s="67" t="str">
        <f>IF(OR($N41=0,INDEX('قاعدة البيانات'!$H$6:$H$305,$N41)=""),"",HYPERLINK("https://wa.me/20"&amp;RIGHT(INDEX('قاعدة البيانات'!$H$6:$H$305,$N41),10),"💬 واتساب"))</f>
        <v/>
      </c>
      <c r="J41" s="66" t="str">
        <f>IF($N41=0,"",IF(INDEX('قاعدة البيانات'!$I$6:$I$305,$N41)="","— مفيش رقم —",HYPERLINK("tel:"&amp;INDEX('قاعدة البيانات'!$I$6:$I$305,$N41),"📞 "&amp;INDEX('قاعدة البيانات'!$I$6:$I$305,$N41))))</f>
        <v/>
      </c>
      <c r="K41" s="67" t="str">
        <f>IF(OR($N41=0,INDEX('قاعدة البيانات'!$I$6:$I$305,$N41)=""),"",HYPERLINK("https://wa.me/20"&amp;RIGHT(INDEX('قاعدة البيانات'!$I$6:$I$305,$N41),10),"💬 واتساب"))</f>
        <v/>
      </c>
      <c r="L41" s="68" t="str">
        <f>IF($N41=0,"",IF(INDEX('قاعدة البيانات'!$J$6:$J$305,$N41)="","—",INDEX('قاعدة البيانات'!$J$6:$J$305,$N41)))</f>
        <v/>
      </c>
      <c r="N41">
        <f>IFERROR(MATCH(36,'قاعدة البيانات'!$W$6:$W$305,0),0)</f>
        <v>0</v>
      </c>
    </row>
    <row r="42" spans="1:14" ht="24" customHeight="1">
      <c r="A42" s="49" t="str">
        <f>IF($N42=0,"",37)</f>
        <v/>
      </c>
      <c r="B42" s="50" t="str">
        <f>IF($N42=0,"",INDEX('قاعدة البيانات'!$C$6:$C$305,$N42))</f>
        <v/>
      </c>
      <c r="C42" s="57" t="str">
        <f>IF($N42=0,"",INDEX('قاعدة البيانات'!$F$6:$F$305,$N42))</f>
        <v/>
      </c>
      <c r="D42" s="54" t="str">
        <f>IF($N42=0,"",INDEX('قاعدة البيانات'!$R$6:$R$305,$N42))</f>
        <v/>
      </c>
      <c r="E42" s="55" t="str">
        <f>IF($N42=0,"",INDEX('قاعدة البيانات'!$S$6:$S$305,$N42))</f>
        <v/>
      </c>
      <c r="F42" s="56" t="str">
        <f>IF($N42=0,"",INDEX('قاعدة البيانات'!$T$6:$T$305,$N42))</f>
        <v/>
      </c>
      <c r="G42" s="57" t="str">
        <f>IF($N42=0,"",INDEX('قاعدة البيانات'!$U$6:$U$305,$N42))</f>
        <v/>
      </c>
      <c r="H42" s="66" t="str">
        <f>IF($N42=0,"",IF(INDEX('قاعدة البيانات'!$H$6:$H$305,$N42)="","— مفيش رقم —",HYPERLINK("tel:"&amp;INDEX('قاعدة البيانات'!$H$6:$H$305,$N42),"📞 "&amp;INDEX('قاعدة البيانات'!$H$6:$H$305,$N42))))</f>
        <v/>
      </c>
      <c r="I42" s="67" t="str">
        <f>IF(OR($N42=0,INDEX('قاعدة البيانات'!$H$6:$H$305,$N42)=""),"",HYPERLINK("https://wa.me/20"&amp;RIGHT(INDEX('قاعدة البيانات'!$H$6:$H$305,$N42),10),"💬 واتساب"))</f>
        <v/>
      </c>
      <c r="J42" s="66" t="str">
        <f>IF($N42=0,"",IF(INDEX('قاعدة البيانات'!$I$6:$I$305,$N42)="","— مفيش رقم —",HYPERLINK("tel:"&amp;INDEX('قاعدة البيانات'!$I$6:$I$305,$N42),"📞 "&amp;INDEX('قاعدة البيانات'!$I$6:$I$305,$N42))))</f>
        <v/>
      </c>
      <c r="K42" s="67" t="str">
        <f>IF(OR($N42=0,INDEX('قاعدة البيانات'!$I$6:$I$305,$N42)=""),"",HYPERLINK("https://wa.me/20"&amp;RIGHT(INDEX('قاعدة البيانات'!$I$6:$I$305,$N42),10),"💬 واتساب"))</f>
        <v/>
      </c>
      <c r="L42" s="68" t="str">
        <f>IF($N42=0,"",IF(INDEX('قاعدة البيانات'!$J$6:$J$305,$N42)="","—",INDEX('قاعدة البيانات'!$J$6:$J$305,$N42)))</f>
        <v/>
      </c>
      <c r="N42">
        <f>IFERROR(MATCH(37,'قاعدة البيانات'!$W$6:$W$305,0),0)</f>
        <v>0</v>
      </c>
    </row>
    <row r="43" spans="1:14" ht="24" customHeight="1">
      <c r="A43" s="49" t="str">
        <f>IF($N43=0,"",38)</f>
        <v/>
      </c>
      <c r="B43" s="50" t="str">
        <f>IF($N43=0,"",INDEX('قاعدة البيانات'!$C$6:$C$305,$N43))</f>
        <v/>
      </c>
      <c r="C43" s="57" t="str">
        <f>IF($N43=0,"",INDEX('قاعدة البيانات'!$F$6:$F$305,$N43))</f>
        <v/>
      </c>
      <c r="D43" s="54" t="str">
        <f>IF($N43=0,"",INDEX('قاعدة البيانات'!$R$6:$R$305,$N43))</f>
        <v/>
      </c>
      <c r="E43" s="55" t="str">
        <f>IF($N43=0,"",INDEX('قاعدة البيانات'!$S$6:$S$305,$N43))</f>
        <v/>
      </c>
      <c r="F43" s="56" t="str">
        <f>IF($N43=0,"",INDEX('قاعدة البيانات'!$T$6:$T$305,$N43))</f>
        <v/>
      </c>
      <c r="G43" s="57" t="str">
        <f>IF($N43=0,"",INDEX('قاعدة البيانات'!$U$6:$U$305,$N43))</f>
        <v/>
      </c>
      <c r="H43" s="66" t="str">
        <f>IF($N43=0,"",IF(INDEX('قاعدة البيانات'!$H$6:$H$305,$N43)="","— مفيش رقم —",HYPERLINK("tel:"&amp;INDEX('قاعدة البيانات'!$H$6:$H$305,$N43),"📞 "&amp;INDEX('قاعدة البيانات'!$H$6:$H$305,$N43))))</f>
        <v/>
      </c>
      <c r="I43" s="67" t="str">
        <f>IF(OR($N43=0,INDEX('قاعدة البيانات'!$H$6:$H$305,$N43)=""),"",HYPERLINK("https://wa.me/20"&amp;RIGHT(INDEX('قاعدة البيانات'!$H$6:$H$305,$N43),10),"💬 واتساب"))</f>
        <v/>
      </c>
      <c r="J43" s="66" t="str">
        <f>IF($N43=0,"",IF(INDEX('قاعدة البيانات'!$I$6:$I$305,$N43)="","— مفيش رقم —",HYPERLINK("tel:"&amp;INDEX('قاعدة البيانات'!$I$6:$I$305,$N43),"📞 "&amp;INDEX('قاعدة البيانات'!$I$6:$I$305,$N43))))</f>
        <v/>
      </c>
      <c r="K43" s="67" t="str">
        <f>IF(OR($N43=0,INDEX('قاعدة البيانات'!$I$6:$I$305,$N43)=""),"",HYPERLINK("https://wa.me/20"&amp;RIGHT(INDEX('قاعدة البيانات'!$I$6:$I$305,$N43),10),"💬 واتساب"))</f>
        <v/>
      </c>
      <c r="L43" s="68" t="str">
        <f>IF($N43=0,"",IF(INDEX('قاعدة البيانات'!$J$6:$J$305,$N43)="","—",INDEX('قاعدة البيانات'!$J$6:$J$305,$N43)))</f>
        <v/>
      </c>
      <c r="N43">
        <f>IFERROR(MATCH(38,'قاعدة البيانات'!$W$6:$W$305,0),0)</f>
        <v>0</v>
      </c>
    </row>
    <row r="44" spans="1:14" ht="24" customHeight="1">
      <c r="A44" s="49" t="str">
        <f>IF($N44=0,"",39)</f>
        <v/>
      </c>
      <c r="B44" s="50" t="str">
        <f>IF($N44=0,"",INDEX('قاعدة البيانات'!$C$6:$C$305,$N44))</f>
        <v/>
      </c>
      <c r="C44" s="57" t="str">
        <f>IF($N44=0,"",INDEX('قاعدة البيانات'!$F$6:$F$305,$N44))</f>
        <v/>
      </c>
      <c r="D44" s="54" t="str">
        <f>IF($N44=0,"",INDEX('قاعدة البيانات'!$R$6:$R$305,$N44))</f>
        <v/>
      </c>
      <c r="E44" s="55" t="str">
        <f>IF($N44=0,"",INDEX('قاعدة البيانات'!$S$6:$S$305,$N44))</f>
        <v/>
      </c>
      <c r="F44" s="56" t="str">
        <f>IF($N44=0,"",INDEX('قاعدة البيانات'!$T$6:$T$305,$N44))</f>
        <v/>
      </c>
      <c r="G44" s="57" t="str">
        <f>IF($N44=0,"",INDEX('قاعدة البيانات'!$U$6:$U$305,$N44))</f>
        <v/>
      </c>
      <c r="H44" s="66" t="str">
        <f>IF($N44=0,"",IF(INDEX('قاعدة البيانات'!$H$6:$H$305,$N44)="","— مفيش رقم —",HYPERLINK("tel:"&amp;INDEX('قاعدة البيانات'!$H$6:$H$305,$N44),"📞 "&amp;INDEX('قاعدة البيانات'!$H$6:$H$305,$N44))))</f>
        <v/>
      </c>
      <c r="I44" s="67" t="str">
        <f>IF(OR($N44=0,INDEX('قاعدة البيانات'!$H$6:$H$305,$N44)=""),"",HYPERLINK("https://wa.me/20"&amp;RIGHT(INDEX('قاعدة البيانات'!$H$6:$H$305,$N44),10),"💬 واتساب"))</f>
        <v/>
      </c>
      <c r="J44" s="66" t="str">
        <f>IF($N44=0,"",IF(INDEX('قاعدة البيانات'!$I$6:$I$305,$N44)="","— مفيش رقم —",HYPERLINK("tel:"&amp;INDEX('قاعدة البيانات'!$I$6:$I$305,$N44),"📞 "&amp;INDEX('قاعدة البيانات'!$I$6:$I$305,$N44))))</f>
        <v/>
      </c>
      <c r="K44" s="67" t="str">
        <f>IF(OR($N44=0,INDEX('قاعدة البيانات'!$I$6:$I$305,$N44)=""),"",HYPERLINK("https://wa.me/20"&amp;RIGHT(INDEX('قاعدة البيانات'!$I$6:$I$305,$N44),10),"💬 واتساب"))</f>
        <v/>
      </c>
      <c r="L44" s="68" t="str">
        <f>IF($N44=0,"",IF(INDEX('قاعدة البيانات'!$J$6:$J$305,$N44)="","—",INDEX('قاعدة البيانات'!$J$6:$J$305,$N44)))</f>
        <v/>
      </c>
      <c r="N44">
        <f>IFERROR(MATCH(39,'قاعدة البيانات'!$W$6:$W$305,0),0)</f>
        <v>0</v>
      </c>
    </row>
    <row r="45" spans="1:14" ht="24" customHeight="1">
      <c r="A45" s="49" t="str">
        <f>IF($N45=0,"",40)</f>
        <v/>
      </c>
      <c r="B45" s="50" t="str">
        <f>IF($N45=0,"",INDEX('قاعدة البيانات'!$C$6:$C$305,$N45))</f>
        <v/>
      </c>
      <c r="C45" s="57" t="str">
        <f>IF($N45=0,"",INDEX('قاعدة البيانات'!$F$6:$F$305,$N45))</f>
        <v/>
      </c>
      <c r="D45" s="54" t="str">
        <f>IF($N45=0,"",INDEX('قاعدة البيانات'!$R$6:$R$305,$N45))</f>
        <v/>
      </c>
      <c r="E45" s="55" t="str">
        <f>IF($N45=0,"",INDEX('قاعدة البيانات'!$S$6:$S$305,$N45))</f>
        <v/>
      </c>
      <c r="F45" s="56" t="str">
        <f>IF($N45=0,"",INDEX('قاعدة البيانات'!$T$6:$T$305,$N45))</f>
        <v/>
      </c>
      <c r="G45" s="57" t="str">
        <f>IF($N45=0,"",INDEX('قاعدة البيانات'!$U$6:$U$305,$N45))</f>
        <v/>
      </c>
      <c r="H45" s="66" t="str">
        <f>IF($N45=0,"",IF(INDEX('قاعدة البيانات'!$H$6:$H$305,$N45)="","— مفيش رقم —",HYPERLINK("tel:"&amp;INDEX('قاعدة البيانات'!$H$6:$H$305,$N45),"📞 "&amp;INDEX('قاعدة البيانات'!$H$6:$H$305,$N45))))</f>
        <v/>
      </c>
      <c r="I45" s="67" t="str">
        <f>IF(OR($N45=0,INDEX('قاعدة البيانات'!$H$6:$H$305,$N45)=""),"",HYPERLINK("https://wa.me/20"&amp;RIGHT(INDEX('قاعدة البيانات'!$H$6:$H$305,$N45),10),"💬 واتساب"))</f>
        <v/>
      </c>
      <c r="J45" s="66" t="str">
        <f>IF($N45=0,"",IF(INDEX('قاعدة البيانات'!$I$6:$I$305,$N45)="","— مفيش رقم —",HYPERLINK("tel:"&amp;INDEX('قاعدة البيانات'!$I$6:$I$305,$N45),"📞 "&amp;INDEX('قاعدة البيانات'!$I$6:$I$305,$N45))))</f>
        <v/>
      </c>
      <c r="K45" s="67" t="str">
        <f>IF(OR($N45=0,INDEX('قاعدة البيانات'!$I$6:$I$305,$N45)=""),"",HYPERLINK("https://wa.me/20"&amp;RIGHT(INDEX('قاعدة البيانات'!$I$6:$I$305,$N45),10),"💬 واتساب"))</f>
        <v/>
      </c>
      <c r="L45" s="68" t="str">
        <f>IF($N45=0,"",IF(INDEX('قاعدة البيانات'!$J$6:$J$305,$N45)="","—",INDEX('قاعدة البيانات'!$J$6:$J$305,$N45)))</f>
        <v/>
      </c>
      <c r="N45">
        <f>IFERROR(MATCH(40,'قاعدة البيانات'!$W$6:$W$305,0),0)</f>
        <v>0</v>
      </c>
    </row>
    <row r="46" spans="1:14" ht="24" customHeight="1">
      <c r="A46" s="49" t="str">
        <f>IF($N46=0,"",41)</f>
        <v/>
      </c>
      <c r="B46" s="50" t="str">
        <f>IF($N46=0,"",INDEX('قاعدة البيانات'!$C$6:$C$305,$N46))</f>
        <v/>
      </c>
      <c r="C46" s="57" t="str">
        <f>IF($N46=0,"",INDEX('قاعدة البيانات'!$F$6:$F$305,$N46))</f>
        <v/>
      </c>
      <c r="D46" s="54" t="str">
        <f>IF($N46=0,"",INDEX('قاعدة البيانات'!$R$6:$R$305,$N46))</f>
        <v/>
      </c>
      <c r="E46" s="55" t="str">
        <f>IF($N46=0,"",INDEX('قاعدة البيانات'!$S$6:$S$305,$N46))</f>
        <v/>
      </c>
      <c r="F46" s="56" t="str">
        <f>IF($N46=0,"",INDEX('قاعدة البيانات'!$T$6:$T$305,$N46))</f>
        <v/>
      </c>
      <c r="G46" s="57" t="str">
        <f>IF($N46=0,"",INDEX('قاعدة البيانات'!$U$6:$U$305,$N46))</f>
        <v/>
      </c>
      <c r="H46" s="66" t="str">
        <f>IF($N46=0,"",IF(INDEX('قاعدة البيانات'!$H$6:$H$305,$N46)="","— مفيش رقم —",HYPERLINK("tel:"&amp;INDEX('قاعدة البيانات'!$H$6:$H$305,$N46),"📞 "&amp;INDEX('قاعدة البيانات'!$H$6:$H$305,$N46))))</f>
        <v/>
      </c>
      <c r="I46" s="67" t="str">
        <f>IF(OR($N46=0,INDEX('قاعدة البيانات'!$H$6:$H$305,$N46)=""),"",HYPERLINK("https://wa.me/20"&amp;RIGHT(INDEX('قاعدة البيانات'!$H$6:$H$305,$N46),10),"💬 واتساب"))</f>
        <v/>
      </c>
      <c r="J46" s="66" t="str">
        <f>IF($N46=0,"",IF(INDEX('قاعدة البيانات'!$I$6:$I$305,$N46)="","— مفيش رقم —",HYPERLINK("tel:"&amp;INDEX('قاعدة البيانات'!$I$6:$I$305,$N46),"📞 "&amp;INDEX('قاعدة البيانات'!$I$6:$I$305,$N46))))</f>
        <v/>
      </c>
      <c r="K46" s="67" t="str">
        <f>IF(OR($N46=0,INDEX('قاعدة البيانات'!$I$6:$I$305,$N46)=""),"",HYPERLINK("https://wa.me/20"&amp;RIGHT(INDEX('قاعدة البيانات'!$I$6:$I$305,$N46),10),"💬 واتساب"))</f>
        <v/>
      </c>
      <c r="L46" s="68" t="str">
        <f>IF($N46=0,"",IF(INDEX('قاعدة البيانات'!$J$6:$J$305,$N46)="","—",INDEX('قاعدة البيانات'!$J$6:$J$305,$N46)))</f>
        <v/>
      </c>
      <c r="N46">
        <f>IFERROR(MATCH(41,'قاعدة البيانات'!$W$6:$W$305,0),0)</f>
        <v>0</v>
      </c>
    </row>
    <row r="47" spans="1:14" ht="24" customHeight="1">
      <c r="A47" s="49" t="str">
        <f>IF($N47=0,"",42)</f>
        <v/>
      </c>
      <c r="B47" s="50" t="str">
        <f>IF($N47=0,"",INDEX('قاعدة البيانات'!$C$6:$C$305,$N47))</f>
        <v/>
      </c>
      <c r="C47" s="57" t="str">
        <f>IF($N47=0,"",INDEX('قاعدة البيانات'!$F$6:$F$305,$N47))</f>
        <v/>
      </c>
      <c r="D47" s="54" t="str">
        <f>IF($N47=0,"",INDEX('قاعدة البيانات'!$R$6:$R$305,$N47))</f>
        <v/>
      </c>
      <c r="E47" s="55" t="str">
        <f>IF($N47=0,"",INDEX('قاعدة البيانات'!$S$6:$S$305,$N47))</f>
        <v/>
      </c>
      <c r="F47" s="56" t="str">
        <f>IF($N47=0,"",INDEX('قاعدة البيانات'!$T$6:$T$305,$N47))</f>
        <v/>
      </c>
      <c r="G47" s="57" t="str">
        <f>IF($N47=0,"",INDEX('قاعدة البيانات'!$U$6:$U$305,$N47))</f>
        <v/>
      </c>
      <c r="H47" s="66" t="str">
        <f>IF($N47=0,"",IF(INDEX('قاعدة البيانات'!$H$6:$H$305,$N47)="","— مفيش رقم —",HYPERLINK("tel:"&amp;INDEX('قاعدة البيانات'!$H$6:$H$305,$N47),"📞 "&amp;INDEX('قاعدة البيانات'!$H$6:$H$305,$N47))))</f>
        <v/>
      </c>
      <c r="I47" s="67" t="str">
        <f>IF(OR($N47=0,INDEX('قاعدة البيانات'!$H$6:$H$305,$N47)=""),"",HYPERLINK("https://wa.me/20"&amp;RIGHT(INDEX('قاعدة البيانات'!$H$6:$H$305,$N47),10),"💬 واتساب"))</f>
        <v/>
      </c>
      <c r="J47" s="66" t="str">
        <f>IF($N47=0,"",IF(INDEX('قاعدة البيانات'!$I$6:$I$305,$N47)="","— مفيش رقم —",HYPERLINK("tel:"&amp;INDEX('قاعدة البيانات'!$I$6:$I$305,$N47),"📞 "&amp;INDEX('قاعدة البيانات'!$I$6:$I$305,$N47))))</f>
        <v/>
      </c>
      <c r="K47" s="67" t="str">
        <f>IF(OR($N47=0,INDEX('قاعدة البيانات'!$I$6:$I$305,$N47)=""),"",HYPERLINK("https://wa.me/20"&amp;RIGHT(INDEX('قاعدة البيانات'!$I$6:$I$305,$N47),10),"💬 واتساب"))</f>
        <v/>
      </c>
      <c r="L47" s="68" t="str">
        <f>IF($N47=0,"",IF(INDEX('قاعدة البيانات'!$J$6:$J$305,$N47)="","—",INDEX('قاعدة البيانات'!$J$6:$J$305,$N47)))</f>
        <v/>
      </c>
      <c r="N47">
        <f>IFERROR(MATCH(42,'قاعدة البيانات'!$W$6:$W$305,0),0)</f>
        <v>0</v>
      </c>
    </row>
    <row r="48" spans="1:14" ht="24" customHeight="1">
      <c r="A48" s="49" t="str">
        <f>IF($N48=0,"",43)</f>
        <v/>
      </c>
      <c r="B48" s="50" t="str">
        <f>IF($N48=0,"",INDEX('قاعدة البيانات'!$C$6:$C$305,$N48))</f>
        <v/>
      </c>
      <c r="C48" s="57" t="str">
        <f>IF($N48=0,"",INDEX('قاعدة البيانات'!$F$6:$F$305,$N48))</f>
        <v/>
      </c>
      <c r="D48" s="54" t="str">
        <f>IF($N48=0,"",INDEX('قاعدة البيانات'!$R$6:$R$305,$N48))</f>
        <v/>
      </c>
      <c r="E48" s="55" t="str">
        <f>IF($N48=0,"",INDEX('قاعدة البيانات'!$S$6:$S$305,$N48))</f>
        <v/>
      </c>
      <c r="F48" s="56" t="str">
        <f>IF($N48=0,"",INDEX('قاعدة البيانات'!$T$6:$T$305,$N48))</f>
        <v/>
      </c>
      <c r="G48" s="57" t="str">
        <f>IF($N48=0,"",INDEX('قاعدة البيانات'!$U$6:$U$305,$N48))</f>
        <v/>
      </c>
      <c r="H48" s="66" t="str">
        <f>IF($N48=0,"",IF(INDEX('قاعدة البيانات'!$H$6:$H$305,$N48)="","— مفيش رقم —",HYPERLINK("tel:"&amp;INDEX('قاعدة البيانات'!$H$6:$H$305,$N48),"📞 "&amp;INDEX('قاعدة البيانات'!$H$6:$H$305,$N48))))</f>
        <v/>
      </c>
      <c r="I48" s="67" t="str">
        <f>IF(OR($N48=0,INDEX('قاعدة البيانات'!$H$6:$H$305,$N48)=""),"",HYPERLINK("https://wa.me/20"&amp;RIGHT(INDEX('قاعدة البيانات'!$H$6:$H$305,$N48),10),"💬 واتساب"))</f>
        <v/>
      </c>
      <c r="J48" s="66" t="str">
        <f>IF($N48=0,"",IF(INDEX('قاعدة البيانات'!$I$6:$I$305,$N48)="","— مفيش رقم —",HYPERLINK("tel:"&amp;INDEX('قاعدة البيانات'!$I$6:$I$305,$N48),"📞 "&amp;INDEX('قاعدة البيانات'!$I$6:$I$305,$N48))))</f>
        <v/>
      </c>
      <c r="K48" s="67" t="str">
        <f>IF(OR($N48=0,INDEX('قاعدة البيانات'!$I$6:$I$305,$N48)=""),"",HYPERLINK("https://wa.me/20"&amp;RIGHT(INDEX('قاعدة البيانات'!$I$6:$I$305,$N48),10),"💬 واتساب"))</f>
        <v/>
      </c>
      <c r="L48" s="68" t="str">
        <f>IF($N48=0,"",IF(INDEX('قاعدة البيانات'!$J$6:$J$305,$N48)="","—",INDEX('قاعدة البيانات'!$J$6:$J$305,$N48)))</f>
        <v/>
      </c>
      <c r="N48">
        <f>IFERROR(MATCH(43,'قاعدة البيانات'!$W$6:$W$305,0),0)</f>
        <v>0</v>
      </c>
    </row>
    <row r="49" spans="1:14" ht="24" customHeight="1">
      <c r="A49" s="49" t="str">
        <f>IF($N49=0,"",44)</f>
        <v/>
      </c>
      <c r="B49" s="50" t="str">
        <f>IF($N49=0,"",INDEX('قاعدة البيانات'!$C$6:$C$305,$N49))</f>
        <v/>
      </c>
      <c r="C49" s="57" t="str">
        <f>IF($N49=0,"",INDEX('قاعدة البيانات'!$F$6:$F$305,$N49))</f>
        <v/>
      </c>
      <c r="D49" s="54" t="str">
        <f>IF($N49=0,"",INDEX('قاعدة البيانات'!$R$6:$R$305,$N49))</f>
        <v/>
      </c>
      <c r="E49" s="55" t="str">
        <f>IF($N49=0,"",INDEX('قاعدة البيانات'!$S$6:$S$305,$N49))</f>
        <v/>
      </c>
      <c r="F49" s="56" t="str">
        <f>IF($N49=0,"",INDEX('قاعدة البيانات'!$T$6:$T$305,$N49))</f>
        <v/>
      </c>
      <c r="G49" s="57" t="str">
        <f>IF($N49=0,"",INDEX('قاعدة البيانات'!$U$6:$U$305,$N49))</f>
        <v/>
      </c>
      <c r="H49" s="66" t="str">
        <f>IF($N49=0,"",IF(INDEX('قاعدة البيانات'!$H$6:$H$305,$N49)="","— مفيش رقم —",HYPERLINK("tel:"&amp;INDEX('قاعدة البيانات'!$H$6:$H$305,$N49),"📞 "&amp;INDEX('قاعدة البيانات'!$H$6:$H$305,$N49))))</f>
        <v/>
      </c>
      <c r="I49" s="67" t="str">
        <f>IF(OR($N49=0,INDEX('قاعدة البيانات'!$H$6:$H$305,$N49)=""),"",HYPERLINK("https://wa.me/20"&amp;RIGHT(INDEX('قاعدة البيانات'!$H$6:$H$305,$N49),10),"💬 واتساب"))</f>
        <v/>
      </c>
      <c r="J49" s="66" t="str">
        <f>IF($N49=0,"",IF(INDEX('قاعدة البيانات'!$I$6:$I$305,$N49)="","— مفيش رقم —",HYPERLINK("tel:"&amp;INDEX('قاعدة البيانات'!$I$6:$I$305,$N49),"📞 "&amp;INDEX('قاعدة البيانات'!$I$6:$I$305,$N49))))</f>
        <v/>
      </c>
      <c r="K49" s="67" t="str">
        <f>IF(OR($N49=0,INDEX('قاعدة البيانات'!$I$6:$I$305,$N49)=""),"",HYPERLINK("https://wa.me/20"&amp;RIGHT(INDEX('قاعدة البيانات'!$I$6:$I$305,$N49),10),"💬 واتساب"))</f>
        <v/>
      </c>
      <c r="L49" s="68" t="str">
        <f>IF($N49=0,"",IF(INDEX('قاعدة البيانات'!$J$6:$J$305,$N49)="","—",INDEX('قاعدة البيانات'!$J$6:$J$305,$N49)))</f>
        <v/>
      </c>
      <c r="N49">
        <f>IFERROR(MATCH(44,'قاعدة البيانات'!$W$6:$W$305,0),0)</f>
        <v>0</v>
      </c>
    </row>
    <row r="50" spans="1:14" ht="24" customHeight="1">
      <c r="A50" s="49" t="str">
        <f>IF($N50=0,"",45)</f>
        <v/>
      </c>
      <c r="B50" s="50" t="str">
        <f>IF($N50=0,"",INDEX('قاعدة البيانات'!$C$6:$C$305,$N50))</f>
        <v/>
      </c>
      <c r="C50" s="57" t="str">
        <f>IF($N50=0,"",INDEX('قاعدة البيانات'!$F$6:$F$305,$N50))</f>
        <v/>
      </c>
      <c r="D50" s="54" t="str">
        <f>IF($N50=0,"",INDEX('قاعدة البيانات'!$R$6:$R$305,$N50))</f>
        <v/>
      </c>
      <c r="E50" s="55" t="str">
        <f>IF($N50=0,"",INDEX('قاعدة البيانات'!$S$6:$S$305,$N50))</f>
        <v/>
      </c>
      <c r="F50" s="56" t="str">
        <f>IF($N50=0,"",INDEX('قاعدة البيانات'!$T$6:$T$305,$N50))</f>
        <v/>
      </c>
      <c r="G50" s="57" t="str">
        <f>IF($N50=0,"",INDEX('قاعدة البيانات'!$U$6:$U$305,$N50))</f>
        <v/>
      </c>
      <c r="H50" s="66" t="str">
        <f>IF($N50=0,"",IF(INDEX('قاعدة البيانات'!$H$6:$H$305,$N50)="","— مفيش رقم —",HYPERLINK("tel:"&amp;INDEX('قاعدة البيانات'!$H$6:$H$305,$N50),"📞 "&amp;INDEX('قاعدة البيانات'!$H$6:$H$305,$N50))))</f>
        <v/>
      </c>
      <c r="I50" s="67" t="str">
        <f>IF(OR($N50=0,INDEX('قاعدة البيانات'!$H$6:$H$305,$N50)=""),"",HYPERLINK("https://wa.me/20"&amp;RIGHT(INDEX('قاعدة البيانات'!$H$6:$H$305,$N50),10),"💬 واتساب"))</f>
        <v/>
      </c>
      <c r="J50" s="66" t="str">
        <f>IF($N50=0,"",IF(INDEX('قاعدة البيانات'!$I$6:$I$305,$N50)="","— مفيش رقم —",HYPERLINK("tel:"&amp;INDEX('قاعدة البيانات'!$I$6:$I$305,$N50),"📞 "&amp;INDEX('قاعدة البيانات'!$I$6:$I$305,$N50))))</f>
        <v/>
      </c>
      <c r="K50" s="67" t="str">
        <f>IF(OR($N50=0,INDEX('قاعدة البيانات'!$I$6:$I$305,$N50)=""),"",HYPERLINK("https://wa.me/20"&amp;RIGHT(INDEX('قاعدة البيانات'!$I$6:$I$305,$N50),10),"💬 واتساب"))</f>
        <v/>
      </c>
      <c r="L50" s="68" t="str">
        <f>IF($N50=0,"",IF(INDEX('قاعدة البيانات'!$J$6:$J$305,$N50)="","—",INDEX('قاعدة البيانات'!$J$6:$J$305,$N50)))</f>
        <v/>
      </c>
      <c r="N50">
        <f>IFERROR(MATCH(45,'قاعدة البيانات'!$W$6:$W$305,0),0)</f>
        <v>0</v>
      </c>
    </row>
    <row r="51" spans="1:14" ht="24" customHeight="1">
      <c r="A51" s="49" t="str">
        <f>IF($N51=0,"",46)</f>
        <v/>
      </c>
      <c r="B51" s="50" t="str">
        <f>IF($N51=0,"",INDEX('قاعدة البيانات'!$C$6:$C$305,$N51))</f>
        <v/>
      </c>
      <c r="C51" s="57" t="str">
        <f>IF($N51=0,"",INDEX('قاعدة البيانات'!$F$6:$F$305,$N51))</f>
        <v/>
      </c>
      <c r="D51" s="54" t="str">
        <f>IF($N51=0,"",INDEX('قاعدة البيانات'!$R$6:$R$305,$N51))</f>
        <v/>
      </c>
      <c r="E51" s="55" t="str">
        <f>IF($N51=0,"",INDEX('قاعدة البيانات'!$S$6:$S$305,$N51))</f>
        <v/>
      </c>
      <c r="F51" s="56" t="str">
        <f>IF($N51=0,"",INDEX('قاعدة البيانات'!$T$6:$T$305,$N51))</f>
        <v/>
      </c>
      <c r="G51" s="57" t="str">
        <f>IF($N51=0,"",INDEX('قاعدة البيانات'!$U$6:$U$305,$N51))</f>
        <v/>
      </c>
      <c r="H51" s="66" t="str">
        <f>IF($N51=0,"",IF(INDEX('قاعدة البيانات'!$H$6:$H$305,$N51)="","— مفيش رقم —",HYPERLINK("tel:"&amp;INDEX('قاعدة البيانات'!$H$6:$H$305,$N51),"📞 "&amp;INDEX('قاعدة البيانات'!$H$6:$H$305,$N51))))</f>
        <v/>
      </c>
      <c r="I51" s="67" t="str">
        <f>IF(OR($N51=0,INDEX('قاعدة البيانات'!$H$6:$H$305,$N51)=""),"",HYPERLINK("https://wa.me/20"&amp;RIGHT(INDEX('قاعدة البيانات'!$H$6:$H$305,$N51),10),"💬 واتساب"))</f>
        <v/>
      </c>
      <c r="J51" s="66" t="str">
        <f>IF($N51=0,"",IF(INDEX('قاعدة البيانات'!$I$6:$I$305,$N51)="","— مفيش رقم —",HYPERLINK("tel:"&amp;INDEX('قاعدة البيانات'!$I$6:$I$305,$N51),"📞 "&amp;INDEX('قاعدة البيانات'!$I$6:$I$305,$N51))))</f>
        <v/>
      </c>
      <c r="K51" s="67" t="str">
        <f>IF(OR($N51=0,INDEX('قاعدة البيانات'!$I$6:$I$305,$N51)=""),"",HYPERLINK("https://wa.me/20"&amp;RIGHT(INDEX('قاعدة البيانات'!$I$6:$I$305,$N51),10),"💬 واتساب"))</f>
        <v/>
      </c>
      <c r="L51" s="68" t="str">
        <f>IF($N51=0,"",IF(INDEX('قاعدة البيانات'!$J$6:$J$305,$N51)="","—",INDEX('قاعدة البيانات'!$J$6:$J$305,$N51)))</f>
        <v/>
      </c>
      <c r="N51">
        <f>IFERROR(MATCH(46,'قاعدة البيانات'!$W$6:$W$305,0),0)</f>
        <v>0</v>
      </c>
    </row>
    <row r="52" spans="1:14" ht="24" customHeight="1">
      <c r="A52" s="49" t="str">
        <f>IF($N52=0,"",47)</f>
        <v/>
      </c>
      <c r="B52" s="50" t="str">
        <f>IF($N52=0,"",INDEX('قاعدة البيانات'!$C$6:$C$305,$N52))</f>
        <v/>
      </c>
      <c r="C52" s="57" t="str">
        <f>IF($N52=0,"",INDEX('قاعدة البيانات'!$F$6:$F$305,$N52))</f>
        <v/>
      </c>
      <c r="D52" s="54" t="str">
        <f>IF($N52=0,"",INDEX('قاعدة البيانات'!$R$6:$R$305,$N52))</f>
        <v/>
      </c>
      <c r="E52" s="55" t="str">
        <f>IF($N52=0,"",INDEX('قاعدة البيانات'!$S$6:$S$305,$N52))</f>
        <v/>
      </c>
      <c r="F52" s="56" t="str">
        <f>IF($N52=0,"",INDEX('قاعدة البيانات'!$T$6:$T$305,$N52))</f>
        <v/>
      </c>
      <c r="G52" s="57" t="str">
        <f>IF($N52=0,"",INDEX('قاعدة البيانات'!$U$6:$U$305,$N52))</f>
        <v/>
      </c>
      <c r="H52" s="66" t="str">
        <f>IF($N52=0,"",IF(INDEX('قاعدة البيانات'!$H$6:$H$305,$N52)="","— مفيش رقم —",HYPERLINK("tel:"&amp;INDEX('قاعدة البيانات'!$H$6:$H$305,$N52),"📞 "&amp;INDEX('قاعدة البيانات'!$H$6:$H$305,$N52))))</f>
        <v/>
      </c>
      <c r="I52" s="67" t="str">
        <f>IF(OR($N52=0,INDEX('قاعدة البيانات'!$H$6:$H$305,$N52)=""),"",HYPERLINK("https://wa.me/20"&amp;RIGHT(INDEX('قاعدة البيانات'!$H$6:$H$305,$N52),10),"💬 واتساب"))</f>
        <v/>
      </c>
      <c r="J52" s="66" t="str">
        <f>IF($N52=0,"",IF(INDEX('قاعدة البيانات'!$I$6:$I$305,$N52)="","— مفيش رقم —",HYPERLINK("tel:"&amp;INDEX('قاعدة البيانات'!$I$6:$I$305,$N52),"📞 "&amp;INDEX('قاعدة البيانات'!$I$6:$I$305,$N52))))</f>
        <v/>
      </c>
      <c r="K52" s="67" t="str">
        <f>IF(OR($N52=0,INDEX('قاعدة البيانات'!$I$6:$I$305,$N52)=""),"",HYPERLINK("https://wa.me/20"&amp;RIGHT(INDEX('قاعدة البيانات'!$I$6:$I$305,$N52),10),"💬 واتساب"))</f>
        <v/>
      </c>
      <c r="L52" s="68" t="str">
        <f>IF($N52=0,"",IF(INDEX('قاعدة البيانات'!$J$6:$J$305,$N52)="","—",INDEX('قاعدة البيانات'!$J$6:$J$305,$N52)))</f>
        <v/>
      </c>
      <c r="N52">
        <f>IFERROR(MATCH(47,'قاعدة البيانات'!$W$6:$W$305,0),0)</f>
        <v>0</v>
      </c>
    </row>
    <row r="53" spans="1:14" ht="24" customHeight="1">
      <c r="A53" s="49" t="str">
        <f>IF($N53=0,"",48)</f>
        <v/>
      </c>
      <c r="B53" s="50" t="str">
        <f>IF($N53=0,"",INDEX('قاعدة البيانات'!$C$6:$C$305,$N53))</f>
        <v/>
      </c>
      <c r="C53" s="57" t="str">
        <f>IF($N53=0,"",INDEX('قاعدة البيانات'!$F$6:$F$305,$N53))</f>
        <v/>
      </c>
      <c r="D53" s="54" t="str">
        <f>IF($N53=0,"",INDEX('قاعدة البيانات'!$R$6:$R$305,$N53))</f>
        <v/>
      </c>
      <c r="E53" s="55" t="str">
        <f>IF($N53=0,"",INDEX('قاعدة البيانات'!$S$6:$S$305,$N53))</f>
        <v/>
      </c>
      <c r="F53" s="56" t="str">
        <f>IF($N53=0,"",INDEX('قاعدة البيانات'!$T$6:$T$305,$N53))</f>
        <v/>
      </c>
      <c r="G53" s="57" t="str">
        <f>IF($N53=0,"",INDEX('قاعدة البيانات'!$U$6:$U$305,$N53))</f>
        <v/>
      </c>
      <c r="H53" s="66" t="str">
        <f>IF($N53=0,"",IF(INDEX('قاعدة البيانات'!$H$6:$H$305,$N53)="","— مفيش رقم —",HYPERLINK("tel:"&amp;INDEX('قاعدة البيانات'!$H$6:$H$305,$N53),"📞 "&amp;INDEX('قاعدة البيانات'!$H$6:$H$305,$N53))))</f>
        <v/>
      </c>
      <c r="I53" s="67" t="str">
        <f>IF(OR($N53=0,INDEX('قاعدة البيانات'!$H$6:$H$305,$N53)=""),"",HYPERLINK("https://wa.me/20"&amp;RIGHT(INDEX('قاعدة البيانات'!$H$6:$H$305,$N53),10),"💬 واتساب"))</f>
        <v/>
      </c>
      <c r="J53" s="66" t="str">
        <f>IF($N53=0,"",IF(INDEX('قاعدة البيانات'!$I$6:$I$305,$N53)="","— مفيش رقم —",HYPERLINK("tel:"&amp;INDEX('قاعدة البيانات'!$I$6:$I$305,$N53),"📞 "&amp;INDEX('قاعدة البيانات'!$I$6:$I$305,$N53))))</f>
        <v/>
      </c>
      <c r="K53" s="67" t="str">
        <f>IF(OR($N53=0,INDEX('قاعدة البيانات'!$I$6:$I$305,$N53)=""),"",HYPERLINK("https://wa.me/20"&amp;RIGHT(INDEX('قاعدة البيانات'!$I$6:$I$305,$N53),10),"💬 واتساب"))</f>
        <v/>
      </c>
      <c r="L53" s="68" t="str">
        <f>IF($N53=0,"",IF(INDEX('قاعدة البيانات'!$J$6:$J$305,$N53)="","—",INDEX('قاعدة البيانات'!$J$6:$J$305,$N53)))</f>
        <v/>
      </c>
      <c r="N53">
        <f>IFERROR(MATCH(48,'قاعدة البيانات'!$W$6:$W$305,0),0)</f>
        <v>0</v>
      </c>
    </row>
    <row r="54" spans="1:14" ht="24" customHeight="1">
      <c r="A54" s="49" t="str">
        <f>IF($N54=0,"",49)</f>
        <v/>
      </c>
      <c r="B54" s="50" t="str">
        <f>IF($N54=0,"",INDEX('قاعدة البيانات'!$C$6:$C$305,$N54))</f>
        <v/>
      </c>
      <c r="C54" s="57" t="str">
        <f>IF($N54=0,"",INDEX('قاعدة البيانات'!$F$6:$F$305,$N54))</f>
        <v/>
      </c>
      <c r="D54" s="54" t="str">
        <f>IF($N54=0,"",INDEX('قاعدة البيانات'!$R$6:$R$305,$N54))</f>
        <v/>
      </c>
      <c r="E54" s="55" t="str">
        <f>IF($N54=0,"",INDEX('قاعدة البيانات'!$S$6:$S$305,$N54))</f>
        <v/>
      </c>
      <c r="F54" s="56" t="str">
        <f>IF($N54=0,"",INDEX('قاعدة البيانات'!$T$6:$T$305,$N54))</f>
        <v/>
      </c>
      <c r="G54" s="57" t="str">
        <f>IF($N54=0,"",INDEX('قاعدة البيانات'!$U$6:$U$305,$N54))</f>
        <v/>
      </c>
      <c r="H54" s="66" t="str">
        <f>IF($N54=0,"",IF(INDEX('قاعدة البيانات'!$H$6:$H$305,$N54)="","— مفيش رقم —",HYPERLINK("tel:"&amp;INDEX('قاعدة البيانات'!$H$6:$H$305,$N54),"📞 "&amp;INDEX('قاعدة البيانات'!$H$6:$H$305,$N54))))</f>
        <v/>
      </c>
      <c r="I54" s="67" t="str">
        <f>IF(OR($N54=0,INDEX('قاعدة البيانات'!$H$6:$H$305,$N54)=""),"",HYPERLINK("https://wa.me/20"&amp;RIGHT(INDEX('قاعدة البيانات'!$H$6:$H$305,$N54),10),"💬 واتساب"))</f>
        <v/>
      </c>
      <c r="J54" s="66" t="str">
        <f>IF($N54=0,"",IF(INDEX('قاعدة البيانات'!$I$6:$I$305,$N54)="","— مفيش رقم —",HYPERLINK("tel:"&amp;INDEX('قاعدة البيانات'!$I$6:$I$305,$N54),"📞 "&amp;INDEX('قاعدة البيانات'!$I$6:$I$305,$N54))))</f>
        <v/>
      </c>
      <c r="K54" s="67" t="str">
        <f>IF(OR($N54=0,INDEX('قاعدة البيانات'!$I$6:$I$305,$N54)=""),"",HYPERLINK("https://wa.me/20"&amp;RIGHT(INDEX('قاعدة البيانات'!$I$6:$I$305,$N54),10),"💬 واتساب"))</f>
        <v/>
      </c>
      <c r="L54" s="68" t="str">
        <f>IF($N54=0,"",IF(INDEX('قاعدة البيانات'!$J$6:$J$305,$N54)="","—",INDEX('قاعدة البيانات'!$J$6:$J$305,$N54)))</f>
        <v/>
      </c>
      <c r="N54">
        <f>IFERROR(MATCH(49,'قاعدة البيانات'!$W$6:$W$305,0),0)</f>
        <v>0</v>
      </c>
    </row>
    <row r="55" spans="1:14" ht="24" customHeight="1">
      <c r="A55" s="49" t="str">
        <f>IF($N55=0,"",50)</f>
        <v/>
      </c>
      <c r="B55" s="50" t="str">
        <f>IF($N55=0,"",INDEX('قاعدة البيانات'!$C$6:$C$305,$N55))</f>
        <v/>
      </c>
      <c r="C55" s="57" t="str">
        <f>IF($N55=0,"",INDEX('قاعدة البيانات'!$F$6:$F$305,$N55))</f>
        <v/>
      </c>
      <c r="D55" s="54" t="str">
        <f>IF($N55=0,"",INDEX('قاعدة البيانات'!$R$6:$R$305,$N55))</f>
        <v/>
      </c>
      <c r="E55" s="55" t="str">
        <f>IF($N55=0,"",INDEX('قاعدة البيانات'!$S$6:$S$305,$N55))</f>
        <v/>
      </c>
      <c r="F55" s="56" t="str">
        <f>IF($N55=0,"",INDEX('قاعدة البيانات'!$T$6:$T$305,$N55))</f>
        <v/>
      </c>
      <c r="G55" s="57" t="str">
        <f>IF($N55=0,"",INDEX('قاعدة البيانات'!$U$6:$U$305,$N55))</f>
        <v/>
      </c>
      <c r="H55" s="66" t="str">
        <f>IF($N55=0,"",IF(INDEX('قاعدة البيانات'!$H$6:$H$305,$N55)="","— مفيش رقم —",HYPERLINK("tel:"&amp;INDEX('قاعدة البيانات'!$H$6:$H$305,$N55),"📞 "&amp;INDEX('قاعدة البيانات'!$H$6:$H$305,$N55))))</f>
        <v/>
      </c>
      <c r="I55" s="67" t="str">
        <f>IF(OR($N55=0,INDEX('قاعدة البيانات'!$H$6:$H$305,$N55)=""),"",HYPERLINK("https://wa.me/20"&amp;RIGHT(INDEX('قاعدة البيانات'!$H$6:$H$305,$N55),10),"💬 واتساب"))</f>
        <v/>
      </c>
      <c r="J55" s="66" t="str">
        <f>IF($N55=0,"",IF(INDEX('قاعدة البيانات'!$I$6:$I$305,$N55)="","— مفيش رقم —",HYPERLINK("tel:"&amp;INDEX('قاعدة البيانات'!$I$6:$I$305,$N55),"📞 "&amp;INDEX('قاعدة البيانات'!$I$6:$I$305,$N55))))</f>
        <v/>
      </c>
      <c r="K55" s="67" t="str">
        <f>IF(OR($N55=0,INDEX('قاعدة البيانات'!$I$6:$I$305,$N55)=""),"",HYPERLINK("https://wa.me/20"&amp;RIGHT(INDEX('قاعدة البيانات'!$I$6:$I$305,$N55),10),"💬 واتساب"))</f>
        <v/>
      </c>
      <c r="L55" s="68" t="str">
        <f>IF($N55=0,"",IF(INDEX('قاعدة البيانات'!$J$6:$J$305,$N55)="","—",INDEX('قاعدة البيانات'!$J$6:$J$305,$N55)))</f>
        <v/>
      </c>
      <c r="N55">
        <f>IFERROR(MATCH(50,'قاعدة البيانات'!$W$6:$W$305,0),0)</f>
        <v>0</v>
      </c>
    </row>
    <row r="56" spans="1:14" ht="24" customHeight="1">
      <c r="A56" s="49" t="str">
        <f>IF($N56=0,"",51)</f>
        <v/>
      </c>
      <c r="B56" s="50" t="str">
        <f>IF($N56=0,"",INDEX('قاعدة البيانات'!$C$6:$C$305,$N56))</f>
        <v/>
      </c>
      <c r="C56" s="57" t="str">
        <f>IF($N56=0,"",INDEX('قاعدة البيانات'!$F$6:$F$305,$N56))</f>
        <v/>
      </c>
      <c r="D56" s="54" t="str">
        <f>IF($N56=0,"",INDEX('قاعدة البيانات'!$R$6:$R$305,$N56))</f>
        <v/>
      </c>
      <c r="E56" s="55" t="str">
        <f>IF($N56=0,"",INDEX('قاعدة البيانات'!$S$6:$S$305,$N56))</f>
        <v/>
      </c>
      <c r="F56" s="56" t="str">
        <f>IF($N56=0,"",INDEX('قاعدة البيانات'!$T$6:$T$305,$N56))</f>
        <v/>
      </c>
      <c r="G56" s="57" t="str">
        <f>IF($N56=0,"",INDEX('قاعدة البيانات'!$U$6:$U$305,$N56))</f>
        <v/>
      </c>
      <c r="H56" s="66" t="str">
        <f>IF($N56=0,"",IF(INDEX('قاعدة البيانات'!$H$6:$H$305,$N56)="","— مفيش رقم —",HYPERLINK("tel:"&amp;INDEX('قاعدة البيانات'!$H$6:$H$305,$N56),"📞 "&amp;INDEX('قاعدة البيانات'!$H$6:$H$305,$N56))))</f>
        <v/>
      </c>
      <c r="I56" s="67" t="str">
        <f>IF(OR($N56=0,INDEX('قاعدة البيانات'!$H$6:$H$305,$N56)=""),"",HYPERLINK("https://wa.me/20"&amp;RIGHT(INDEX('قاعدة البيانات'!$H$6:$H$305,$N56),10),"💬 واتساب"))</f>
        <v/>
      </c>
      <c r="J56" s="66" t="str">
        <f>IF($N56=0,"",IF(INDEX('قاعدة البيانات'!$I$6:$I$305,$N56)="","— مفيش رقم —",HYPERLINK("tel:"&amp;INDEX('قاعدة البيانات'!$I$6:$I$305,$N56),"📞 "&amp;INDEX('قاعدة البيانات'!$I$6:$I$305,$N56))))</f>
        <v/>
      </c>
      <c r="K56" s="67" t="str">
        <f>IF(OR($N56=0,INDEX('قاعدة البيانات'!$I$6:$I$305,$N56)=""),"",HYPERLINK("https://wa.me/20"&amp;RIGHT(INDEX('قاعدة البيانات'!$I$6:$I$305,$N56),10),"💬 واتساب"))</f>
        <v/>
      </c>
      <c r="L56" s="68" t="str">
        <f>IF($N56=0,"",IF(INDEX('قاعدة البيانات'!$J$6:$J$305,$N56)="","—",INDEX('قاعدة البيانات'!$J$6:$J$305,$N56)))</f>
        <v/>
      </c>
      <c r="N56">
        <f>IFERROR(MATCH(51,'قاعدة البيانات'!$W$6:$W$305,0),0)</f>
        <v>0</v>
      </c>
    </row>
    <row r="57" spans="1:14" ht="24" customHeight="1">
      <c r="A57" s="49" t="str">
        <f>IF($N57=0,"",52)</f>
        <v/>
      </c>
      <c r="B57" s="50" t="str">
        <f>IF($N57=0,"",INDEX('قاعدة البيانات'!$C$6:$C$305,$N57))</f>
        <v/>
      </c>
      <c r="C57" s="57" t="str">
        <f>IF($N57=0,"",INDEX('قاعدة البيانات'!$F$6:$F$305,$N57))</f>
        <v/>
      </c>
      <c r="D57" s="54" t="str">
        <f>IF($N57=0,"",INDEX('قاعدة البيانات'!$R$6:$R$305,$N57))</f>
        <v/>
      </c>
      <c r="E57" s="55" t="str">
        <f>IF($N57=0,"",INDEX('قاعدة البيانات'!$S$6:$S$305,$N57))</f>
        <v/>
      </c>
      <c r="F57" s="56" t="str">
        <f>IF($N57=0,"",INDEX('قاعدة البيانات'!$T$6:$T$305,$N57))</f>
        <v/>
      </c>
      <c r="G57" s="57" t="str">
        <f>IF($N57=0,"",INDEX('قاعدة البيانات'!$U$6:$U$305,$N57))</f>
        <v/>
      </c>
      <c r="H57" s="66" t="str">
        <f>IF($N57=0,"",IF(INDEX('قاعدة البيانات'!$H$6:$H$305,$N57)="","— مفيش رقم —",HYPERLINK("tel:"&amp;INDEX('قاعدة البيانات'!$H$6:$H$305,$N57),"📞 "&amp;INDEX('قاعدة البيانات'!$H$6:$H$305,$N57))))</f>
        <v/>
      </c>
      <c r="I57" s="67" t="str">
        <f>IF(OR($N57=0,INDEX('قاعدة البيانات'!$H$6:$H$305,$N57)=""),"",HYPERLINK("https://wa.me/20"&amp;RIGHT(INDEX('قاعدة البيانات'!$H$6:$H$305,$N57),10),"💬 واتساب"))</f>
        <v/>
      </c>
      <c r="J57" s="66" t="str">
        <f>IF($N57=0,"",IF(INDEX('قاعدة البيانات'!$I$6:$I$305,$N57)="","— مفيش رقم —",HYPERLINK("tel:"&amp;INDEX('قاعدة البيانات'!$I$6:$I$305,$N57),"📞 "&amp;INDEX('قاعدة البيانات'!$I$6:$I$305,$N57))))</f>
        <v/>
      </c>
      <c r="K57" s="67" t="str">
        <f>IF(OR($N57=0,INDEX('قاعدة البيانات'!$I$6:$I$305,$N57)=""),"",HYPERLINK("https://wa.me/20"&amp;RIGHT(INDEX('قاعدة البيانات'!$I$6:$I$305,$N57),10),"💬 واتساب"))</f>
        <v/>
      </c>
      <c r="L57" s="68" t="str">
        <f>IF($N57=0,"",IF(INDEX('قاعدة البيانات'!$J$6:$J$305,$N57)="","—",INDEX('قاعدة البيانات'!$J$6:$J$305,$N57)))</f>
        <v/>
      </c>
      <c r="N57">
        <f>IFERROR(MATCH(52,'قاعدة البيانات'!$W$6:$W$305,0),0)</f>
        <v>0</v>
      </c>
    </row>
    <row r="58" spans="1:14" ht="24" customHeight="1">
      <c r="A58" s="49" t="str">
        <f>IF($N58=0,"",53)</f>
        <v/>
      </c>
      <c r="B58" s="50" t="str">
        <f>IF($N58=0,"",INDEX('قاعدة البيانات'!$C$6:$C$305,$N58))</f>
        <v/>
      </c>
      <c r="C58" s="57" t="str">
        <f>IF($N58=0,"",INDEX('قاعدة البيانات'!$F$6:$F$305,$N58))</f>
        <v/>
      </c>
      <c r="D58" s="54" t="str">
        <f>IF($N58=0,"",INDEX('قاعدة البيانات'!$R$6:$R$305,$N58))</f>
        <v/>
      </c>
      <c r="E58" s="55" t="str">
        <f>IF($N58=0,"",INDEX('قاعدة البيانات'!$S$6:$S$305,$N58))</f>
        <v/>
      </c>
      <c r="F58" s="56" t="str">
        <f>IF($N58=0,"",INDEX('قاعدة البيانات'!$T$6:$T$305,$N58))</f>
        <v/>
      </c>
      <c r="G58" s="57" t="str">
        <f>IF($N58=0,"",INDEX('قاعدة البيانات'!$U$6:$U$305,$N58))</f>
        <v/>
      </c>
      <c r="H58" s="66" t="str">
        <f>IF($N58=0,"",IF(INDEX('قاعدة البيانات'!$H$6:$H$305,$N58)="","— مفيش رقم —",HYPERLINK("tel:"&amp;INDEX('قاعدة البيانات'!$H$6:$H$305,$N58),"📞 "&amp;INDEX('قاعدة البيانات'!$H$6:$H$305,$N58))))</f>
        <v/>
      </c>
      <c r="I58" s="67" t="str">
        <f>IF(OR($N58=0,INDEX('قاعدة البيانات'!$H$6:$H$305,$N58)=""),"",HYPERLINK("https://wa.me/20"&amp;RIGHT(INDEX('قاعدة البيانات'!$H$6:$H$305,$N58),10),"💬 واتساب"))</f>
        <v/>
      </c>
      <c r="J58" s="66" t="str">
        <f>IF($N58=0,"",IF(INDEX('قاعدة البيانات'!$I$6:$I$305,$N58)="","— مفيش رقم —",HYPERLINK("tel:"&amp;INDEX('قاعدة البيانات'!$I$6:$I$305,$N58),"📞 "&amp;INDEX('قاعدة البيانات'!$I$6:$I$305,$N58))))</f>
        <v/>
      </c>
      <c r="K58" s="67" t="str">
        <f>IF(OR($N58=0,INDEX('قاعدة البيانات'!$I$6:$I$305,$N58)=""),"",HYPERLINK("https://wa.me/20"&amp;RIGHT(INDEX('قاعدة البيانات'!$I$6:$I$305,$N58),10),"💬 واتساب"))</f>
        <v/>
      </c>
      <c r="L58" s="68" t="str">
        <f>IF($N58=0,"",IF(INDEX('قاعدة البيانات'!$J$6:$J$305,$N58)="","—",INDEX('قاعدة البيانات'!$J$6:$J$305,$N58)))</f>
        <v/>
      </c>
      <c r="N58">
        <f>IFERROR(MATCH(53,'قاعدة البيانات'!$W$6:$W$305,0),0)</f>
        <v>0</v>
      </c>
    </row>
    <row r="59" spans="1:14" ht="24" customHeight="1">
      <c r="A59" s="49" t="str">
        <f>IF($N59=0,"",54)</f>
        <v/>
      </c>
      <c r="B59" s="50" t="str">
        <f>IF($N59=0,"",INDEX('قاعدة البيانات'!$C$6:$C$305,$N59))</f>
        <v/>
      </c>
      <c r="C59" s="57" t="str">
        <f>IF($N59=0,"",INDEX('قاعدة البيانات'!$F$6:$F$305,$N59))</f>
        <v/>
      </c>
      <c r="D59" s="54" t="str">
        <f>IF($N59=0,"",INDEX('قاعدة البيانات'!$R$6:$R$305,$N59))</f>
        <v/>
      </c>
      <c r="E59" s="55" t="str">
        <f>IF($N59=0,"",INDEX('قاعدة البيانات'!$S$6:$S$305,$N59))</f>
        <v/>
      </c>
      <c r="F59" s="56" t="str">
        <f>IF($N59=0,"",INDEX('قاعدة البيانات'!$T$6:$T$305,$N59))</f>
        <v/>
      </c>
      <c r="G59" s="57" t="str">
        <f>IF($N59=0,"",INDEX('قاعدة البيانات'!$U$6:$U$305,$N59))</f>
        <v/>
      </c>
      <c r="H59" s="66" t="str">
        <f>IF($N59=0,"",IF(INDEX('قاعدة البيانات'!$H$6:$H$305,$N59)="","— مفيش رقم —",HYPERLINK("tel:"&amp;INDEX('قاعدة البيانات'!$H$6:$H$305,$N59),"📞 "&amp;INDEX('قاعدة البيانات'!$H$6:$H$305,$N59))))</f>
        <v/>
      </c>
      <c r="I59" s="67" t="str">
        <f>IF(OR($N59=0,INDEX('قاعدة البيانات'!$H$6:$H$305,$N59)=""),"",HYPERLINK("https://wa.me/20"&amp;RIGHT(INDEX('قاعدة البيانات'!$H$6:$H$305,$N59),10),"💬 واتساب"))</f>
        <v/>
      </c>
      <c r="J59" s="66" t="str">
        <f>IF($N59=0,"",IF(INDEX('قاعدة البيانات'!$I$6:$I$305,$N59)="","— مفيش رقم —",HYPERLINK("tel:"&amp;INDEX('قاعدة البيانات'!$I$6:$I$305,$N59),"📞 "&amp;INDEX('قاعدة البيانات'!$I$6:$I$305,$N59))))</f>
        <v/>
      </c>
      <c r="K59" s="67" t="str">
        <f>IF(OR($N59=0,INDEX('قاعدة البيانات'!$I$6:$I$305,$N59)=""),"",HYPERLINK("https://wa.me/20"&amp;RIGHT(INDEX('قاعدة البيانات'!$I$6:$I$305,$N59),10),"💬 واتساب"))</f>
        <v/>
      </c>
      <c r="L59" s="68" t="str">
        <f>IF($N59=0,"",IF(INDEX('قاعدة البيانات'!$J$6:$J$305,$N59)="","—",INDEX('قاعدة البيانات'!$J$6:$J$305,$N59)))</f>
        <v/>
      </c>
      <c r="N59">
        <f>IFERROR(MATCH(54,'قاعدة البيانات'!$W$6:$W$305,0),0)</f>
        <v>0</v>
      </c>
    </row>
    <row r="60" spans="1:14" ht="24" customHeight="1">
      <c r="A60" s="49" t="str">
        <f>IF($N60=0,"",55)</f>
        <v/>
      </c>
      <c r="B60" s="50" t="str">
        <f>IF($N60=0,"",INDEX('قاعدة البيانات'!$C$6:$C$305,$N60))</f>
        <v/>
      </c>
      <c r="C60" s="57" t="str">
        <f>IF($N60=0,"",INDEX('قاعدة البيانات'!$F$6:$F$305,$N60))</f>
        <v/>
      </c>
      <c r="D60" s="54" t="str">
        <f>IF($N60=0,"",INDEX('قاعدة البيانات'!$R$6:$R$305,$N60))</f>
        <v/>
      </c>
      <c r="E60" s="55" t="str">
        <f>IF($N60=0,"",INDEX('قاعدة البيانات'!$S$6:$S$305,$N60))</f>
        <v/>
      </c>
      <c r="F60" s="56" t="str">
        <f>IF($N60=0,"",INDEX('قاعدة البيانات'!$T$6:$T$305,$N60))</f>
        <v/>
      </c>
      <c r="G60" s="57" t="str">
        <f>IF($N60=0,"",INDEX('قاعدة البيانات'!$U$6:$U$305,$N60))</f>
        <v/>
      </c>
      <c r="H60" s="66" t="str">
        <f>IF($N60=0,"",IF(INDEX('قاعدة البيانات'!$H$6:$H$305,$N60)="","— مفيش رقم —",HYPERLINK("tel:"&amp;INDEX('قاعدة البيانات'!$H$6:$H$305,$N60),"📞 "&amp;INDEX('قاعدة البيانات'!$H$6:$H$305,$N60))))</f>
        <v/>
      </c>
      <c r="I60" s="67" t="str">
        <f>IF(OR($N60=0,INDEX('قاعدة البيانات'!$H$6:$H$305,$N60)=""),"",HYPERLINK("https://wa.me/20"&amp;RIGHT(INDEX('قاعدة البيانات'!$H$6:$H$305,$N60),10),"💬 واتساب"))</f>
        <v/>
      </c>
      <c r="J60" s="66" t="str">
        <f>IF($N60=0,"",IF(INDEX('قاعدة البيانات'!$I$6:$I$305,$N60)="","— مفيش رقم —",HYPERLINK("tel:"&amp;INDEX('قاعدة البيانات'!$I$6:$I$305,$N60),"📞 "&amp;INDEX('قاعدة البيانات'!$I$6:$I$305,$N60))))</f>
        <v/>
      </c>
      <c r="K60" s="67" t="str">
        <f>IF(OR($N60=0,INDEX('قاعدة البيانات'!$I$6:$I$305,$N60)=""),"",HYPERLINK("https://wa.me/20"&amp;RIGHT(INDEX('قاعدة البيانات'!$I$6:$I$305,$N60),10),"💬 واتساب"))</f>
        <v/>
      </c>
      <c r="L60" s="68" t="str">
        <f>IF($N60=0,"",IF(INDEX('قاعدة البيانات'!$J$6:$J$305,$N60)="","—",INDEX('قاعدة البيانات'!$J$6:$J$305,$N60)))</f>
        <v/>
      </c>
      <c r="N60">
        <f>IFERROR(MATCH(55,'قاعدة البيانات'!$W$6:$W$305,0),0)</f>
        <v>0</v>
      </c>
    </row>
    <row r="61" spans="1:14" ht="24" customHeight="1">
      <c r="A61" s="49" t="str">
        <f>IF($N61=0,"",56)</f>
        <v/>
      </c>
      <c r="B61" s="50" t="str">
        <f>IF($N61=0,"",INDEX('قاعدة البيانات'!$C$6:$C$305,$N61))</f>
        <v/>
      </c>
      <c r="C61" s="57" t="str">
        <f>IF($N61=0,"",INDEX('قاعدة البيانات'!$F$6:$F$305,$N61))</f>
        <v/>
      </c>
      <c r="D61" s="54" t="str">
        <f>IF($N61=0,"",INDEX('قاعدة البيانات'!$R$6:$R$305,$N61))</f>
        <v/>
      </c>
      <c r="E61" s="55" t="str">
        <f>IF($N61=0,"",INDEX('قاعدة البيانات'!$S$6:$S$305,$N61))</f>
        <v/>
      </c>
      <c r="F61" s="56" t="str">
        <f>IF($N61=0,"",INDEX('قاعدة البيانات'!$T$6:$T$305,$N61))</f>
        <v/>
      </c>
      <c r="G61" s="57" t="str">
        <f>IF($N61=0,"",INDEX('قاعدة البيانات'!$U$6:$U$305,$N61))</f>
        <v/>
      </c>
      <c r="H61" s="66" t="str">
        <f>IF($N61=0,"",IF(INDEX('قاعدة البيانات'!$H$6:$H$305,$N61)="","— مفيش رقم —",HYPERLINK("tel:"&amp;INDEX('قاعدة البيانات'!$H$6:$H$305,$N61),"📞 "&amp;INDEX('قاعدة البيانات'!$H$6:$H$305,$N61))))</f>
        <v/>
      </c>
      <c r="I61" s="67" t="str">
        <f>IF(OR($N61=0,INDEX('قاعدة البيانات'!$H$6:$H$305,$N61)=""),"",HYPERLINK("https://wa.me/20"&amp;RIGHT(INDEX('قاعدة البيانات'!$H$6:$H$305,$N61),10),"💬 واتساب"))</f>
        <v/>
      </c>
      <c r="J61" s="66" t="str">
        <f>IF($N61=0,"",IF(INDEX('قاعدة البيانات'!$I$6:$I$305,$N61)="","— مفيش رقم —",HYPERLINK("tel:"&amp;INDEX('قاعدة البيانات'!$I$6:$I$305,$N61),"📞 "&amp;INDEX('قاعدة البيانات'!$I$6:$I$305,$N61))))</f>
        <v/>
      </c>
      <c r="K61" s="67" t="str">
        <f>IF(OR($N61=0,INDEX('قاعدة البيانات'!$I$6:$I$305,$N61)=""),"",HYPERLINK("https://wa.me/20"&amp;RIGHT(INDEX('قاعدة البيانات'!$I$6:$I$305,$N61),10),"💬 واتساب"))</f>
        <v/>
      </c>
      <c r="L61" s="68" t="str">
        <f>IF($N61=0,"",IF(INDEX('قاعدة البيانات'!$J$6:$J$305,$N61)="","—",INDEX('قاعدة البيانات'!$J$6:$J$305,$N61)))</f>
        <v/>
      </c>
      <c r="N61">
        <f>IFERROR(MATCH(56,'قاعدة البيانات'!$W$6:$W$305,0),0)</f>
        <v>0</v>
      </c>
    </row>
    <row r="62" spans="1:14" ht="24" customHeight="1">
      <c r="A62" s="49" t="str">
        <f>IF($N62=0,"",57)</f>
        <v/>
      </c>
      <c r="B62" s="50" t="str">
        <f>IF($N62=0,"",INDEX('قاعدة البيانات'!$C$6:$C$305,$N62))</f>
        <v/>
      </c>
      <c r="C62" s="57" t="str">
        <f>IF($N62=0,"",INDEX('قاعدة البيانات'!$F$6:$F$305,$N62))</f>
        <v/>
      </c>
      <c r="D62" s="54" t="str">
        <f>IF($N62=0,"",INDEX('قاعدة البيانات'!$R$6:$R$305,$N62))</f>
        <v/>
      </c>
      <c r="E62" s="55" t="str">
        <f>IF($N62=0,"",INDEX('قاعدة البيانات'!$S$6:$S$305,$N62))</f>
        <v/>
      </c>
      <c r="F62" s="56" t="str">
        <f>IF($N62=0,"",INDEX('قاعدة البيانات'!$T$6:$T$305,$N62))</f>
        <v/>
      </c>
      <c r="G62" s="57" t="str">
        <f>IF($N62=0,"",INDEX('قاعدة البيانات'!$U$6:$U$305,$N62))</f>
        <v/>
      </c>
      <c r="H62" s="66" t="str">
        <f>IF($N62=0,"",IF(INDEX('قاعدة البيانات'!$H$6:$H$305,$N62)="","— مفيش رقم —",HYPERLINK("tel:"&amp;INDEX('قاعدة البيانات'!$H$6:$H$305,$N62),"📞 "&amp;INDEX('قاعدة البيانات'!$H$6:$H$305,$N62))))</f>
        <v/>
      </c>
      <c r="I62" s="67" t="str">
        <f>IF(OR($N62=0,INDEX('قاعدة البيانات'!$H$6:$H$305,$N62)=""),"",HYPERLINK("https://wa.me/20"&amp;RIGHT(INDEX('قاعدة البيانات'!$H$6:$H$305,$N62),10),"💬 واتساب"))</f>
        <v/>
      </c>
      <c r="J62" s="66" t="str">
        <f>IF($N62=0,"",IF(INDEX('قاعدة البيانات'!$I$6:$I$305,$N62)="","— مفيش رقم —",HYPERLINK("tel:"&amp;INDEX('قاعدة البيانات'!$I$6:$I$305,$N62),"📞 "&amp;INDEX('قاعدة البيانات'!$I$6:$I$305,$N62))))</f>
        <v/>
      </c>
      <c r="K62" s="67" t="str">
        <f>IF(OR($N62=0,INDEX('قاعدة البيانات'!$I$6:$I$305,$N62)=""),"",HYPERLINK("https://wa.me/20"&amp;RIGHT(INDEX('قاعدة البيانات'!$I$6:$I$305,$N62),10),"💬 واتساب"))</f>
        <v/>
      </c>
      <c r="L62" s="68" t="str">
        <f>IF($N62=0,"",IF(INDEX('قاعدة البيانات'!$J$6:$J$305,$N62)="","—",INDEX('قاعدة البيانات'!$J$6:$J$305,$N62)))</f>
        <v/>
      </c>
      <c r="N62">
        <f>IFERROR(MATCH(57,'قاعدة البيانات'!$W$6:$W$305,0),0)</f>
        <v>0</v>
      </c>
    </row>
    <row r="63" spans="1:14" ht="24" customHeight="1">
      <c r="A63" s="49" t="str">
        <f>IF($N63=0,"",58)</f>
        <v/>
      </c>
      <c r="B63" s="50" t="str">
        <f>IF($N63=0,"",INDEX('قاعدة البيانات'!$C$6:$C$305,$N63))</f>
        <v/>
      </c>
      <c r="C63" s="57" t="str">
        <f>IF($N63=0,"",INDEX('قاعدة البيانات'!$F$6:$F$305,$N63))</f>
        <v/>
      </c>
      <c r="D63" s="54" t="str">
        <f>IF($N63=0,"",INDEX('قاعدة البيانات'!$R$6:$R$305,$N63))</f>
        <v/>
      </c>
      <c r="E63" s="55" t="str">
        <f>IF($N63=0,"",INDEX('قاعدة البيانات'!$S$6:$S$305,$N63))</f>
        <v/>
      </c>
      <c r="F63" s="56" t="str">
        <f>IF($N63=0,"",INDEX('قاعدة البيانات'!$T$6:$T$305,$N63))</f>
        <v/>
      </c>
      <c r="G63" s="57" t="str">
        <f>IF($N63=0,"",INDEX('قاعدة البيانات'!$U$6:$U$305,$N63))</f>
        <v/>
      </c>
      <c r="H63" s="66" t="str">
        <f>IF($N63=0,"",IF(INDEX('قاعدة البيانات'!$H$6:$H$305,$N63)="","— مفيش رقم —",HYPERLINK("tel:"&amp;INDEX('قاعدة البيانات'!$H$6:$H$305,$N63),"📞 "&amp;INDEX('قاعدة البيانات'!$H$6:$H$305,$N63))))</f>
        <v/>
      </c>
      <c r="I63" s="67" t="str">
        <f>IF(OR($N63=0,INDEX('قاعدة البيانات'!$H$6:$H$305,$N63)=""),"",HYPERLINK("https://wa.me/20"&amp;RIGHT(INDEX('قاعدة البيانات'!$H$6:$H$305,$N63),10),"💬 واتساب"))</f>
        <v/>
      </c>
      <c r="J63" s="66" t="str">
        <f>IF($N63=0,"",IF(INDEX('قاعدة البيانات'!$I$6:$I$305,$N63)="","— مفيش رقم —",HYPERLINK("tel:"&amp;INDEX('قاعدة البيانات'!$I$6:$I$305,$N63),"📞 "&amp;INDEX('قاعدة البيانات'!$I$6:$I$305,$N63))))</f>
        <v/>
      </c>
      <c r="K63" s="67" t="str">
        <f>IF(OR($N63=0,INDEX('قاعدة البيانات'!$I$6:$I$305,$N63)=""),"",HYPERLINK("https://wa.me/20"&amp;RIGHT(INDEX('قاعدة البيانات'!$I$6:$I$305,$N63),10),"💬 واتساب"))</f>
        <v/>
      </c>
      <c r="L63" s="68" t="str">
        <f>IF($N63=0,"",IF(INDEX('قاعدة البيانات'!$J$6:$J$305,$N63)="","—",INDEX('قاعدة البيانات'!$J$6:$J$305,$N63)))</f>
        <v/>
      </c>
      <c r="N63">
        <f>IFERROR(MATCH(58,'قاعدة البيانات'!$W$6:$W$305,0),0)</f>
        <v>0</v>
      </c>
    </row>
    <row r="64" spans="1:14" ht="24" customHeight="1">
      <c r="A64" s="49" t="str">
        <f>IF($N64=0,"",59)</f>
        <v/>
      </c>
      <c r="B64" s="50" t="str">
        <f>IF($N64=0,"",INDEX('قاعدة البيانات'!$C$6:$C$305,$N64))</f>
        <v/>
      </c>
      <c r="C64" s="57" t="str">
        <f>IF($N64=0,"",INDEX('قاعدة البيانات'!$F$6:$F$305,$N64))</f>
        <v/>
      </c>
      <c r="D64" s="54" t="str">
        <f>IF($N64=0,"",INDEX('قاعدة البيانات'!$R$6:$R$305,$N64))</f>
        <v/>
      </c>
      <c r="E64" s="55" t="str">
        <f>IF($N64=0,"",INDEX('قاعدة البيانات'!$S$6:$S$305,$N64))</f>
        <v/>
      </c>
      <c r="F64" s="56" t="str">
        <f>IF($N64=0,"",INDEX('قاعدة البيانات'!$T$6:$T$305,$N64))</f>
        <v/>
      </c>
      <c r="G64" s="57" t="str">
        <f>IF($N64=0,"",INDEX('قاعدة البيانات'!$U$6:$U$305,$N64))</f>
        <v/>
      </c>
      <c r="H64" s="66" t="str">
        <f>IF($N64=0,"",IF(INDEX('قاعدة البيانات'!$H$6:$H$305,$N64)="","— مفيش رقم —",HYPERLINK("tel:"&amp;INDEX('قاعدة البيانات'!$H$6:$H$305,$N64),"📞 "&amp;INDEX('قاعدة البيانات'!$H$6:$H$305,$N64))))</f>
        <v/>
      </c>
      <c r="I64" s="67" t="str">
        <f>IF(OR($N64=0,INDEX('قاعدة البيانات'!$H$6:$H$305,$N64)=""),"",HYPERLINK("https://wa.me/20"&amp;RIGHT(INDEX('قاعدة البيانات'!$H$6:$H$305,$N64),10),"💬 واتساب"))</f>
        <v/>
      </c>
      <c r="J64" s="66" t="str">
        <f>IF($N64=0,"",IF(INDEX('قاعدة البيانات'!$I$6:$I$305,$N64)="","— مفيش رقم —",HYPERLINK("tel:"&amp;INDEX('قاعدة البيانات'!$I$6:$I$305,$N64),"📞 "&amp;INDEX('قاعدة البيانات'!$I$6:$I$305,$N64))))</f>
        <v/>
      </c>
      <c r="K64" s="67" t="str">
        <f>IF(OR($N64=0,INDEX('قاعدة البيانات'!$I$6:$I$305,$N64)=""),"",HYPERLINK("https://wa.me/20"&amp;RIGHT(INDEX('قاعدة البيانات'!$I$6:$I$305,$N64),10),"💬 واتساب"))</f>
        <v/>
      </c>
      <c r="L64" s="68" t="str">
        <f>IF($N64=0,"",IF(INDEX('قاعدة البيانات'!$J$6:$J$305,$N64)="","—",INDEX('قاعدة البيانات'!$J$6:$J$305,$N64)))</f>
        <v/>
      </c>
      <c r="N64">
        <f>IFERROR(MATCH(59,'قاعدة البيانات'!$W$6:$W$305,0),0)</f>
        <v>0</v>
      </c>
    </row>
    <row r="65" spans="1:14" ht="24" customHeight="1">
      <c r="A65" s="49" t="str">
        <f>IF($N65=0,"",60)</f>
        <v/>
      </c>
      <c r="B65" s="50" t="str">
        <f>IF($N65=0,"",INDEX('قاعدة البيانات'!$C$6:$C$305,$N65))</f>
        <v/>
      </c>
      <c r="C65" s="57" t="str">
        <f>IF($N65=0,"",INDEX('قاعدة البيانات'!$F$6:$F$305,$N65))</f>
        <v/>
      </c>
      <c r="D65" s="54" t="str">
        <f>IF($N65=0,"",INDEX('قاعدة البيانات'!$R$6:$R$305,$N65))</f>
        <v/>
      </c>
      <c r="E65" s="55" t="str">
        <f>IF($N65=0,"",INDEX('قاعدة البيانات'!$S$6:$S$305,$N65))</f>
        <v/>
      </c>
      <c r="F65" s="56" t="str">
        <f>IF($N65=0,"",INDEX('قاعدة البيانات'!$T$6:$T$305,$N65))</f>
        <v/>
      </c>
      <c r="G65" s="57" t="str">
        <f>IF($N65=0,"",INDEX('قاعدة البيانات'!$U$6:$U$305,$N65))</f>
        <v/>
      </c>
      <c r="H65" s="66" t="str">
        <f>IF($N65=0,"",IF(INDEX('قاعدة البيانات'!$H$6:$H$305,$N65)="","— مفيش رقم —",HYPERLINK("tel:"&amp;INDEX('قاعدة البيانات'!$H$6:$H$305,$N65),"📞 "&amp;INDEX('قاعدة البيانات'!$H$6:$H$305,$N65))))</f>
        <v/>
      </c>
      <c r="I65" s="67" t="str">
        <f>IF(OR($N65=0,INDEX('قاعدة البيانات'!$H$6:$H$305,$N65)=""),"",HYPERLINK("https://wa.me/20"&amp;RIGHT(INDEX('قاعدة البيانات'!$H$6:$H$305,$N65),10),"💬 واتساب"))</f>
        <v/>
      </c>
      <c r="J65" s="66" t="str">
        <f>IF($N65=0,"",IF(INDEX('قاعدة البيانات'!$I$6:$I$305,$N65)="","— مفيش رقم —",HYPERLINK("tel:"&amp;INDEX('قاعدة البيانات'!$I$6:$I$305,$N65),"📞 "&amp;INDEX('قاعدة البيانات'!$I$6:$I$305,$N65))))</f>
        <v/>
      </c>
      <c r="K65" s="67" t="str">
        <f>IF(OR($N65=0,INDEX('قاعدة البيانات'!$I$6:$I$305,$N65)=""),"",HYPERLINK("https://wa.me/20"&amp;RIGHT(INDEX('قاعدة البيانات'!$I$6:$I$305,$N65),10),"💬 واتساب"))</f>
        <v/>
      </c>
      <c r="L65" s="68" t="str">
        <f>IF($N65=0,"",IF(INDEX('قاعدة البيانات'!$J$6:$J$305,$N65)="","—",INDEX('قاعدة البيانات'!$J$6:$J$305,$N65)))</f>
        <v/>
      </c>
      <c r="N65">
        <f>IFERROR(MATCH(60,'قاعدة البيانات'!$W$6:$W$305,0),0)</f>
        <v>0</v>
      </c>
    </row>
  </sheetData>
  <sheetProtection sheet="1"/>
  <mergeCells count="7">
    <mergeCell ref="A3:L3"/>
    <mergeCell ref="A4:L4"/>
    <mergeCell ref="A1:L1"/>
    <mergeCell ref="A2:B2"/>
    <mergeCell ref="C2:E2"/>
    <mergeCell ref="F2:G2"/>
    <mergeCell ref="H2:I2"/>
  </mergeCells>
  <conditionalFormatting sqref="A6:L65">
    <cfRule type="expression" dxfId="2" priority="2">
      <formula>AND($N6&gt;0,MOD($A6,2)=0)</formula>
    </cfRule>
  </conditionalFormatting>
  <conditionalFormatting sqref="D6:E65">
    <cfRule type="expression" dxfId="1" priority="3">
      <formula>$N6&gt;0</formula>
    </cfRule>
  </conditionalFormatting>
  <printOptions horizontalCentered="1"/>
  <pageMargins left="0.75" right="0.75" top="1" bottom="1" header="0.511811023622047" footer="0.511811023622047"/>
  <pageSetup fitToHeight="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rgb="FF7F8C8D"/>
    <pageSetUpPr fitToPage="1"/>
  </sheetPr>
  <dimension ref="A1:I22"/>
  <sheetViews>
    <sheetView showGridLines="0" rightToLeft="1" zoomScale="90" zoomScaleNormal="90" workbookViewId="0">
      <selection activeCell="B17" sqref="B17"/>
    </sheetView>
  </sheetViews>
  <sheetFormatPr defaultColWidth="8.6640625" defaultRowHeight="14.4"/>
  <cols>
    <col min="1" max="1" width="26" customWidth="1"/>
    <col min="2" max="2" width="20" customWidth="1"/>
    <col min="3" max="3" width="3" customWidth="1"/>
    <col min="4" max="4" width="16" customWidth="1"/>
    <col min="5" max="6" width="10" customWidth="1"/>
    <col min="7" max="8" width="12" customWidth="1"/>
    <col min="9" max="9" width="8" customWidth="1"/>
  </cols>
  <sheetData>
    <row r="1" spans="1:9" ht="42" customHeight="1">
      <c r="A1" s="110" t="s">
        <v>64</v>
      </c>
      <c r="B1" s="110"/>
      <c r="C1" s="110"/>
      <c r="D1" s="110"/>
      <c r="E1" s="110"/>
      <c r="F1" s="110"/>
      <c r="G1" s="110"/>
      <c r="H1" s="110"/>
      <c r="I1" s="110"/>
    </row>
    <row r="2" spans="1:9">
      <c r="A2" s="111" t="str">
        <f>HYPERLINK("#'الرئيسية'!A1","🏠 الرئيسية")</f>
        <v>🏠 الرئيسية</v>
      </c>
      <c r="B2" s="111"/>
    </row>
    <row r="3" spans="1:9" ht="15.6">
      <c r="A3" s="69" t="s">
        <v>65</v>
      </c>
      <c r="D3" s="70" t="s">
        <v>24</v>
      </c>
      <c r="E3" s="70" t="s">
        <v>23</v>
      </c>
      <c r="F3" s="70" t="s">
        <v>66</v>
      </c>
      <c r="G3" s="70" t="s">
        <v>32</v>
      </c>
      <c r="H3" s="70" t="s">
        <v>67</v>
      </c>
      <c r="I3" s="70" t="s">
        <v>68</v>
      </c>
    </row>
    <row r="4" spans="1:9">
      <c r="A4" s="71" t="s">
        <v>69</v>
      </c>
      <c r="B4" s="162" t="s">
        <v>45</v>
      </c>
      <c r="D4" s="73" t="s">
        <v>44</v>
      </c>
      <c r="E4" s="73" t="s">
        <v>43</v>
      </c>
      <c r="F4" s="73" t="s">
        <v>70</v>
      </c>
      <c r="G4" s="73" t="s">
        <v>46</v>
      </c>
      <c r="H4" s="73" t="s">
        <v>71</v>
      </c>
      <c r="I4" s="73" t="s">
        <v>72</v>
      </c>
    </row>
    <row r="5" spans="1:9">
      <c r="A5" s="71" t="s">
        <v>73</v>
      </c>
      <c r="B5" s="72" t="s">
        <v>48</v>
      </c>
      <c r="D5" s="73" t="s">
        <v>49</v>
      </c>
      <c r="E5" s="73" t="s">
        <v>47</v>
      </c>
      <c r="F5" s="73" t="s">
        <v>74</v>
      </c>
      <c r="G5" s="73" t="s">
        <v>75</v>
      </c>
      <c r="H5" s="73" t="s">
        <v>76</v>
      </c>
      <c r="I5" s="73" t="s">
        <v>77</v>
      </c>
    </row>
    <row r="6" spans="1:9">
      <c r="A6" s="71" t="s">
        <v>78</v>
      </c>
      <c r="B6" s="72" t="s">
        <v>50</v>
      </c>
      <c r="D6" s="73" t="s">
        <v>79</v>
      </c>
      <c r="H6" s="73" t="s">
        <v>80</v>
      </c>
      <c r="I6" s="73" t="s">
        <v>81</v>
      </c>
    </row>
    <row r="7" spans="1:9">
      <c r="A7" s="71" t="s">
        <v>82</v>
      </c>
      <c r="B7" s="72" t="s">
        <v>51</v>
      </c>
      <c r="D7" s="73" t="s">
        <v>83</v>
      </c>
      <c r="H7" s="73" t="s">
        <v>84</v>
      </c>
    </row>
    <row r="8" spans="1:9">
      <c r="A8" s="74" t="s">
        <v>85</v>
      </c>
      <c r="D8" s="73" t="s">
        <v>86</v>
      </c>
      <c r="H8" s="73" t="s">
        <v>87</v>
      </c>
    </row>
    <row r="9" spans="1:9" ht="15.6">
      <c r="A9" s="69" t="s">
        <v>88</v>
      </c>
      <c r="D9" s="73" t="s">
        <v>89</v>
      </c>
      <c r="H9" s="73" t="s">
        <v>90</v>
      </c>
    </row>
    <row r="10" spans="1:9">
      <c r="A10" s="75" t="s">
        <v>91</v>
      </c>
      <c r="B10" s="76">
        <v>46296</v>
      </c>
      <c r="D10" s="73"/>
      <c r="H10" s="73" t="s">
        <v>92</v>
      </c>
    </row>
    <row r="11" spans="1:9">
      <c r="A11" s="75" t="s">
        <v>93</v>
      </c>
      <c r="B11" s="77">
        <f>EDATE(B10,12)</f>
        <v>46661</v>
      </c>
      <c r="D11" s="73"/>
    </row>
    <row r="12" spans="1:9">
      <c r="A12" s="75" t="s">
        <v>94</v>
      </c>
      <c r="B12" s="72" t="s">
        <v>90</v>
      </c>
      <c r="D12" s="73"/>
    </row>
    <row r="13" spans="1:9">
      <c r="A13" s="75" t="s">
        <v>95</v>
      </c>
      <c r="B13" s="78">
        <f>MATCH(B12,$H$4:$H$10,0)</f>
        <v>6</v>
      </c>
      <c r="D13" s="73"/>
    </row>
    <row r="14" spans="1:9">
      <c r="A14" s="75" t="s">
        <v>96</v>
      </c>
      <c r="B14" s="77">
        <f>B10+MOD(B13-WEEKDAY(B10),7)</f>
        <v>46297</v>
      </c>
    </row>
    <row r="15" spans="1:9" ht="15.6">
      <c r="A15" s="69" t="s">
        <v>97</v>
      </c>
      <c r="D15" s="79" t="s">
        <v>98</v>
      </c>
    </row>
    <row r="16" spans="1:9">
      <c r="A16" s="75" t="s">
        <v>99</v>
      </c>
      <c r="B16" s="80">
        <v>0.85</v>
      </c>
    </row>
    <row r="17" spans="1:2">
      <c r="A17" s="75" t="s">
        <v>100</v>
      </c>
      <c r="B17" s="80">
        <v>0.7</v>
      </c>
    </row>
    <row r="18" spans="1:2">
      <c r="A18" s="75" t="s">
        <v>101</v>
      </c>
      <c r="B18" s="81">
        <v>3</v>
      </c>
    </row>
    <row r="20" spans="1:2">
      <c r="A20" s="79" t="s">
        <v>102</v>
      </c>
    </row>
    <row r="21" spans="1:2">
      <c r="A21" s="79" t="s">
        <v>103</v>
      </c>
    </row>
    <row r="22" spans="1:2">
      <c r="A22" s="79" t="s">
        <v>104</v>
      </c>
    </row>
  </sheetData>
  <mergeCells count="2">
    <mergeCell ref="A1:I1"/>
    <mergeCell ref="A2:B2"/>
  </mergeCells>
  <dataValidations count="1">
    <dataValidation type="list" sqref="B12" xr:uid="{00000000-0002-0000-0B00-000000000000}">
      <formula1>$H$4:$H$10</formula1>
      <formula2>0</formula2>
    </dataValidation>
  </dataValidations>
  <printOptions horizontalCentered="1"/>
  <pageMargins left="0.75" right="0.75" top="1" bottom="1" header="0.511811023622047" footer="0.511811023622047"/>
  <pageSetup fitToHeight="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pageSetUpPr fitToPage="1"/>
  </sheetPr>
  <dimension ref="A1:C11"/>
  <sheetViews>
    <sheetView showGridLines="0" rightToLeft="1" zoomScale="90" zoomScaleNormal="90" workbookViewId="0"/>
  </sheetViews>
  <sheetFormatPr defaultColWidth="8.6640625" defaultRowHeight="14.4"/>
  <cols>
    <col min="1" max="1" width="3" customWidth="1"/>
    <col min="2" max="2" width="34" customWidth="1"/>
    <col min="3" max="3" width="90" customWidth="1"/>
  </cols>
  <sheetData>
    <row r="1" spans="1:3" ht="45.75" customHeight="1">
      <c r="A1" s="160" t="s">
        <v>105</v>
      </c>
      <c r="B1" s="160"/>
      <c r="C1" s="160"/>
    </row>
    <row r="2" spans="1:3">
      <c r="B2" s="18" t="str">
        <f>HYPERLINK("#'الرئيسية'!A1","🏠 الرئيسية")</f>
        <v>🏠 الرئيسية</v>
      </c>
    </row>
    <row r="4" spans="1:3" ht="61.5" customHeight="1">
      <c r="B4" s="82" t="s">
        <v>106</v>
      </c>
      <c r="C4" s="83" t="s">
        <v>107</v>
      </c>
    </row>
    <row r="5" spans="1:3" ht="61.5" customHeight="1">
      <c r="B5" s="82" t="s">
        <v>108</v>
      </c>
      <c r="C5" s="83" t="s">
        <v>109</v>
      </c>
    </row>
    <row r="6" spans="1:3" ht="61.5" customHeight="1">
      <c r="B6" s="82" t="s">
        <v>110</v>
      </c>
      <c r="C6" s="83" t="s">
        <v>111</v>
      </c>
    </row>
    <row r="7" spans="1:3" ht="61.5" customHeight="1">
      <c r="B7" s="82" t="s">
        <v>112</v>
      </c>
      <c r="C7" s="83" t="s">
        <v>113</v>
      </c>
    </row>
    <row r="8" spans="1:3" ht="61.5" customHeight="1">
      <c r="B8" s="82" t="s">
        <v>114</v>
      </c>
      <c r="C8" s="83" t="s">
        <v>115</v>
      </c>
    </row>
    <row r="9" spans="1:3" ht="61.5" customHeight="1">
      <c r="B9" s="82" t="s">
        <v>116</v>
      </c>
      <c r="C9" s="83" t="s">
        <v>117</v>
      </c>
    </row>
    <row r="10" spans="1:3" ht="61.5" customHeight="1">
      <c r="B10" s="82" t="s">
        <v>118</v>
      </c>
      <c r="C10" s="83" t="s">
        <v>119</v>
      </c>
    </row>
    <row r="11" spans="1:3" ht="61.5" customHeight="1">
      <c r="B11" s="82" t="s">
        <v>120</v>
      </c>
      <c r="C11" s="83" t="s">
        <v>121</v>
      </c>
    </row>
  </sheetData>
  <sheetProtection sheet="1"/>
  <mergeCells count="1">
    <mergeCell ref="A1:C1"/>
  </mergeCells>
  <printOptions horizontalCentered="1"/>
  <pageMargins left="0.75" right="0.75" top="1" bottom="1" header="0.511811023622047" footer="0.511811023622047"/>
  <pageSetup fitToHeight="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الرئيسية</vt:lpstr>
      <vt:lpstr>قاعدة البيانات</vt:lpstr>
      <vt:lpstr>فصل سوريال</vt:lpstr>
      <vt:lpstr>فصل غبريال</vt:lpstr>
      <vt:lpstr>فصل رفائيل</vt:lpstr>
      <vt:lpstr>فصل ميخائيل</vt:lpstr>
      <vt:lpstr>حضور سوريال</vt:lpstr>
      <vt:lpstr>حضور غبريال</vt:lpstr>
      <vt:lpstr>حضور رفائيل</vt:lpstr>
      <vt:lpstr>حضور ميخائيل</vt:lpstr>
      <vt:lpstr>الافتقاد</vt:lpstr>
      <vt:lpstr>الإعدادات</vt:lpstr>
      <vt:lpstr>دليل الاستخدام</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Meena 20230619</cp:lastModifiedBy>
  <cp:revision>1</cp:revision>
  <cp:lastPrinted>2026-10-25T14:08:19Z</cp:lastPrinted>
  <dcterms:created xsi:type="dcterms:W3CDTF">2026-10-20T10:39:05Z</dcterms:created>
  <dcterms:modified xsi:type="dcterms:W3CDTF">2026-10-25T14:28:01Z</dcterms:modified>
  <dc:language>en-US</dc:language>
</cp:coreProperties>
</file>