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tha\Desktop\"/>
    </mc:Choice>
  </mc:AlternateContent>
  <bookViews>
    <workbookView xWindow="0" yWindow="0" windowWidth="20760" windowHeight="11190" tabRatio="745"/>
  </bookViews>
  <sheets>
    <sheet name="Complete" sheetId="2" r:id="rId1"/>
    <sheet name="Data Sheet" sheetId="5" r:id="rId2"/>
    <sheet name=" % Usage per (M²)   " sheetId="22" r:id="rId3"/>
    <sheet name="Eli-Lilly" sheetId="1" r:id="rId4"/>
    <sheet name="Saint - Gobain" sheetId="3" r:id="rId5"/>
    <sheet name="Digistics" sheetId="10" r:id="rId6"/>
    <sheet name="Deposita" sheetId="4" r:id="rId7"/>
    <sheet name="Landis and Gyr" sheetId="7" r:id="rId8"/>
    <sheet name="Premium Ideas - Morvest" sheetId="8" r:id="rId9"/>
    <sheet name="Zodiac" sheetId="9" r:id="rId10"/>
    <sheet name="UTI" sheetId="11" r:id="rId11"/>
    <sheet name="CSD Targus" sheetId="12" r:id="rId12"/>
    <sheet name="UTI 2" sheetId="13" r:id="rId13"/>
    <sheet name="Alaris" sheetId="14" r:id="rId14"/>
    <sheet name="Elliot Mobility 2 Travertine" sheetId="15" r:id="rId15"/>
    <sheet name="Shoprite" sheetId="16" r:id="rId16"/>
    <sheet name="Mazda" sheetId="17" r:id="rId17"/>
    <sheet name="Elliot Mobility 5 Travertine" sheetId="18" r:id="rId18"/>
    <sheet name="IHL Medical" sheetId="21" r:id="rId19"/>
    <sheet name="Tevo" sheetId="19" r:id="rId20"/>
    <sheet name="Master" sheetId="6" state="hidden" r:id="rId21"/>
  </sheets>
  <externalReferences>
    <externalReference r:id="rId22"/>
  </externalReferences>
  <definedNames>
    <definedName name="Electricity_Demand">'Eli-Lilly'!$B$5:$M$5</definedName>
    <definedName name="Off_Peak_Consumption">'Eli-Lilly'!$B$14:$M$14</definedName>
    <definedName name="Peak_Consumtion">'Eli-Lilly'!$B$11:$M$11</definedName>
    <definedName name="_xlnm.Print_Area" localSheetId="1">'Data Sheet'!$A$1:$Q$41</definedName>
    <definedName name="_xlnm.Print_Area" localSheetId="5">Digistics!$B$54:$L$118</definedName>
    <definedName name="Standard_Consumption">'Eli-Lilly'!$B$8:$M$8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6" l="1"/>
  <c r="D38" i="6"/>
  <c r="C38" i="6"/>
  <c r="B38" i="6"/>
  <c r="E36" i="6"/>
  <c r="D36" i="6"/>
  <c r="C36" i="6"/>
  <c r="B36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29" i="6"/>
  <c r="D29" i="6"/>
  <c r="C29" i="6"/>
  <c r="B29" i="6"/>
  <c r="M23" i="6"/>
  <c r="L23" i="6"/>
  <c r="K23" i="6"/>
  <c r="J23" i="6"/>
  <c r="I23" i="6"/>
  <c r="H23" i="6"/>
  <c r="G23" i="6"/>
  <c r="F23" i="6"/>
  <c r="E23" i="6"/>
  <c r="D23" i="6"/>
  <c r="C23" i="6"/>
  <c r="B23" i="6"/>
  <c r="R22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C22" i="6"/>
  <c r="B22" i="6"/>
  <c r="R20" i="6"/>
  <c r="Q20" i="6"/>
  <c r="P20" i="6"/>
  <c r="O20" i="6"/>
  <c r="R19" i="6"/>
  <c r="Q19" i="6"/>
  <c r="P19" i="6"/>
  <c r="O19" i="6"/>
  <c r="R18" i="6"/>
  <c r="Q18" i="6"/>
  <c r="P18" i="6"/>
  <c r="O18" i="6"/>
  <c r="R17" i="6"/>
  <c r="Q17" i="6"/>
  <c r="P17" i="6"/>
  <c r="O17" i="6"/>
  <c r="M16" i="6"/>
  <c r="L16" i="6"/>
  <c r="K16" i="6"/>
  <c r="J16" i="6"/>
  <c r="I16" i="6"/>
  <c r="H16" i="6"/>
  <c r="G16" i="6"/>
  <c r="F16" i="6"/>
  <c r="E16" i="6"/>
  <c r="D16" i="6"/>
  <c r="C16" i="6"/>
  <c r="B16" i="6"/>
  <c r="R14" i="6"/>
  <c r="Q14" i="6"/>
  <c r="P14" i="6"/>
  <c r="O14" i="6"/>
  <c r="M13" i="6"/>
  <c r="L13" i="6"/>
  <c r="K13" i="6"/>
  <c r="J13" i="6"/>
  <c r="I13" i="6"/>
  <c r="H13" i="6"/>
  <c r="G13" i="6"/>
  <c r="F13" i="6"/>
  <c r="E13" i="6"/>
  <c r="D13" i="6"/>
  <c r="C13" i="6"/>
  <c r="B13" i="6"/>
  <c r="R11" i="6"/>
  <c r="Q11" i="6"/>
  <c r="P11" i="6"/>
  <c r="O11" i="6"/>
  <c r="M10" i="6"/>
  <c r="L10" i="6"/>
  <c r="K10" i="6"/>
  <c r="J10" i="6"/>
  <c r="I10" i="6"/>
  <c r="H10" i="6"/>
  <c r="G10" i="6"/>
  <c r="F10" i="6"/>
  <c r="E10" i="6"/>
  <c r="D10" i="6"/>
  <c r="C10" i="6"/>
  <c r="B10" i="6"/>
  <c r="R8" i="6"/>
  <c r="Q8" i="6"/>
  <c r="P8" i="6"/>
  <c r="O8" i="6"/>
  <c r="M7" i="6"/>
  <c r="L7" i="6"/>
  <c r="K7" i="6"/>
  <c r="J7" i="6"/>
  <c r="I7" i="6"/>
  <c r="H7" i="6"/>
  <c r="G7" i="6"/>
  <c r="F7" i="6"/>
  <c r="E7" i="6"/>
  <c r="D7" i="6"/>
  <c r="C7" i="6"/>
  <c r="B7" i="6"/>
  <c r="X5" i="6"/>
  <c r="R5" i="6"/>
  <c r="Q5" i="6"/>
  <c r="P5" i="6"/>
  <c r="O5" i="6"/>
  <c r="C1" i="6"/>
  <c r="A1" i="6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E38" i="19"/>
  <c r="D38" i="19"/>
  <c r="C38" i="19"/>
  <c r="B38" i="19"/>
  <c r="E36" i="19"/>
  <c r="D36" i="19"/>
  <c r="C36" i="19"/>
  <c r="B36" i="19"/>
  <c r="E34" i="19"/>
  <c r="D34" i="19"/>
  <c r="C34" i="19"/>
  <c r="B34" i="19"/>
  <c r="E33" i="19"/>
  <c r="D33" i="19"/>
  <c r="C33" i="19"/>
  <c r="B33" i="19"/>
  <c r="E32" i="19"/>
  <c r="D32" i="19"/>
  <c r="C32" i="19"/>
  <c r="B32" i="19"/>
  <c r="E31" i="19"/>
  <c r="D31" i="19"/>
  <c r="C31" i="19"/>
  <c r="B31" i="19"/>
  <c r="E29" i="19"/>
  <c r="D29" i="19"/>
  <c r="C29" i="19"/>
  <c r="B29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R22" i="19"/>
  <c r="Q22" i="19"/>
  <c r="P22" i="19"/>
  <c r="O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R20" i="19"/>
  <c r="Q20" i="19"/>
  <c r="P20" i="19"/>
  <c r="O20" i="19"/>
  <c r="R19" i="19"/>
  <c r="Q19" i="19"/>
  <c r="P19" i="19"/>
  <c r="O19" i="19"/>
  <c r="R18" i="19"/>
  <c r="Q18" i="19"/>
  <c r="P18" i="19"/>
  <c r="O18" i="19"/>
  <c r="R17" i="19"/>
  <c r="Q17" i="19"/>
  <c r="P17" i="19"/>
  <c r="O17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R14" i="19"/>
  <c r="Q14" i="19"/>
  <c r="P14" i="19"/>
  <c r="O14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R11" i="19"/>
  <c r="Q11" i="19"/>
  <c r="P11" i="19"/>
  <c r="O11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R8" i="19"/>
  <c r="Q8" i="19"/>
  <c r="P8" i="19"/>
  <c r="O8" i="19"/>
  <c r="M7" i="19"/>
  <c r="L7" i="19"/>
  <c r="K7" i="19"/>
  <c r="J7" i="19"/>
  <c r="I7" i="19"/>
  <c r="H7" i="19"/>
  <c r="G7" i="19"/>
  <c r="F7" i="19"/>
  <c r="E7" i="19"/>
  <c r="D7" i="19"/>
  <c r="C7" i="19"/>
  <c r="B7" i="19"/>
  <c r="X5" i="19"/>
  <c r="R5" i="19"/>
  <c r="Q5" i="19"/>
  <c r="P5" i="19"/>
  <c r="O5" i="19"/>
  <c r="C1" i="19"/>
  <c r="A1" i="19"/>
  <c r="S76" i="21"/>
  <c r="R76" i="21"/>
  <c r="Q76" i="21"/>
  <c r="P76" i="21"/>
  <c r="O76" i="21"/>
  <c r="G76" i="21"/>
  <c r="F76" i="21"/>
  <c r="E76" i="21"/>
  <c r="D76" i="21"/>
  <c r="C76" i="21"/>
  <c r="B76" i="21"/>
  <c r="E38" i="21"/>
  <c r="D38" i="21"/>
  <c r="C38" i="21"/>
  <c r="B38" i="21"/>
  <c r="E36" i="21"/>
  <c r="D36" i="21"/>
  <c r="C36" i="21"/>
  <c r="B36" i="21"/>
  <c r="E34" i="21"/>
  <c r="D34" i="21"/>
  <c r="C34" i="21"/>
  <c r="B34" i="21"/>
  <c r="E33" i="21"/>
  <c r="D33" i="21"/>
  <c r="C33" i="21"/>
  <c r="B33" i="21"/>
  <c r="E32" i="21"/>
  <c r="D32" i="21"/>
  <c r="C32" i="21"/>
  <c r="B32" i="21"/>
  <c r="E31" i="21"/>
  <c r="D31" i="21"/>
  <c r="C31" i="21"/>
  <c r="B31" i="21"/>
  <c r="E29" i="21"/>
  <c r="D29" i="21"/>
  <c r="C29" i="21"/>
  <c r="B29" i="21"/>
  <c r="I23" i="21"/>
  <c r="H23" i="21"/>
  <c r="G23" i="21"/>
  <c r="F23" i="21"/>
  <c r="E23" i="21"/>
  <c r="D23" i="21"/>
  <c r="C23" i="21"/>
  <c r="B23" i="21"/>
  <c r="N22" i="21"/>
  <c r="M22" i="21"/>
  <c r="L22" i="21"/>
  <c r="K22" i="21"/>
  <c r="I22" i="21"/>
  <c r="H22" i="21"/>
  <c r="G22" i="21"/>
  <c r="F22" i="21"/>
  <c r="E22" i="21"/>
  <c r="D22" i="21"/>
  <c r="C22" i="21"/>
  <c r="B22" i="21"/>
  <c r="N20" i="21"/>
  <c r="M20" i="21"/>
  <c r="L20" i="21"/>
  <c r="K20" i="21"/>
  <c r="N19" i="21"/>
  <c r="M19" i="21"/>
  <c r="L19" i="21"/>
  <c r="K19" i="21"/>
  <c r="N18" i="21"/>
  <c r="M18" i="21"/>
  <c r="L18" i="21"/>
  <c r="K18" i="21"/>
  <c r="N17" i="21"/>
  <c r="M17" i="21"/>
  <c r="L17" i="21"/>
  <c r="K17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N14" i="21"/>
  <c r="M14" i="21"/>
  <c r="L14" i="21"/>
  <c r="K14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N11" i="21"/>
  <c r="M11" i="21"/>
  <c r="L11" i="21"/>
  <c r="K11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N8" i="21"/>
  <c r="M8" i="21"/>
  <c r="L8" i="21"/>
  <c r="K8" i="21"/>
  <c r="I7" i="21"/>
  <c r="H7" i="21"/>
  <c r="G7" i="21"/>
  <c r="F7" i="21"/>
  <c r="E7" i="21"/>
  <c r="D7" i="21"/>
  <c r="C7" i="21"/>
  <c r="B7" i="21"/>
  <c r="T5" i="21"/>
  <c r="N5" i="21"/>
  <c r="M5" i="21"/>
  <c r="L5" i="21"/>
  <c r="K5" i="21"/>
  <c r="C1" i="21"/>
  <c r="A1" i="21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E38" i="18"/>
  <c r="D38" i="18"/>
  <c r="C38" i="18"/>
  <c r="B38" i="18"/>
  <c r="E36" i="18"/>
  <c r="D36" i="18"/>
  <c r="C36" i="18"/>
  <c r="B36" i="18"/>
  <c r="E34" i="18"/>
  <c r="D34" i="18"/>
  <c r="C34" i="18"/>
  <c r="B34" i="18"/>
  <c r="E33" i="18"/>
  <c r="D33" i="18"/>
  <c r="C33" i="18"/>
  <c r="B33" i="18"/>
  <c r="E32" i="18"/>
  <c r="D32" i="18"/>
  <c r="C32" i="18"/>
  <c r="B32" i="18"/>
  <c r="E31" i="18"/>
  <c r="D31" i="18"/>
  <c r="C31" i="18"/>
  <c r="B31" i="18"/>
  <c r="E29" i="18"/>
  <c r="D29" i="18"/>
  <c r="C29" i="18"/>
  <c r="B29" i="18"/>
  <c r="E23" i="18"/>
  <c r="D23" i="18"/>
  <c r="C23" i="18"/>
  <c r="B23" i="18"/>
  <c r="J22" i="18"/>
  <c r="I22" i="18"/>
  <c r="H22" i="18"/>
  <c r="G22" i="18"/>
  <c r="E22" i="18"/>
  <c r="D22" i="18"/>
  <c r="C22" i="18"/>
  <c r="B22" i="18"/>
  <c r="J20" i="18"/>
  <c r="I20" i="18"/>
  <c r="H20" i="18"/>
  <c r="G20" i="18"/>
  <c r="J19" i="18"/>
  <c r="I19" i="18"/>
  <c r="H19" i="18"/>
  <c r="G19" i="18"/>
  <c r="J18" i="18"/>
  <c r="I18" i="18"/>
  <c r="H18" i="18"/>
  <c r="G18" i="18"/>
  <c r="J17" i="18"/>
  <c r="I17" i="18"/>
  <c r="H17" i="18"/>
  <c r="G17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J14" i="18"/>
  <c r="I14" i="18"/>
  <c r="H14" i="18"/>
  <c r="G14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J11" i="18"/>
  <c r="I11" i="18"/>
  <c r="H11" i="18"/>
  <c r="G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J8" i="18"/>
  <c r="I8" i="18"/>
  <c r="H8" i="18"/>
  <c r="G8" i="18"/>
  <c r="E7" i="18"/>
  <c r="D7" i="18"/>
  <c r="C7" i="18"/>
  <c r="B7" i="18"/>
  <c r="P5" i="18"/>
  <c r="J5" i="18"/>
  <c r="I5" i="18"/>
  <c r="H5" i="18"/>
  <c r="G5" i="18"/>
  <c r="C1" i="18"/>
  <c r="A1" i="18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E38" i="17"/>
  <c r="D38" i="17"/>
  <c r="C38" i="17"/>
  <c r="B38" i="17"/>
  <c r="E36" i="17"/>
  <c r="D36" i="17"/>
  <c r="C36" i="17"/>
  <c r="B36" i="17"/>
  <c r="AB34" i="17"/>
  <c r="E34" i="17"/>
  <c r="D34" i="17"/>
  <c r="C34" i="17"/>
  <c r="B34" i="17"/>
  <c r="AB33" i="17"/>
  <c r="E33" i="17"/>
  <c r="D33" i="17"/>
  <c r="C33" i="17"/>
  <c r="B33" i="17"/>
  <c r="AB32" i="17"/>
  <c r="E32" i="17"/>
  <c r="D32" i="17"/>
  <c r="C32" i="17"/>
  <c r="B32" i="17"/>
  <c r="AB31" i="17"/>
  <c r="E31" i="17"/>
  <c r="D31" i="17"/>
  <c r="C31" i="17"/>
  <c r="B31" i="17"/>
  <c r="E29" i="17"/>
  <c r="D29" i="17"/>
  <c r="C29" i="17"/>
  <c r="B29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R22" i="17"/>
  <c r="Q22" i="17"/>
  <c r="P22" i="17"/>
  <c r="O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R20" i="17"/>
  <c r="Q20" i="17"/>
  <c r="P20" i="17"/>
  <c r="O20" i="17"/>
  <c r="R19" i="17"/>
  <c r="Q19" i="17"/>
  <c r="P19" i="17"/>
  <c r="O19" i="17"/>
  <c r="R18" i="17"/>
  <c r="Q18" i="17"/>
  <c r="P18" i="17"/>
  <c r="O18" i="17"/>
  <c r="R17" i="17"/>
  <c r="Q17" i="17"/>
  <c r="P17" i="17"/>
  <c r="O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R14" i="17"/>
  <c r="Q14" i="17"/>
  <c r="P14" i="17"/>
  <c r="O14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R11" i="17"/>
  <c r="Q11" i="17"/>
  <c r="P11" i="17"/>
  <c r="O11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R8" i="17"/>
  <c r="Q8" i="17"/>
  <c r="P8" i="17"/>
  <c r="O8" i="17"/>
  <c r="M7" i="17"/>
  <c r="L7" i="17"/>
  <c r="K7" i="17"/>
  <c r="J7" i="17"/>
  <c r="I7" i="17"/>
  <c r="H7" i="17"/>
  <c r="G7" i="17"/>
  <c r="F7" i="17"/>
  <c r="E7" i="17"/>
  <c r="D7" i="17"/>
  <c r="C7" i="17"/>
  <c r="B7" i="17"/>
  <c r="X5" i="17"/>
  <c r="R5" i="17"/>
  <c r="Q5" i="17"/>
  <c r="P5" i="17"/>
  <c r="O5" i="17"/>
  <c r="C1" i="17"/>
  <c r="A1" i="17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E38" i="16"/>
  <c r="D38" i="16"/>
  <c r="C38" i="16"/>
  <c r="B38" i="16"/>
  <c r="E36" i="16"/>
  <c r="D36" i="16"/>
  <c r="C36" i="16"/>
  <c r="B36" i="16"/>
  <c r="AB34" i="16"/>
  <c r="E34" i="16"/>
  <c r="D34" i="16"/>
  <c r="C34" i="16"/>
  <c r="B34" i="16"/>
  <c r="AB33" i="16"/>
  <c r="E33" i="16"/>
  <c r="D33" i="16"/>
  <c r="C33" i="16"/>
  <c r="B33" i="16"/>
  <c r="AB32" i="16"/>
  <c r="E32" i="16"/>
  <c r="D32" i="16"/>
  <c r="C32" i="16"/>
  <c r="B32" i="16"/>
  <c r="AB31" i="16"/>
  <c r="E31" i="16"/>
  <c r="D31" i="16"/>
  <c r="C31" i="16"/>
  <c r="B31" i="16"/>
  <c r="E29" i="16"/>
  <c r="D29" i="16"/>
  <c r="C29" i="16"/>
  <c r="B29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R22" i="16"/>
  <c r="Q22" i="16"/>
  <c r="P22" i="16"/>
  <c r="O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R20" i="16"/>
  <c r="Q20" i="16"/>
  <c r="P20" i="16"/>
  <c r="O20" i="16"/>
  <c r="R19" i="16"/>
  <c r="Q19" i="16"/>
  <c r="P19" i="16"/>
  <c r="O19" i="16"/>
  <c r="R18" i="16"/>
  <c r="Q18" i="16"/>
  <c r="P18" i="16"/>
  <c r="O18" i="16"/>
  <c r="R17" i="16"/>
  <c r="Q17" i="16"/>
  <c r="P17" i="16"/>
  <c r="O17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R14" i="16"/>
  <c r="Q14" i="16"/>
  <c r="P14" i="16"/>
  <c r="O14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R11" i="16"/>
  <c r="Q11" i="16"/>
  <c r="P11" i="16"/>
  <c r="O11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R8" i="16"/>
  <c r="Q8" i="16"/>
  <c r="P8" i="16"/>
  <c r="O8" i="16"/>
  <c r="M7" i="16"/>
  <c r="L7" i="16"/>
  <c r="K7" i="16"/>
  <c r="J7" i="16"/>
  <c r="I7" i="16"/>
  <c r="H7" i="16"/>
  <c r="G7" i="16"/>
  <c r="F7" i="16"/>
  <c r="E7" i="16"/>
  <c r="D7" i="16"/>
  <c r="C7" i="16"/>
  <c r="B7" i="16"/>
  <c r="X5" i="16"/>
  <c r="R5" i="16"/>
  <c r="Q5" i="16"/>
  <c r="P5" i="16"/>
  <c r="O5" i="16"/>
  <c r="C1" i="16"/>
  <c r="A1" i="16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E38" i="15"/>
  <c r="D38" i="15"/>
  <c r="C38" i="15"/>
  <c r="B38" i="15"/>
  <c r="E36" i="15"/>
  <c r="D36" i="15"/>
  <c r="C36" i="15"/>
  <c r="B36" i="15"/>
  <c r="AB34" i="15"/>
  <c r="E34" i="15"/>
  <c r="D34" i="15"/>
  <c r="C34" i="15"/>
  <c r="B34" i="15"/>
  <c r="AB33" i="15"/>
  <c r="E33" i="15"/>
  <c r="D33" i="15"/>
  <c r="C33" i="15"/>
  <c r="B33" i="15"/>
  <c r="AB32" i="15"/>
  <c r="E32" i="15"/>
  <c r="D32" i="15"/>
  <c r="C32" i="15"/>
  <c r="B32" i="15"/>
  <c r="AB31" i="15"/>
  <c r="E31" i="15"/>
  <c r="D31" i="15"/>
  <c r="C31" i="15"/>
  <c r="B31" i="15"/>
  <c r="E29" i="15"/>
  <c r="D29" i="15"/>
  <c r="C29" i="15"/>
  <c r="B29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R22" i="15"/>
  <c r="Q22" i="15"/>
  <c r="P22" i="15"/>
  <c r="O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R20" i="15"/>
  <c r="Q20" i="15"/>
  <c r="P20" i="15"/>
  <c r="O20" i="15"/>
  <c r="R19" i="15"/>
  <c r="Q19" i="15"/>
  <c r="P19" i="15"/>
  <c r="O19" i="15"/>
  <c r="R18" i="15"/>
  <c r="Q18" i="15"/>
  <c r="P18" i="15"/>
  <c r="O18" i="15"/>
  <c r="R17" i="15"/>
  <c r="Q17" i="15"/>
  <c r="P17" i="15"/>
  <c r="O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R14" i="15"/>
  <c r="Q14" i="15"/>
  <c r="P14" i="15"/>
  <c r="O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R11" i="15"/>
  <c r="Q11" i="15"/>
  <c r="P11" i="15"/>
  <c r="O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R8" i="15"/>
  <c r="Q8" i="15"/>
  <c r="P8" i="15"/>
  <c r="O8" i="15"/>
  <c r="M7" i="15"/>
  <c r="L7" i="15"/>
  <c r="K7" i="15"/>
  <c r="J7" i="15"/>
  <c r="I7" i="15"/>
  <c r="H7" i="15"/>
  <c r="G7" i="15"/>
  <c r="F7" i="15"/>
  <c r="E7" i="15"/>
  <c r="D7" i="15"/>
  <c r="C7" i="15"/>
  <c r="B7" i="15"/>
  <c r="X5" i="15"/>
  <c r="R5" i="15"/>
  <c r="Q5" i="15"/>
  <c r="P5" i="15"/>
  <c r="O5" i="15"/>
  <c r="C1" i="15"/>
  <c r="A1" i="15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E38" i="14"/>
  <c r="D38" i="14"/>
  <c r="C38" i="14"/>
  <c r="B38" i="14"/>
  <c r="E36" i="14"/>
  <c r="D36" i="14"/>
  <c r="C36" i="14"/>
  <c r="B36" i="14"/>
  <c r="AB34" i="14"/>
  <c r="E34" i="14"/>
  <c r="D34" i="14"/>
  <c r="C34" i="14"/>
  <c r="B34" i="14"/>
  <c r="AB33" i="14"/>
  <c r="E33" i="14"/>
  <c r="D33" i="14"/>
  <c r="C33" i="14"/>
  <c r="B33" i="14"/>
  <c r="AB32" i="14"/>
  <c r="E32" i="14"/>
  <c r="D32" i="14"/>
  <c r="C32" i="14"/>
  <c r="B32" i="14"/>
  <c r="AB31" i="14"/>
  <c r="E31" i="14"/>
  <c r="D31" i="14"/>
  <c r="C31" i="14"/>
  <c r="B31" i="14"/>
  <c r="E29" i="14"/>
  <c r="D29" i="14"/>
  <c r="C29" i="14"/>
  <c r="B29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R22" i="14"/>
  <c r="Q22" i="14"/>
  <c r="P22" i="14"/>
  <c r="O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R20" i="14"/>
  <c r="Q20" i="14"/>
  <c r="P20" i="14"/>
  <c r="O20" i="14"/>
  <c r="R19" i="14"/>
  <c r="Q19" i="14"/>
  <c r="P19" i="14"/>
  <c r="O19" i="14"/>
  <c r="R18" i="14"/>
  <c r="Q18" i="14"/>
  <c r="P18" i="14"/>
  <c r="O18" i="14"/>
  <c r="R17" i="14"/>
  <c r="Q17" i="14"/>
  <c r="P17" i="14"/>
  <c r="O17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R14" i="14"/>
  <c r="Q14" i="14"/>
  <c r="P14" i="14"/>
  <c r="O14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R11" i="14"/>
  <c r="Q11" i="14"/>
  <c r="P11" i="14"/>
  <c r="O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R8" i="14"/>
  <c r="Q8" i="14"/>
  <c r="P8" i="14"/>
  <c r="O8" i="14"/>
  <c r="M7" i="14"/>
  <c r="L7" i="14"/>
  <c r="K7" i="14"/>
  <c r="J7" i="14"/>
  <c r="I7" i="14"/>
  <c r="H7" i="14"/>
  <c r="G7" i="14"/>
  <c r="F7" i="14"/>
  <c r="E7" i="14"/>
  <c r="D7" i="14"/>
  <c r="C7" i="14"/>
  <c r="B7" i="14"/>
  <c r="X5" i="14"/>
  <c r="R5" i="14"/>
  <c r="Q5" i="14"/>
  <c r="P5" i="14"/>
  <c r="O5" i="14"/>
  <c r="C1" i="14"/>
  <c r="A1" i="14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E38" i="13"/>
  <c r="D38" i="13"/>
  <c r="C38" i="13"/>
  <c r="B38" i="13"/>
  <c r="E36" i="13"/>
  <c r="D36" i="13"/>
  <c r="C36" i="13"/>
  <c r="B36" i="13"/>
  <c r="AB34" i="13"/>
  <c r="E34" i="13"/>
  <c r="D34" i="13"/>
  <c r="C34" i="13"/>
  <c r="B34" i="13"/>
  <c r="AB33" i="13"/>
  <c r="E33" i="13"/>
  <c r="D33" i="13"/>
  <c r="C33" i="13"/>
  <c r="B33" i="13"/>
  <c r="AB32" i="13"/>
  <c r="E32" i="13"/>
  <c r="D32" i="13"/>
  <c r="C32" i="13"/>
  <c r="B32" i="13"/>
  <c r="AB31" i="13"/>
  <c r="E31" i="13"/>
  <c r="D31" i="13"/>
  <c r="C31" i="13"/>
  <c r="B31" i="13"/>
  <c r="E29" i="13"/>
  <c r="D29" i="13"/>
  <c r="C29" i="13"/>
  <c r="B29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R22" i="13"/>
  <c r="Q22" i="13"/>
  <c r="P22" i="13"/>
  <c r="O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R20" i="13"/>
  <c r="Q20" i="13"/>
  <c r="P20" i="13"/>
  <c r="O20" i="13"/>
  <c r="R19" i="13"/>
  <c r="Q19" i="13"/>
  <c r="P19" i="13"/>
  <c r="O19" i="13"/>
  <c r="R18" i="13"/>
  <c r="Q18" i="13"/>
  <c r="P18" i="13"/>
  <c r="O18" i="13"/>
  <c r="R17" i="13"/>
  <c r="Q17" i="13"/>
  <c r="P17" i="13"/>
  <c r="O17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R14" i="13"/>
  <c r="Q14" i="13"/>
  <c r="P14" i="13"/>
  <c r="O14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R11" i="13"/>
  <c r="Q11" i="13"/>
  <c r="P11" i="13"/>
  <c r="O11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R8" i="13"/>
  <c r="Q8" i="13"/>
  <c r="P8" i="13"/>
  <c r="O8" i="13"/>
  <c r="M7" i="13"/>
  <c r="L7" i="13"/>
  <c r="K7" i="13"/>
  <c r="J7" i="13"/>
  <c r="I7" i="13"/>
  <c r="H7" i="13"/>
  <c r="G7" i="13"/>
  <c r="F7" i="13"/>
  <c r="E7" i="13"/>
  <c r="D7" i="13"/>
  <c r="C7" i="13"/>
  <c r="B7" i="13"/>
  <c r="X5" i="13"/>
  <c r="R5" i="13"/>
  <c r="Q5" i="13"/>
  <c r="P5" i="13"/>
  <c r="O5" i="13"/>
  <c r="C1" i="13"/>
  <c r="A1" i="13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E38" i="12"/>
  <c r="D38" i="12"/>
  <c r="C38" i="12"/>
  <c r="B38" i="12"/>
  <c r="E36" i="12"/>
  <c r="D36" i="12"/>
  <c r="C36" i="12"/>
  <c r="B36" i="12"/>
  <c r="AB34" i="12"/>
  <c r="E34" i="12"/>
  <c r="D34" i="12"/>
  <c r="C34" i="12"/>
  <c r="B34" i="12"/>
  <c r="AB33" i="12"/>
  <c r="E33" i="12"/>
  <c r="D33" i="12"/>
  <c r="C33" i="12"/>
  <c r="B33" i="12"/>
  <c r="AB32" i="12"/>
  <c r="E32" i="12"/>
  <c r="D32" i="12"/>
  <c r="C32" i="12"/>
  <c r="B32" i="12"/>
  <c r="AB31" i="12"/>
  <c r="E31" i="12"/>
  <c r="D31" i="12"/>
  <c r="C31" i="12"/>
  <c r="B31" i="12"/>
  <c r="E29" i="12"/>
  <c r="D29" i="12"/>
  <c r="C29" i="12"/>
  <c r="B29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R22" i="12"/>
  <c r="Q22" i="12"/>
  <c r="P22" i="12"/>
  <c r="O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R20" i="12"/>
  <c r="Q20" i="12"/>
  <c r="P20" i="12"/>
  <c r="O20" i="12"/>
  <c r="R19" i="12"/>
  <c r="Q19" i="12"/>
  <c r="P19" i="12"/>
  <c r="O19" i="12"/>
  <c r="R18" i="12"/>
  <c r="Q18" i="12"/>
  <c r="P18" i="12"/>
  <c r="O18" i="12"/>
  <c r="R17" i="12"/>
  <c r="Q17" i="12"/>
  <c r="P17" i="12"/>
  <c r="O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R14" i="12"/>
  <c r="Q14" i="12"/>
  <c r="P14" i="12"/>
  <c r="O14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R11" i="12"/>
  <c r="Q11" i="12"/>
  <c r="P11" i="12"/>
  <c r="O11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R8" i="12"/>
  <c r="Q8" i="12"/>
  <c r="P8" i="12"/>
  <c r="O8" i="12"/>
  <c r="M7" i="12"/>
  <c r="L7" i="12"/>
  <c r="K7" i="12"/>
  <c r="J7" i="12"/>
  <c r="I7" i="12"/>
  <c r="H7" i="12"/>
  <c r="G7" i="12"/>
  <c r="F7" i="12"/>
  <c r="E7" i="12"/>
  <c r="D7" i="12"/>
  <c r="C7" i="12"/>
  <c r="B7" i="12"/>
  <c r="X5" i="12"/>
  <c r="R5" i="12"/>
  <c r="Q5" i="12"/>
  <c r="P5" i="12"/>
  <c r="O5" i="12"/>
  <c r="C1" i="12"/>
  <c r="A1" i="12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E38" i="11"/>
  <c r="D38" i="11"/>
  <c r="C38" i="11"/>
  <c r="B38" i="11"/>
  <c r="E36" i="11"/>
  <c r="D36" i="11"/>
  <c r="C36" i="11"/>
  <c r="B36" i="11"/>
  <c r="AB34" i="11"/>
  <c r="E34" i="11"/>
  <c r="D34" i="11"/>
  <c r="C34" i="11"/>
  <c r="B34" i="11"/>
  <c r="AB33" i="11"/>
  <c r="E33" i="11"/>
  <c r="D33" i="11"/>
  <c r="C33" i="11"/>
  <c r="B33" i="11"/>
  <c r="AB32" i="11"/>
  <c r="E32" i="11"/>
  <c r="D32" i="11"/>
  <c r="C32" i="11"/>
  <c r="B32" i="11"/>
  <c r="AB31" i="11"/>
  <c r="E31" i="11"/>
  <c r="D31" i="11"/>
  <c r="C31" i="11"/>
  <c r="B31" i="11"/>
  <c r="E29" i="11"/>
  <c r="D29" i="11"/>
  <c r="C29" i="11"/>
  <c r="B29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R22" i="11"/>
  <c r="Q22" i="11"/>
  <c r="P22" i="11"/>
  <c r="O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R20" i="11"/>
  <c r="Q20" i="11"/>
  <c r="P20" i="11"/>
  <c r="O20" i="11"/>
  <c r="R19" i="11"/>
  <c r="Q19" i="11"/>
  <c r="P19" i="11"/>
  <c r="O19" i="11"/>
  <c r="R18" i="11"/>
  <c r="Q18" i="11"/>
  <c r="P18" i="11"/>
  <c r="O18" i="11"/>
  <c r="R17" i="11"/>
  <c r="Q17" i="11"/>
  <c r="P17" i="11"/>
  <c r="O17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R14" i="11"/>
  <c r="Q14" i="11"/>
  <c r="P14" i="11"/>
  <c r="O14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R11" i="11"/>
  <c r="Q11" i="11"/>
  <c r="P11" i="11"/>
  <c r="O11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R8" i="11"/>
  <c r="Q8" i="11"/>
  <c r="P8" i="11"/>
  <c r="O8" i="11"/>
  <c r="M7" i="11"/>
  <c r="L7" i="11"/>
  <c r="K7" i="11"/>
  <c r="J7" i="11"/>
  <c r="I7" i="11"/>
  <c r="H7" i="11"/>
  <c r="G7" i="11"/>
  <c r="F7" i="11"/>
  <c r="E7" i="11"/>
  <c r="D7" i="11"/>
  <c r="C7" i="11"/>
  <c r="B7" i="11"/>
  <c r="X5" i="11"/>
  <c r="R5" i="11"/>
  <c r="Q5" i="11"/>
  <c r="P5" i="11"/>
  <c r="O5" i="11"/>
  <c r="C1" i="11"/>
  <c r="A1" i="11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E38" i="9"/>
  <c r="D38" i="9"/>
  <c r="C38" i="9"/>
  <c r="B38" i="9"/>
  <c r="E36" i="9"/>
  <c r="D36" i="9"/>
  <c r="C36" i="9"/>
  <c r="B36" i="9"/>
  <c r="AB34" i="9"/>
  <c r="E34" i="9"/>
  <c r="D34" i="9"/>
  <c r="C34" i="9"/>
  <c r="B34" i="9"/>
  <c r="AB33" i="9"/>
  <c r="E33" i="9"/>
  <c r="D33" i="9"/>
  <c r="C33" i="9"/>
  <c r="B33" i="9"/>
  <c r="AB32" i="9"/>
  <c r="E32" i="9"/>
  <c r="D32" i="9"/>
  <c r="C32" i="9"/>
  <c r="B32" i="9"/>
  <c r="AB31" i="9"/>
  <c r="E31" i="9"/>
  <c r="D31" i="9"/>
  <c r="C31" i="9"/>
  <c r="B31" i="9"/>
  <c r="E29" i="9"/>
  <c r="D29" i="9"/>
  <c r="C29" i="9"/>
  <c r="B29" i="9"/>
  <c r="M23" i="9"/>
  <c r="L23" i="9"/>
  <c r="K23" i="9"/>
  <c r="J23" i="9"/>
  <c r="I23" i="9"/>
  <c r="H23" i="9"/>
  <c r="G23" i="9"/>
  <c r="F23" i="9"/>
  <c r="E23" i="9"/>
  <c r="D23" i="9"/>
  <c r="C23" i="9"/>
  <c r="B23" i="9"/>
  <c r="R22" i="9"/>
  <c r="Q22" i="9"/>
  <c r="P22" i="9"/>
  <c r="O22" i="9"/>
  <c r="M22" i="9"/>
  <c r="L22" i="9"/>
  <c r="K22" i="9"/>
  <c r="J22" i="9"/>
  <c r="I22" i="9"/>
  <c r="H22" i="9"/>
  <c r="G22" i="9"/>
  <c r="F22" i="9"/>
  <c r="E22" i="9"/>
  <c r="D22" i="9"/>
  <c r="C22" i="9"/>
  <c r="B22" i="9"/>
  <c r="R20" i="9"/>
  <c r="Q20" i="9"/>
  <c r="P20" i="9"/>
  <c r="O20" i="9"/>
  <c r="R19" i="9"/>
  <c r="Q19" i="9"/>
  <c r="P19" i="9"/>
  <c r="O19" i="9"/>
  <c r="R18" i="9"/>
  <c r="Q18" i="9"/>
  <c r="P18" i="9"/>
  <c r="O18" i="9"/>
  <c r="R17" i="9"/>
  <c r="Q17" i="9"/>
  <c r="P17" i="9"/>
  <c r="O17" i="9"/>
  <c r="M16" i="9"/>
  <c r="L16" i="9"/>
  <c r="K16" i="9"/>
  <c r="J16" i="9"/>
  <c r="I16" i="9"/>
  <c r="H16" i="9"/>
  <c r="G16" i="9"/>
  <c r="F16" i="9"/>
  <c r="E16" i="9"/>
  <c r="D16" i="9"/>
  <c r="C16" i="9"/>
  <c r="B16" i="9"/>
  <c r="R14" i="9"/>
  <c r="Q14" i="9"/>
  <c r="P14" i="9"/>
  <c r="O14" i="9"/>
  <c r="M13" i="9"/>
  <c r="L13" i="9"/>
  <c r="K13" i="9"/>
  <c r="J13" i="9"/>
  <c r="I13" i="9"/>
  <c r="H13" i="9"/>
  <c r="G13" i="9"/>
  <c r="F13" i="9"/>
  <c r="E13" i="9"/>
  <c r="D13" i="9"/>
  <c r="C13" i="9"/>
  <c r="B13" i="9"/>
  <c r="R11" i="9"/>
  <c r="Q11" i="9"/>
  <c r="P11" i="9"/>
  <c r="O11" i="9"/>
  <c r="M10" i="9"/>
  <c r="L10" i="9"/>
  <c r="K10" i="9"/>
  <c r="J10" i="9"/>
  <c r="I10" i="9"/>
  <c r="H10" i="9"/>
  <c r="G10" i="9"/>
  <c r="F10" i="9"/>
  <c r="E10" i="9"/>
  <c r="D10" i="9"/>
  <c r="C10" i="9"/>
  <c r="B10" i="9"/>
  <c r="R8" i="9"/>
  <c r="Q8" i="9"/>
  <c r="P8" i="9"/>
  <c r="O8" i="9"/>
  <c r="M7" i="9"/>
  <c r="L7" i="9"/>
  <c r="K7" i="9"/>
  <c r="J7" i="9"/>
  <c r="I7" i="9"/>
  <c r="H7" i="9"/>
  <c r="G7" i="9"/>
  <c r="F7" i="9"/>
  <c r="E7" i="9"/>
  <c r="D7" i="9"/>
  <c r="C7" i="9"/>
  <c r="B7" i="9"/>
  <c r="X5" i="9"/>
  <c r="R5" i="9"/>
  <c r="Q5" i="9"/>
  <c r="P5" i="9"/>
  <c r="O5" i="9"/>
  <c r="C1" i="9"/>
  <c r="A1" i="9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E38" i="8"/>
  <c r="D38" i="8"/>
  <c r="C38" i="8"/>
  <c r="B38" i="8"/>
  <c r="E36" i="8"/>
  <c r="D36" i="8"/>
  <c r="C36" i="8"/>
  <c r="B36" i="8"/>
  <c r="AB34" i="8"/>
  <c r="E34" i="8"/>
  <c r="D34" i="8"/>
  <c r="C34" i="8"/>
  <c r="B34" i="8"/>
  <c r="AB33" i="8"/>
  <c r="E33" i="8"/>
  <c r="D33" i="8"/>
  <c r="C33" i="8"/>
  <c r="B33" i="8"/>
  <c r="AB32" i="8"/>
  <c r="E32" i="8"/>
  <c r="D32" i="8"/>
  <c r="C32" i="8"/>
  <c r="B32" i="8"/>
  <c r="AB31" i="8"/>
  <c r="E31" i="8"/>
  <c r="D31" i="8"/>
  <c r="C31" i="8"/>
  <c r="B31" i="8"/>
  <c r="E29" i="8"/>
  <c r="D29" i="8"/>
  <c r="C29" i="8"/>
  <c r="B29" i="8"/>
  <c r="M23" i="8"/>
  <c r="L23" i="8"/>
  <c r="K23" i="8"/>
  <c r="J23" i="8"/>
  <c r="I23" i="8"/>
  <c r="H23" i="8"/>
  <c r="G23" i="8"/>
  <c r="F23" i="8"/>
  <c r="E23" i="8"/>
  <c r="D23" i="8"/>
  <c r="C23" i="8"/>
  <c r="B23" i="8"/>
  <c r="R22" i="8"/>
  <c r="Q22" i="8"/>
  <c r="P22" i="8"/>
  <c r="O22" i="8"/>
  <c r="M22" i="8"/>
  <c r="L22" i="8"/>
  <c r="K22" i="8"/>
  <c r="J22" i="8"/>
  <c r="I22" i="8"/>
  <c r="H22" i="8"/>
  <c r="G22" i="8"/>
  <c r="F22" i="8"/>
  <c r="E22" i="8"/>
  <c r="D22" i="8"/>
  <c r="C22" i="8"/>
  <c r="B22" i="8"/>
  <c r="R20" i="8"/>
  <c r="Q20" i="8"/>
  <c r="P20" i="8"/>
  <c r="O20" i="8"/>
  <c r="R19" i="8"/>
  <c r="Q19" i="8"/>
  <c r="P19" i="8"/>
  <c r="O19" i="8"/>
  <c r="R18" i="8"/>
  <c r="Q18" i="8"/>
  <c r="P18" i="8"/>
  <c r="O18" i="8"/>
  <c r="R17" i="8"/>
  <c r="Q17" i="8"/>
  <c r="P17" i="8"/>
  <c r="O17" i="8"/>
  <c r="M16" i="8"/>
  <c r="L16" i="8"/>
  <c r="K16" i="8"/>
  <c r="J16" i="8"/>
  <c r="I16" i="8"/>
  <c r="H16" i="8"/>
  <c r="G16" i="8"/>
  <c r="F16" i="8"/>
  <c r="E16" i="8"/>
  <c r="D16" i="8"/>
  <c r="C16" i="8"/>
  <c r="B16" i="8"/>
  <c r="R14" i="8"/>
  <c r="Q14" i="8"/>
  <c r="P14" i="8"/>
  <c r="O14" i="8"/>
  <c r="M13" i="8"/>
  <c r="L13" i="8"/>
  <c r="K13" i="8"/>
  <c r="J13" i="8"/>
  <c r="I13" i="8"/>
  <c r="H13" i="8"/>
  <c r="G13" i="8"/>
  <c r="F13" i="8"/>
  <c r="E13" i="8"/>
  <c r="D13" i="8"/>
  <c r="C13" i="8"/>
  <c r="B13" i="8"/>
  <c r="R11" i="8"/>
  <c r="Q11" i="8"/>
  <c r="P11" i="8"/>
  <c r="O11" i="8"/>
  <c r="M10" i="8"/>
  <c r="L10" i="8"/>
  <c r="K10" i="8"/>
  <c r="J10" i="8"/>
  <c r="I10" i="8"/>
  <c r="H10" i="8"/>
  <c r="G10" i="8"/>
  <c r="F10" i="8"/>
  <c r="E10" i="8"/>
  <c r="D10" i="8"/>
  <c r="C10" i="8"/>
  <c r="B10" i="8"/>
  <c r="R8" i="8"/>
  <c r="Q8" i="8"/>
  <c r="P8" i="8"/>
  <c r="O8" i="8"/>
  <c r="M7" i="8"/>
  <c r="L7" i="8"/>
  <c r="K7" i="8"/>
  <c r="J7" i="8"/>
  <c r="I7" i="8"/>
  <c r="H7" i="8"/>
  <c r="G7" i="8"/>
  <c r="F7" i="8"/>
  <c r="E7" i="8"/>
  <c r="D7" i="8"/>
  <c r="C7" i="8"/>
  <c r="B7" i="8"/>
  <c r="X5" i="8"/>
  <c r="R5" i="8"/>
  <c r="Q5" i="8"/>
  <c r="P5" i="8"/>
  <c r="O5" i="8"/>
  <c r="C1" i="8"/>
  <c r="A1" i="8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E38" i="7"/>
  <c r="D38" i="7"/>
  <c r="C38" i="7"/>
  <c r="B38" i="7"/>
  <c r="E36" i="7"/>
  <c r="D36" i="7"/>
  <c r="C36" i="7"/>
  <c r="B36" i="7"/>
  <c r="AB34" i="7"/>
  <c r="E34" i="7"/>
  <c r="D34" i="7"/>
  <c r="C34" i="7"/>
  <c r="B34" i="7"/>
  <c r="AB33" i="7"/>
  <c r="E33" i="7"/>
  <c r="D33" i="7"/>
  <c r="C33" i="7"/>
  <c r="B33" i="7"/>
  <c r="AB32" i="7"/>
  <c r="E32" i="7"/>
  <c r="D32" i="7"/>
  <c r="C32" i="7"/>
  <c r="B32" i="7"/>
  <c r="AB31" i="7"/>
  <c r="E31" i="7"/>
  <c r="D31" i="7"/>
  <c r="C31" i="7"/>
  <c r="B31" i="7"/>
  <c r="E29" i="7"/>
  <c r="D29" i="7"/>
  <c r="C29" i="7"/>
  <c r="B29" i="7"/>
  <c r="M23" i="7"/>
  <c r="L23" i="7"/>
  <c r="K23" i="7"/>
  <c r="J23" i="7"/>
  <c r="I23" i="7"/>
  <c r="H23" i="7"/>
  <c r="G23" i="7"/>
  <c r="F23" i="7"/>
  <c r="E23" i="7"/>
  <c r="D23" i="7"/>
  <c r="C23" i="7"/>
  <c r="B23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C22" i="7"/>
  <c r="B22" i="7"/>
  <c r="R20" i="7"/>
  <c r="Q20" i="7"/>
  <c r="P20" i="7"/>
  <c r="O20" i="7"/>
  <c r="R19" i="7"/>
  <c r="Q19" i="7"/>
  <c r="P19" i="7"/>
  <c r="O19" i="7"/>
  <c r="R18" i="7"/>
  <c r="Q18" i="7"/>
  <c r="P18" i="7"/>
  <c r="O18" i="7"/>
  <c r="R17" i="7"/>
  <c r="Q17" i="7"/>
  <c r="P17" i="7"/>
  <c r="O17" i="7"/>
  <c r="M16" i="7"/>
  <c r="L16" i="7"/>
  <c r="K16" i="7"/>
  <c r="J16" i="7"/>
  <c r="I16" i="7"/>
  <c r="H16" i="7"/>
  <c r="G16" i="7"/>
  <c r="F16" i="7"/>
  <c r="E16" i="7"/>
  <c r="D16" i="7"/>
  <c r="C16" i="7"/>
  <c r="B16" i="7"/>
  <c r="R14" i="7"/>
  <c r="Q14" i="7"/>
  <c r="P14" i="7"/>
  <c r="O14" i="7"/>
  <c r="M13" i="7"/>
  <c r="L13" i="7"/>
  <c r="K13" i="7"/>
  <c r="J13" i="7"/>
  <c r="I13" i="7"/>
  <c r="H13" i="7"/>
  <c r="G13" i="7"/>
  <c r="F13" i="7"/>
  <c r="E13" i="7"/>
  <c r="D13" i="7"/>
  <c r="C13" i="7"/>
  <c r="B13" i="7"/>
  <c r="R11" i="7"/>
  <c r="Q11" i="7"/>
  <c r="P11" i="7"/>
  <c r="O11" i="7"/>
  <c r="M10" i="7"/>
  <c r="L10" i="7"/>
  <c r="K10" i="7"/>
  <c r="J10" i="7"/>
  <c r="I10" i="7"/>
  <c r="H10" i="7"/>
  <c r="G10" i="7"/>
  <c r="F10" i="7"/>
  <c r="E10" i="7"/>
  <c r="D10" i="7"/>
  <c r="C10" i="7"/>
  <c r="B10" i="7"/>
  <c r="R8" i="7"/>
  <c r="Q8" i="7"/>
  <c r="P8" i="7"/>
  <c r="O8" i="7"/>
  <c r="M7" i="7"/>
  <c r="L7" i="7"/>
  <c r="K7" i="7"/>
  <c r="J7" i="7"/>
  <c r="I7" i="7"/>
  <c r="H7" i="7"/>
  <c r="G7" i="7"/>
  <c r="F7" i="7"/>
  <c r="E7" i="7"/>
  <c r="D7" i="7"/>
  <c r="C7" i="7"/>
  <c r="B7" i="7"/>
  <c r="X5" i="7"/>
  <c r="R5" i="7"/>
  <c r="Q5" i="7"/>
  <c r="P5" i="7"/>
  <c r="O5" i="7"/>
  <c r="C1" i="7"/>
  <c r="A1" i="7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E38" i="4"/>
  <c r="D38" i="4"/>
  <c r="C38" i="4"/>
  <c r="B38" i="4"/>
  <c r="E36" i="4"/>
  <c r="D36" i="4"/>
  <c r="C36" i="4"/>
  <c r="B36" i="4"/>
  <c r="AB34" i="4"/>
  <c r="E34" i="4"/>
  <c r="D34" i="4"/>
  <c r="C34" i="4"/>
  <c r="B34" i="4"/>
  <c r="AB33" i="4"/>
  <c r="E33" i="4"/>
  <c r="D33" i="4"/>
  <c r="C33" i="4"/>
  <c r="B33" i="4"/>
  <c r="AB32" i="4"/>
  <c r="E32" i="4"/>
  <c r="D32" i="4"/>
  <c r="C32" i="4"/>
  <c r="B32" i="4"/>
  <c r="AB31" i="4"/>
  <c r="E31" i="4"/>
  <c r="D31" i="4"/>
  <c r="C31" i="4"/>
  <c r="B31" i="4"/>
  <c r="E29" i="4"/>
  <c r="D29" i="4"/>
  <c r="C29" i="4"/>
  <c r="B29" i="4"/>
  <c r="M23" i="4"/>
  <c r="L23" i="4"/>
  <c r="K23" i="4"/>
  <c r="J23" i="4"/>
  <c r="I23" i="4"/>
  <c r="H23" i="4"/>
  <c r="G23" i="4"/>
  <c r="F23" i="4"/>
  <c r="E23" i="4"/>
  <c r="D23" i="4"/>
  <c r="C23" i="4"/>
  <c r="B23" i="4"/>
  <c r="R22" i="4"/>
  <c r="Q22" i="4"/>
  <c r="P22" i="4"/>
  <c r="O22" i="4"/>
  <c r="M22" i="4"/>
  <c r="L22" i="4"/>
  <c r="K22" i="4"/>
  <c r="J22" i="4"/>
  <c r="I22" i="4"/>
  <c r="H22" i="4"/>
  <c r="G22" i="4"/>
  <c r="F22" i="4"/>
  <c r="E22" i="4"/>
  <c r="D22" i="4"/>
  <c r="C22" i="4"/>
  <c r="B22" i="4"/>
  <c r="R20" i="4"/>
  <c r="Q20" i="4"/>
  <c r="P20" i="4"/>
  <c r="O20" i="4"/>
  <c r="R19" i="4"/>
  <c r="Q19" i="4"/>
  <c r="P19" i="4"/>
  <c r="O19" i="4"/>
  <c r="R18" i="4"/>
  <c r="Q18" i="4"/>
  <c r="P18" i="4"/>
  <c r="O18" i="4"/>
  <c r="R17" i="4"/>
  <c r="Q17" i="4"/>
  <c r="P17" i="4"/>
  <c r="O17" i="4"/>
  <c r="M16" i="4"/>
  <c r="L16" i="4"/>
  <c r="K16" i="4"/>
  <c r="J16" i="4"/>
  <c r="I16" i="4"/>
  <c r="H16" i="4"/>
  <c r="G16" i="4"/>
  <c r="F16" i="4"/>
  <c r="E16" i="4"/>
  <c r="D16" i="4"/>
  <c r="C16" i="4"/>
  <c r="B16" i="4"/>
  <c r="R14" i="4"/>
  <c r="Q14" i="4"/>
  <c r="P14" i="4"/>
  <c r="O14" i="4"/>
  <c r="M13" i="4"/>
  <c r="L13" i="4"/>
  <c r="K13" i="4"/>
  <c r="J13" i="4"/>
  <c r="I13" i="4"/>
  <c r="H13" i="4"/>
  <c r="G13" i="4"/>
  <c r="F13" i="4"/>
  <c r="E13" i="4"/>
  <c r="D13" i="4"/>
  <c r="C13" i="4"/>
  <c r="B13" i="4"/>
  <c r="R11" i="4"/>
  <c r="Q11" i="4"/>
  <c r="P11" i="4"/>
  <c r="O11" i="4"/>
  <c r="M10" i="4"/>
  <c r="L10" i="4"/>
  <c r="K10" i="4"/>
  <c r="J10" i="4"/>
  <c r="I10" i="4"/>
  <c r="H10" i="4"/>
  <c r="G10" i="4"/>
  <c r="F10" i="4"/>
  <c r="E10" i="4"/>
  <c r="D10" i="4"/>
  <c r="C10" i="4"/>
  <c r="B10" i="4"/>
  <c r="R8" i="4"/>
  <c r="Q8" i="4"/>
  <c r="P8" i="4"/>
  <c r="O8" i="4"/>
  <c r="M7" i="4"/>
  <c r="L7" i="4"/>
  <c r="K7" i="4"/>
  <c r="J7" i="4"/>
  <c r="I7" i="4"/>
  <c r="H7" i="4"/>
  <c r="G7" i="4"/>
  <c r="F7" i="4"/>
  <c r="E7" i="4"/>
  <c r="D7" i="4"/>
  <c r="C7" i="4"/>
  <c r="B7" i="4"/>
  <c r="X5" i="4"/>
  <c r="R5" i="4"/>
  <c r="Q5" i="4"/>
  <c r="P5" i="4"/>
  <c r="O5" i="4"/>
  <c r="C1" i="4"/>
  <c r="A1" i="4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E36" i="10"/>
  <c r="D36" i="10"/>
  <c r="C36" i="10"/>
  <c r="B36" i="10"/>
  <c r="AB34" i="10"/>
  <c r="E34" i="10"/>
  <c r="D34" i="10"/>
  <c r="C34" i="10"/>
  <c r="B34" i="10"/>
  <c r="AB33" i="10"/>
  <c r="E33" i="10"/>
  <c r="D33" i="10"/>
  <c r="C33" i="10"/>
  <c r="B33" i="10"/>
  <c r="AB32" i="10"/>
  <c r="E32" i="10"/>
  <c r="D32" i="10"/>
  <c r="C32" i="10"/>
  <c r="B32" i="10"/>
  <c r="AB31" i="10"/>
  <c r="E31" i="10"/>
  <c r="D31" i="10"/>
  <c r="C31" i="10"/>
  <c r="B31" i="10"/>
  <c r="C29" i="10"/>
  <c r="D29" i="10" s="1"/>
  <c r="B29" i="10"/>
  <c r="B38" i="10" s="1"/>
  <c r="D26" i="5" s="1"/>
  <c r="M23" i="10"/>
  <c r="L23" i="10"/>
  <c r="K23" i="10"/>
  <c r="J23" i="10"/>
  <c r="I23" i="10"/>
  <c r="H23" i="10"/>
  <c r="G23" i="10"/>
  <c r="F23" i="10"/>
  <c r="E23" i="10"/>
  <c r="D23" i="10"/>
  <c r="C23" i="10"/>
  <c r="B23" i="10"/>
  <c r="R22" i="10"/>
  <c r="Q22" i="10"/>
  <c r="P22" i="10"/>
  <c r="O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R20" i="10"/>
  <c r="Q20" i="10"/>
  <c r="P20" i="10"/>
  <c r="O20" i="10"/>
  <c r="R19" i="10"/>
  <c r="Q19" i="10"/>
  <c r="P19" i="10"/>
  <c r="O19" i="10"/>
  <c r="R18" i="10"/>
  <c r="Q18" i="10"/>
  <c r="P18" i="10"/>
  <c r="O18" i="10"/>
  <c r="R17" i="10"/>
  <c r="Q17" i="10"/>
  <c r="P17" i="10"/>
  <c r="O17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R14" i="10"/>
  <c r="Q14" i="10"/>
  <c r="P14" i="10"/>
  <c r="O14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R11" i="10"/>
  <c r="Q11" i="10"/>
  <c r="P11" i="10"/>
  <c r="O11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R8" i="10"/>
  <c r="Q8" i="10"/>
  <c r="P8" i="10"/>
  <c r="O8" i="10"/>
  <c r="M7" i="10"/>
  <c r="L7" i="10"/>
  <c r="K7" i="10"/>
  <c r="J7" i="10"/>
  <c r="I7" i="10"/>
  <c r="H7" i="10"/>
  <c r="G7" i="10"/>
  <c r="F7" i="10"/>
  <c r="E7" i="10"/>
  <c r="D7" i="10"/>
  <c r="C7" i="10"/>
  <c r="B7" i="10"/>
  <c r="X5" i="10"/>
  <c r="R5" i="10"/>
  <c r="Q5" i="10"/>
  <c r="P5" i="10"/>
  <c r="O5" i="10"/>
  <c r="C1" i="10"/>
  <c r="A1" i="10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E38" i="3"/>
  <c r="D38" i="3"/>
  <c r="C38" i="3"/>
  <c r="B38" i="3"/>
  <c r="E36" i="3"/>
  <c r="D36" i="3"/>
  <c r="C36" i="3"/>
  <c r="B36" i="3"/>
  <c r="AB34" i="3"/>
  <c r="E34" i="3"/>
  <c r="D34" i="3"/>
  <c r="C34" i="3"/>
  <c r="B34" i="3"/>
  <c r="AB33" i="3"/>
  <c r="E33" i="3"/>
  <c r="D33" i="3"/>
  <c r="C33" i="3"/>
  <c r="B33" i="3"/>
  <c r="AB32" i="3"/>
  <c r="E32" i="3"/>
  <c r="D32" i="3"/>
  <c r="C32" i="3"/>
  <c r="B32" i="3"/>
  <c r="AB31" i="3"/>
  <c r="E31" i="3"/>
  <c r="D31" i="3"/>
  <c r="C31" i="3"/>
  <c r="B31" i="3"/>
  <c r="E29" i="3"/>
  <c r="D29" i="3"/>
  <c r="C29" i="3"/>
  <c r="B29" i="3"/>
  <c r="M23" i="3"/>
  <c r="L23" i="3"/>
  <c r="K23" i="3"/>
  <c r="J23" i="3"/>
  <c r="I23" i="3"/>
  <c r="H23" i="3"/>
  <c r="G23" i="3"/>
  <c r="F23" i="3"/>
  <c r="E23" i="3"/>
  <c r="D23" i="3"/>
  <c r="C23" i="3"/>
  <c r="B23" i="3"/>
  <c r="R22" i="3"/>
  <c r="Q22" i="3"/>
  <c r="P22" i="3"/>
  <c r="O22" i="3"/>
  <c r="M22" i="3"/>
  <c r="L22" i="3"/>
  <c r="K22" i="3"/>
  <c r="J22" i="3"/>
  <c r="I22" i="3"/>
  <c r="H22" i="3"/>
  <c r="G22" i="3"/>
  <c r="F22" i="3"/>
  <c r="E22" i="3"/>
  <c r="D22" i="3"/>
  <c r="C22" i="3"/>
  <c r="B22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M16" i="3"/>
  <c r="L16" i="3"/>
  <c r="K16" i="3"/>
  <c r="J16" i="3"/>
  <c r="I16" i="3"/>
  <c r="H16" i="3"/>
  <c r="G16" i="3"/>
  <c r="F16" i="3"/>
  <c r="E16" i="3"/>
  <c r="D16" i="3"/>
  <c r="C16" i="3"/>
  <c r="B16" i="3"/>
  <c r="R14" i="3"/>
  <c r="Q14" i="3"/>
  <c r="P14" i="3"/>
  <c r="O14" i="3"/>
  <c r="M13" i="3"/>
  <c r="L13" i="3"/>
  <c r="K13" i="3"/>
  <c r="J13" i="3"/>
  <c r="I13" i="3"/>
  <c r="H13" i="3"/>
  <c r="G13" i="3"/>
  <c r="F13" i="3"/>
  <c r="E13" i="3"/>
  <c r="D13" i="3"/>
  <c r="C13" i="3"/>
  <c r="B13" i="3"/>
  <c r="R11" i="3"/>
  <c r="Q11" i="3"/>
  <c r="P11" i="3"/>
  <c r="O11" i="3"/>
  <c r="M10" i="3"/>
  <c r="L10" i="3"/>
  <c r="K10" i="3"/>
  <c r="J10" i="3"/>
  <c r="I10" i="3"/>
  <c r="H10" i="3"/>
  <c r="G10" i="3"/>
  <c r="F10" i="3"/>
  <c r="E10" i="3"/>
  <c r="D10" i="3"/>
  <c r="C10" i="3"/>
  <c r="B10" i="3"/>
  <c r="R8" i="3"/>
  <c r="Q8" i="3"/>
  <c r="P8" i="3"/>
  <c r="O8" i="3"/>
  <c r="M7" i="3"/>
  <c r="L7" i="3"/>
  <c r="K7" i="3"/>
  <c r="J7" i="3"/>
  <c r="I7" i="3"/>
  <c r="H7" i="3"/>
  <c r="G7" i="3"/>
  <c r="F7" i="3"/>
  <c r="E7" i="3"/>
  <c r="D7" i="3"/>
  <c r="C7" i="3"/>
  <c r="B7" i="3"/>
  <c r="X5" i="3"/>
  <c r="R5" i="3"/>
  <c r="Q5" i="3"/>
  <c r="P5" i="3"/>
  <c r="O5" i="3"/>
  <c r="C1" i="3"/>
  <c r="A1" i="3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E38" i="1"/>
  <c r="D38" i="1"/>
  <c r="C38" i="1"/>
  <c r="B38" i="1"/>
  <c r="E36" i="1"/>
  <c r="D36" i="1"/>
  <c r="C36" i="1"/>
  <c r="B36" i="1"/>
  <c r="AB34" i="1"/>
  <c r="E34" i="1"/>
  <c r="D34" i="1"/>
  <c r="C34" i="1"/>
  <c r="B34" i="1"/>
  <c r="AB33" i="1"/>
  <c r="E33" i="1"/>
  <c r="D33" i="1"/>
  <c r="C33" i="1"/>
  <c r="B33" i="1"/>
  <c r="AB32" i="1"/>
  <c r="E32" i="1"/>
  <c r="D32" i="1"/>
  <c r="C32" i="1"/>
  <c r="B32" i="1"/>
  <c r="AB31" i="1"/>
  <c r="E31" i="1"/>
  <c r="D31" i="1"/>
  <c r="C31" i="1"/>
  <c r="B31" i="1"/>
  <c r="E29" i="1"/>
  <c r="D29" i="1"/>
  <c r="C29" i="1"/>
  <c r="B29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Q22" i="1"/>
  <c r="P22" i="1"/>
  <c r="O22" i="1"/>
  <c r="M22" i="1"/>
  <c r="L22" i="1"/>
  <c r="K22" i="1"/>
  <c r="J22" i="1"/>
  <c r="I22" i="1"/>
  <c r="H22" i="1"/>
  <c r="G22" i="1"/>
  <c r="F22" i="1"/>
  <c r="E22" i="1"/>
  <c r="D22" i="1"/>
  <c r="C22" i="1"/>
  <c r="B22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M16" i="1"/>
  <c r="L16" i="1"/>
  <c r="K16" i="1"/>
  <c r="J16" i="1"/>
  <c r="I16" i="1"/>
  <c r="H16" i="1"/>
  <c r="G16" i="1"/>
  <c r="F16" i="1"/>
  <c r="E16" i="1"/>
  <c r="D16" i="1"/>
  <c r="C16" i="1"/>
  <c r="B16" i="1"/>
  <c r="R14" i="1"/>
  <c r="Q14" i="1"/>
  <c r="P14" i="1"/>
  <c r="O14" i="1"/>
  <c r="M13" i="1"/>
  <c r="L13" i="1"/>
  <c r="K13" i="1"/>
  <c r="J13" i="1"/>
  <c r="I13" i="1"/>
  <c r="H13" i="1"/>
  <c r="G13" i="1"/>
  <c r="F13" i="1"/>
  <c r="E13" i="1"/>
  <c r="D13" i="1"/>
  <c r="C13" i="1"/>
  <c r="B13" i="1"/>
  <c r="R11" i="1"/>
  <c r="Q11" i="1"/>
  <c r="P11" i="1"/>
  <c r="O11" i="1"/>
  <c r="M10" i="1"/>
  <c r="L10" i="1"/>
  <c r="K10" i="1"/>
  <c r="J10" i="1"/>
  <c r="I10" i="1"/>
  <c r="H10" i="1"/>
  <c r="G10" i="1"/>
  <c r="F10" i="1"/>
  <c r="E10" i="1"/>
  <c r="D10" i="1"/>
  <c r="C10" i="1"/>
  <c r="B10" i="1"/>
  <c r="R8" i="1"/>
  <c r="Q8" i="1"/>
  <c r="P8" i="1"/>
  <c r="O8" i="1"/>
  <c r="M7" i="1"/>
  <c r="L7" i="1"/>
  <c r="K7" i="1"/>
  <c r="J7" i="1"/>
  <c r="I7" i="1"/>
  <c r="H7" i="1"/>
  <c r="G7" i="1"/>
  <c r="F7" i="1"/>
  <c r="E7" i="1"/>
  <c r="D7" i="1"/>
  <c r="C7" i="1"/>
  <c r="B7" i="1"/>
  <c r="X5" i="1"/>
  <c r="R5" i="1"/>
  <c r="Q5" i="1"/>
  <c r="P5" i="1"/>
  <c r="O5" i="1"/>
  <c r="C1" i="1"/>
  <c r="A1" i="1"/>
  <c r="G41" i="5"/>
  <c r="F41" i="5"/>
  <c r="E41" i="5"/>
  <c r="D41" i="5"/>
  <c r="C41" i="5"/>
  <c r="B41" i="5"/>
  <c r="A41" i="5"/>
  <c r="G40" i="5"/>
  <c r="F40" i="5"/>
  <c r="E40" i="5"/>
  <c r="D40" i="5"/>
  <c r="C40" i="5"/>
  <c r="B40" i="5"/>
  <c r="A40" i="5"/>
  <c r="G39" i="5"/>
  <c r="F39" i="5"/>
  <c r="E39" i="5"/>
  <c r="D39" i="5"/>
  <c r="C39" i="5"/>
  <c r="B39" i="5"/>
  <c r="G38" i="5"/>
  <c r="F38" i="5"/>
  <c r="E38" i="5"/>
  <c r="D38" i="5"/>
  <c r="C38" i="5"/>
  <c r="B38" i="5"/>
  <c r="A38" i="5"/>
  <c r="G37" i="5"/>
  <c r="F37" i="5"/>
  <c r="E37" i="5"/>
  <c r="D37" i="5"/>
  <c r="C37" i="5"/>
  <c r="B37" i="5"/>
  <c r="A37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G32" i="5"/>
  <c r="F32" i="5"/>
  <c r="E32" i="5"/>
  <c r="D32" i="5"/>
  <c r="C32" i="5"/>
  <c r="B32" i="5"/>
  <c r="A32" i="5"/>
  <c r="G31" i="5"/>
  <c r="F31" i="5"/>
  <c r="E31" i="5"/>
  <c r="D31" i="5"/>
  <c r="C31" i="5"/>
  <c r="B31" i="5"/>
  <c r="A31" i="5"/>
  <c r="G30" i="5"/>
  <c r="F30" i="5"/>
  <c r="E30" i="5"/>
  <c r="D30" i="5"/>
  <c r="C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A27" i="5"/>
  <c r="C26" i="5"/>
  <c r="B26" i="5"/>
  <c r="A26" i="5"/>
  <c r="G25" i="5"/>
  <c r="F25" i="5"/>
  <c r="E25" i="5"/>
  <c r="D25" i="5"/>
  <c r="C25" i="5"/>
  <c r="B25" i="5"/>
  <c r="A25" i="5"/>
  <c r="G24" i="5"/>
  <c r="F24" i="5"/>
  <c r="E24" i="5"/>
  <c r="D24" i="5"/>
  <c r="C24" i="5"/>
  <c r="B24" i="5"/>
  <c r="A24" i="5"/>
  <c r="C23" i="5"/>
  <c r="Q20" i="5"/>
  <c r="P20" i="5"/>
  <c r="O20" i="5"/>
  <c r="N20" i="5"/>
  <c r="M20" i="5"/>
  <c r="L20" i="5"/>
  <c r="K20" i="5"/>
  <c r="G20" i="5"/>
  <c r="F20" i="5"/>
  <c r="E20" i="5"/>
  <c r="D20" i="5"/>
  <c r="C20" i="5"/>
  <c r="Q19" i="5"/>
  <c r="P19" i="5"/>
  <c r="O19" i="5"/>
  <c r="N19" i="5"/>
  <c r="M19" i="5"/>
  <c r="L19" i="5"/>
  <c r="K19" i="5"/>
  <c r="G19" i="5"/>
  <c r="F19" i="5"/>
  <c r="E19" i="5"/>
  <c r="D19" i="5"/>
  <c r="C19" i="5"/>
  <c r="B19" i="5"/>
  <c r="A19" i="5"/>
  <c r="Q18" i="5"/>
  <c r="P18" i="5"/>
  <c r="O18" i="5"/>
  <c r="N18" i="5"/>
  <c r="M18" i="5"/>
  <c r="L18" i="5"/>
  <c r="G18" i="5"/>
  <c r="F18" i="5"/>
  <c r="E18" i="5"/>
  <c r="D18" i="5"/>
  <c r="C18" i="5"/>
  <c r="B18" i="5"/>
  <c r="A18" i="5"/>
  <c r="Q17" i="5"/>
  <c r="P17" i="5"/>
  <c r="O17" i="5"/>
  <c r="N17" i="5"/>
  <c r="M17" i="5"/>
  <c r="L17" i="5"/>
  <c r="K17" i="5"/>
  <c r="G17" i="5"/>
  <c r="F17" i="5"/>
  <c r="E17" i="5"/>
  <c r="D17" i="5"/>
  <c r="C17" i="5"/>
  <c r="B17" i="5"/>
  <c r="A17" i="5"/>
  <c r="Q16" i="5"/>
  <c r="P16" i="5"/>
  <c r="O16" i="5"/>
  <c r="N16" i="5"/>
  <c r="M16" i="5"/>
  <c r="L16" i="5"/>
  <c r="K16" i="5"/>
  <c r="G16" i="5"/>
  <c r="F16" i="5"/>
  <c r="E16" i="5"/>
  <c r="D16" i="5"/>
  <c r="C16" i="5"/>
  <c r="B16" i="5"/>
  <c r="A16" i="5"/>
  <c r="Q15" i="5"/>
  <c r="P15" i="5"/>
  <c r="O15" i="5"/>
  <c r="N15" i="5"/>
  <c r="M15" i="5"/>
  <c r="L15" i="5"/>
  <c r="K15" i="5"/>
  <c r="G15" i="5"/>
  <c r="F15" i="5"/>
  <c r="E15" i="5"/>
  <c r="D15" i="5"/>
  <c r="C15" i="5"/>
  <c r="B15" i="5"/>
  <c r="A15" i="5"/>
  <c r="Q14" i="5"/>
  <c r="P14" i="5"/>
  <c r="O14" i="5"/>
  <c r="N14" i="5"/>
  <c r="M14" i="5"/>
  <c r="L14" i="5"/>
  <c r="K14" i="5"/>
  <c r="G14" i="5"/>
  <c r="F14" i="5"/>
  <c r="E14" i="5"/>
  <c r="D14" i="5"/>
  <c r="C14" i="5"/>
  <c r="B14" i="5"/>
  <c r="A14" i="5"/>
  <c r="Q13" i="5"/>
  <c r="P13" i="5"/>
  <c r="O13" i="5"/>
  <c r="N13" i="5"/>
  <c r="L13" i="5"/>
  <c r="K13" i="5"/>
  <c r="G13" i="5"/>
  <c r="F13" i="5"/>
  <c r="E13" i="5"/>
  <c r="D13" i="5"/>
  <c r="C13" i="5"/>
  <c r="B13" i="5"/>
  <c r="A13" i="5"/>
  <c r="Q12" i="5"/>
  <c r="P12" i="5"/>
  <c r="O12" i="5"/>
  <c r="N12" i="5"/>
  <c r="M12" i="5"/>
  <c r="L12" i="5"/>
  <c r="K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Q7" i="5"/>
  <c r="P7" i="5"/>
  <c r="O7" i="5"/>
  <c r="N7" i="5"/>
  <c r="M7" i="5"/>
  <c r="L7" i="5"/>
  <c r="K7" i="5"/>
  <c r="G7" i="5"/>
  <c r="F7" i="5"/>
  <c r="E7" i="5"/>
  <c r="D7" i="5"/>
  <c r="C7" i="5"/>
  <c r="B7" i="5"/>
  <c r="A7" i="5"/>
  <c r="Q6" i="5"/>
  <c r="P6" i="5"/>
  <c r="O6" i="5"/>
  <c r="N6" i="5"/>
  <c r="M6" i="5"/>
  <c r="L6" i="5"/>
  <c r="K6" i="5"/>
  <c r="G6" i="5"/>
  <c r="F6" i="5"/>
  <c r="E6" i="5"/>
  <c r="D6" i="5"/>
  <c r="C6" i="5"/>
  <c r="B6" i="5"/>
  <c r="A6" i="5"/>
  <c r="Q5" i="5"/>
  <c r="P5" i="5"/>
  <c r="O5" i="5"/>
  <c r="N5" i="5"/>
  <c r="M5" i="5"/>
  <c r="L5" i="5"/>
  <c r="K5" i="5"/>
  <c r="G5" i="5"/>
  <c r="F5" i="5"/>
  <c r="E5" i="5"/>
  <c r="D5" i="5"/>
  <c r="C5" i="5"/>
  <c r="B5" i="5"/>
  <c r="A5" i="5"/>
  <c r="Q4" i="5"/>
  <c r="P4" i="5"/>
  <c r="O4" i="5"/>
  <c r="N4" i="5"/>
  <c r="M4" i="5"/>
  <c r="L4" i="5"/>
  <c r="K4" i="5"/>
  <c r="G4" i="5"/>
  <c r="F4" i="5"/>
  <c r="E4" i="5"/>
  <c r="D4" i="5"/>
  <c r="C4" i="5"/>
  <c r="B4" i="5"/>
  <c r="A4" i="5"/>
  <c r="Q3" i="5"/>
  <c r="P3" i="5"/>
  <c r="O3" i="5"/>
  <c r="N3" i="5"/>
  <c r="M3" i="5"/>
  <c r="L3" i="5"/>
  <c r="K3" i="5"/>
  <c r="G3" i="5"/>
  <c r="F3" i="5"/>
  <c r="E3" i="5"/>
  <c r="D3" i="5"/>
  <c r="C3" i="5"/>
  <c r="B3" i="5"/>
  <c r="A3" i="5"/>
  <c r="M2" i="5"/>
  <c r="C2" i="5"/>
  <c r="D18" i="2"/>
  <c r="D38" i="10" l="1"/>
  <c r="F26" i="5" s="1"/>
  <c r="E29" i="10"/>
  <c r="E38" i="10" s="1"/>
  <c r="G26" i="5" s="1"/>
  <c r="C38" i="10"/>
  <c r="E26" i="5" s="1"/>
</calcChain>
</file>

<file path=xl/sharedStrings.xml><?xml version="1.0" encoding="utf-8"?>
<sst xmlns="http://schemas.openxmlformats.org/spreadsheetml/2006/main" count="1016" uniqueCount="87">
  <si>
    <t>Refuse</t>
  </si>
  <si>
    <t>Sewer</t>
  </si>
  <si>
    <t>Water</t>
  </si>
  <si>
    <t>Description</t>
  </si>
  <si>
    <t>Standard Rate</t>
  </si>
  <si>
    <t>Standard Consumption</t>
  </si>
  <si>
    <t>Value</t>
  </si>
  <si>
    <t>Std Cons Rate</t>
  </si>
  <si>
    <t>Peak Rate</t>
  </si>
  <si>
    <t>Off Peak Consumption</t>
  </si>
  <si>
    <t>Elec Service Charge</t>
  </si>
  <si>
    <t xml:space="preserve"> </t>
  </si>
  <si>
    <t>Total ex Vat</t>
  </si>
  <si>
    <t>Building</t>
  </si>
  <si>
    <t>Tenant</t>
  </si>
  <si>
    <t>GLA (M²)</t>
  </si>
  <si>
    <t>1 Shale Avenue</t>
  </si>
  <si>
    <t>1 Quartz Close</t>
  </si>
  <si>
    <t>Eli Lilly South Africa (Pty) Ltd</t>
  </si>
  <si>
    <t>2 Quartz Close</t>
  </si>
  <si>
    <t>Digistics (Pty) Ltd</t>
  </si>
  <si>
    <t>1 Slate Road</t>
  </si>
  <si>
    <t>Deposita Systems (Pty) Ltd</t>
  </si>
  <si>
    <t>2 Slate Road</t>
  </si>
  <si>
    <t>Landis and Gyr (Pty) Ltd</t>
  </si>
  <si>
    <t>3 Slate Road</t>
  </si>
  <si>
    <t>4 Slate Road</t>
  </si>
  <si>
    <t>Zodiac Pool Care South Africa (Pty) Ltd</t>
  </si>
  <si>
    <t>5 Slate Road</t>
  </si>
  <si>
    <t>Uti Material Handling (Pty) Ltd</t>
  </si>
  <si>
    <t>6 Slate Road</t>
  </si>
  <si>
    <t>CSD Targus Distribution (Pty) Ltd</t>
  </si>
  <si>
    <t>1 Travertine</t>
  </si>
  <si>
    <t>Alaris Antennas (formerly known as Poynting)</t>
  </si>
  <si>
    <t>2 Travertine</t>
  </si>
  <si>
    <t>Elliot Mobility (Pty) Ltd</t>
  </si>
  <si>
    <t>3 Travertine</t>
  </si>
  <si>
    <t>Shoprite Checkers (Pty) Ltd T/A Checkers Food Service</t>
  </si>
  <si>
    <t>4 Travertine</t>
  </si>
  <si>
    <t>Mazda Southern Africa (Pty) Ltd</t>
  </si>
  <si>
    <t>5 Travertine</t>
  </si>
  <si>
    <t>6 Travertine</t>
  </si>
  <si>
    <t>Tevo (Pty) Ltd</t>
  </si>
  <si>
    <t>Building Size</t>
  </si>
  <si>
    <t>Monthly</t>
  </si>
  <si>
    <t>Daily</t>
  </si>
  <si>
    <t>Hourly</t>
  </si>
  <si>
    <t>Average per square meter</t>
  </si>
  <si>
    <t>Peak Consumption</t>
  </si>
  <si>
    <t>Monthly Average</t>
  </si>
  <si>
    <t>Daily Average</t>
  </si>
  <si>
    <t>Hourly Average</t>
  </si>
  <si>
    <t>Annual Usage</t>
  </si>
  <si>
    <t>Averages</t>
  </si>
  <si>
    <t>Annually</t>
  </si>
  <si>
    <t>Hourly (24)</t>
  </si>
  <si>
    <t>Usage per (M²)</t>
  </si>
  <si>
    <t>Jan '18</t>
  </si>
  <si>
    <t>Feb '18</t>
  </si>
  <si>
    <t>Mar '17</t>
  </si>
  <si>
    <t>Apr '17</t>
  </si>
  <si>
    <t>May '17</t>
  </si>
  <si>
    <t>Jun '17</t>
  </si>
  <si>
    <t>Jul '17</t>
  </si>
  <si>
    <t>Aug '17</t>
  </si>
  <si>
    <t>Sept '17</t>
  </si>
  <si>
    <t>Oct '17</t>
  </si>
  <si>
    <t>Nov '17</t>
  </si>
  <si>
    <t>Dec '17</t>
  </si>
  <si>
    <t>Electricity Demand KVA</t>
  </si>
  <si>
    <t>Off Peak Rate</t>
  </si>
  <si>
    <t>KVA / KWA</t>
  </si>
  <si>
    <t>Electricty Demand KVA</t>
  </si>
  <si>
    <t>Total KWH Consumption</t>
  </si>
  <si>
    <t>Converted</t>
  </si>
  <si>
    <t>Standard Consumption KWH</t>
  </si>
  <si>
    <t>Peak Consumption KWH</t>
  </si>
  <si>
    <t>Off Peak Consumption KWH</t>
  </si>
  <si>
    <t>Total KVH</t>
  </si>
  <si>
    <t>With ED (KVA) to KW</t>
  </si>
  <si>
    <t>Premium Ideas SA (Pty) Ltd / Morvest</t>
  </si>
  <si>
    <t>Total KWH</t>
  </si>
  <si>
    <t>KWH Consumption</t>
  </si>
  <si>
    <t>IHL Medical</t>
  </si>
  <si>
    <t>Desposita</t>
  </si>
  <si>
    <t>Water Consumption (kl)</t>
  </si>
  <si>
    <t>Saint-Gobain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</si>
</sst>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R&quot;\ #,##0.00;&quot;R&quot;\ \-#,##0.00"/>
    <numFmt numFmtId="44" formatCode="_ &quot;R&quot;\ * #,##0.00_ ;_ &quot;R&quot;\ * \-#,##0.00_ ;_ &quot;R&quot;\ * &quot;-&quot;??_ ;_ @_ "/>
    <numFmt numFmtId="164" formatCode="_-[$R-1C09]* #,##0.00_-;\-[$R-1C09]* #,##0.00_-;_-[$R-1C09]* &quot;-&quot;??_-;_-@_-"/>
    <numFmt numFmtId="165" formatCode="0.0000"/>
    <numFmt numFmtId="166" formatCode="&quot;R&quot;\ 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indexed="8"/>
      <name val="Calibri"/>
      <family val="2"/>
      <scheme val="minor"/>
    </font>
    <font>
      <sz val="14"/>
      <color theme="1"/>
      <name val="Calibri"/>
      <family val="2"/>
    </font>
    <font>
      <i/>
      <sz val="14"/>
      <color theme="1"/>
      <name val="Calibri"/>
      <family val="2"/>
    </font>
    <font>
      <i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i/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indexed="8"/>
      <name val="Calibri"/>
      <family val="2"/>
    </font>
    <font>
      <sz val="20"/>
      <color theme="1"/>
      <name val="Calibri"/>
      <family val="2"/>
    </font>
    <font>
      <b/>
      <i/>
      <sz val="20"/>
      <color theme="1"/>
      <name val="Calibri"/>
      <family val="2"/>
    </font>
    <font>
      <i/>
      <sz val="20"/>
      <color theme="1"/>
      <name val="Calibri"/>
      <family val="2"/>
    </font>
    <font>
      <i/>
      <sz val="20"/>
      <color indexed="8"/>
      <name val="Calibri"/>
      <family val="2"/>
    </font>
    <font>
      <b/>
      <i/>
      <sz val="16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38">
    <xf numFmtId="0" fontId="0" fillId="0" borderId="0" xfId="0"/>
    <xf numFmtId="2" fontId="1" fillId="0" borderId="17" xfId="0" applyNumberFormat="1" applyFont="1" applyBorder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9" xfId="0" applyFont="1" applyBorder="1"/>
    <xf numFmtId="16" fontId="1" fillId="0" borderId="5" xfId="0" applyNumberFormat="1" applyFont="1" applyBorder="1" applyAlignment="1">
      <alignment horizontal="center"/>
    </xf>
    <xf numFmtId="16" fontId="1" fillId="0" borderId="10" xfId="0" applyNumberFormat="1" applyFont="1" applyBorder="1" applyAlignment="1">
      <alignment horizontal="center"/>
    </xf>
    <xf numFmtId="16" fontId="1" fillId="0" borderId="23" xfId="0" applyNumberFormat="1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/>
    <xf numFmtId="16" fontId="1" fillId="0" borderId="0" xfId="0" applyNumberFormat="1" applyFont="1"/>
    <xf numFmtId="44" fontId="1" fillId="0" borderId="1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6" xfId="0" applyFont="1" applyBorder="1"/>
    <xf numFmtId="0" fontId="1" fillId="0" borderId="17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" fillId="0" borderId="0" xfId="0" applyNumberFormat="1" applyFont="1"/>
    <xf numFmtId="164" fontId="1" fillId="0" borderId="24" xfId="0" applyNumberFormat="1" applyFont="1" applyBorder="1"/>
    <xf numFmtId="44" fontId="1" fillId="0" borderId="28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3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8" xfId="0" applyFont="1" applyBorder="1"/>
    <xf numFmtId="2" fontId="1" fillId="0" borderId="29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44" fontId="1" fillId="0" borderId="36" xfId="0" applyNumberFormat="1" applyFont="1" applyBorder="1" applyAlignment="1">
      <alignment horizontal="center"/>
    </xf>
    <xf numFmtId="44" fontId="1" fillId="0" borderId="31" xfId="0" applyNumberFormat="1" applyFont="1" applyBorder="1" applyAlignment="1">
      <alignment horizontal="center"/>
    </xf>
    <xf numFmtId="44" fontId="1" fillId="0" borderId="0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horizontal="center"/>
    </xf>
    <xf numFmtId="44" fontId="1" fillId="0" borderId="34" xfId="0" applyNumberFormat="1" applyFont="1" applyBorder="1" applyAlignment="1">
      <alignment horizontal="center"/>
    </xf>
    <xf numFmtId="0" fontId="1" fillId="0" borderId="25" xfId="0" applyFont="1" applyBorder="1"/>
    <xf numFmtId="44" fontId="1" fillId="0" borderId="29" xfId="0" applyNumberFormat="1" applyFont="1" applyBorder="1" applyAlignment="1">
      <alignment horizontal="center"/>
    </xf>
    <xf numFmtId="0" fontId="1" fillId="0" borderId="26" xfId="0" applyFont="1" applyBorder="1"/>
    <xf numFmtId="44" fontId="1" fillId="0" borderId="17" xfId="0" applyNumberFormat="1" applyFont="1" applyBorder="1" applyAlignment="1">
      <alignment horizontal="center"/>
    </xf>
    <xf numFmtId="0" fontId="1" fillId="0" borderId="27" xfId="0" applyFont="1" applyBorder="1"/>
    <xf numFmtId="44" fontId="1" fillId="0" borderId="18" xfId="0" applyNumberFormat="1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44" fontId="1" fillId="0" borderId="1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4" fontId="1" fillId="0" borderId="14" xfId="0" applyNumberFormat="1" applyFont="1" applyBorder="1" applyAlignment="1">
      <alignment horizontal="center"/>
    </xf>
    <xf numFmtId="44" fontId="1" fillId="0" borderId="12" xfId="0" applyNumberFormat="1" applyFont="1" applyBorder="1" applyAlignment="1">
      <alignment horizontal="center"/>
    </xf>
    <xf numFmtId="44" fontId="1" fillId="0" borderId="33" xfId="0" applyNumberFormat="1" applyFont="1" applyBorder="1" applyAlignment="1">
      <alignment horizontal="center"/>
    </xf>
    <xf numFmtId="0" fontId="2" fillId="3" borderId="11" xfId="0" applyFont="1" applyFill="1" applyBorder="1"/>
    <xf numFmtId="44" fontId="2" fillId="3" borderId="15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3" fillId="0" borderId="9" xfId="0" applyFont="1" applyBorder="1"/>
    <xf numFmtId="0" fontId="3" fillId="0" borderId="5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17" xfId="0" applyFont="1" applyBorder="1"/>
    <xf numFmtId="2" fontId="1" fillId="0" borderId="20" xfId="0" applyNumberFormat="1" applyFont="1" applyBorder="1" applyAlignment="1">
      <alignment horizontal="center"/>
    </xf>
    <xf numFmtId="0" fontId="1" fillId="0" borderId="18" xfId="0" applyFont="1" applyBorder="1"/>
    <xf numFmtId="2" fontId="1" fillId="0" borderId="18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1" fillId="5" borderId="9" xfId="0" applyFont="1" applyFill="1" applyBorder="1"/>
    <xf numFmtId="0" fontId="1" fillId="0" borderId="29" xfId="0" applyFont="1" applyBorder="1"/>
    <xf numFmtId="2" fontId="1" fillId="0" borderId="32" xfId="0" applyNumberFormat="1" applyFont="1" applyBorder="1" applyAlignment="1">
      <alignment horizontal="center"/>
    </xf>
    <xf numFmtId="0" fontId="1" fillId="6" borderId="5" xfId="0" applyFont="1" applyFill="1" applyBorder="1"/>
    <xf numFmtId="2" fontId="1" fillId="6" borderId="5" xfId="0" applyNumberFormat="1" applyFont="1" applyFill="1" applyBorder="1" applyAlignment="1">
      <alignment horizontal="center"/>
    </xf>
    <xf numFmtId="2" fontId="1" fillId="6" borderId="23" xfId="0" applyNumberFormat="1" applyFont="1" applyFill="1" applyBorder="1" applyAlignment="1">
      <alignment horizontal="center"/>
    </xf>
    <xf numFmtId="0" fontId="5" fillId="0" borderId="9" xfId="0" applyFont="1" applyBorder="1"/>
    <xf numFmtId="44" fontId="6" fillId="0" borderId="10" xfId="0" applyNumberFormat="1" applyFont="1" applyBorder="1" applyAlignment="1">
      <alignment horizontal="center"/>
    </xf>
    <xf numFmtId="0" fontId="7" fillId="0" borderId="9" xfId="0" applyFont="1" applyBorder="1"/>
    <xf numFmtId="44" fontId="8" fillId="0" borderId="10" xfId="0" applyNumberFormat="1" applyFont="1" applyBorder="1" applyAlignment="1">
      <alignment horizontal="center"/>
    </xf>
    <xf numFmtId="0" fontId="9" fillId="0" borderId="23" xfId="0" applyFont="1" applyBorder="1"/>
    <xf numFmtId="0" fontId="9" fillId="0" borderId="5" xfId="0" applyFont="1" applyBorder="1"/>
    <xf numFmtId="0" fontId="9" fillId="2" borderId="2" xfId="0" applyFont="1" applyFill="1" applyBorder="1"/>
    <xf numFmtId="0" fontId="9" fillId="2" borderId="3" xfId="0" applyFont="1" applyFill="1" applyBorder="1"/>
    <xf numFmtId="0" fontId="9" fillId="2" borderId="4" xfId="0" applyFont="1" applyFill="1" applyBorder="1"/>
    <xf numFmtId="0" fontId="5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9" fillId="0" borderId="0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44" fontId="10" fillId="0" borderId="0" xfId="0" applyNumberFormat="1" applyFont="1" applyAlignment="1">
      <alignment horizontal="center"/>
    </xf>
    <xf numFmtId="0" fontId="7" fillId="0" borderId="5" xfId="0" applyFont="1" applyBorder="1"/>
    <xf numFmtId="16" fontId="7" fillId="0" borderId="5" xfId="0" applyNumberFormat="1" applyFont="1" applyBorder="1" applyAlignment="1">
      <alignment horizontal="center"/>
    </xf>
    <xf numFmtId="16" fontId="7" fillId="0" borderId="10" xfId="0" applyNumberFormat="1" applyFont="1" applyBorder="1" applyAlignment="1">
      <alignment horizontal="center"/>
    </xf>
    <xf numFmtId="16" fontId="7" fillId="0" borderId="23" xfId="0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4" borderId="0" xfId="0" applyFont="1" applyFill="1"/>
    <xf numFmtId="16" fontId="10" fillId="0" borderId="13" xfId="0" applyNumberFormat="1" applyFont="1" applyBorder="1"/>
    <xf numFmtId="44" fontId="10" fillId="0" borderId="15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7" xfId="0" applyFont="1" applyBorder="1"/>
    <xf numFmtId="0" fontId="10" fillId="0" borderId="17" xfId="0" applyNumberFormat="1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2" fontId="10" fillId="0" borderId="0" xfId="0" applyNumberFormat="1" applyFont="1"/>
    <xf numFmtId="164" fontId="10" fillId="0" borderId="28" xfId="0" applyNumberFormat="1" applyFont="1" applyBorder="1" applyAlignment="1">
      <alignment horizontal="left"/>
    </xf>
    <xf numFmtId="44" fontId="10" fillId="0" borderId="28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64" fontId="10" fillId="0" borderId="31" xfId="0" applyNumberFormat="1" applyFont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10" fillId="0" borderId="0" xfId="0" applyNumberFormat="1" applyFont="1"/>
    <xf numFmtId="0" fontId="10" fillId="0" borderId="29" xfId="0" applyFont="1" applyBorder="1"/>
    <xf numFmtId="2" fontId="10" fillId="0" borderId="29" xfId="0" applyNumberFormat="1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164" fontId="10" fillId="0" borderId="28" xfId="0" applyNumberFormat="1" applyFont="1" applyBorder="1"/>
    <xf numFmtId="44" fontId="10" fillId="0" borderId="31" xfId="0" applyNumberFormat="1" applyFont="1" applyBorder="1" applyAlignment="1">
      <alignment horizontal="center"/>
    </xf>
    <xf numFmtId="44" fontId="10" fillId="0" borderId="0" xfId="0" applyNumberFormat="1" applyFont="1" applyBorder="1" applyAlignment="1">
      <alignment horizontal="center"/>
    </xf>
    <xf numFmtId="0" fontId="10" fillId="0" borderId="29" xfId="0" applyNumberFormat="1" applyFont="1" applyBorder="1" applyAlignment="1">
      <alignment horizontal="center"/>
    </xf>
    <xf numFmtId="164" fontId="10" fillId="0" borderId="29" xfId="0" applyNumberFormat="1" applyFont="1" applyBorder="1" applyAlignment="1">
      <alignment horizontal="center"/>
    </xf>
    <xf numFmtId="164" fontId="10" fillId="0" borderId="37" xfId="0" applyNumberFormat="1" applyFont="1" applyBorder="1" applyAlignment="1">
      <alignment horizontal="center"/>
    </xf>
    <xf numFmtId="164" fontId="10" fillId="0" borderId="32" xfId="0" applyNumberFormat="1" applyFont="1" applyBorder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4" fontId="10" fillId="0" borderId="20" xfId="0" applyNumberFormat="1" applyFont="1" applyBorder="1" applyAlignment="1">
      <alignment horizontal="center"/>
    </xf>
    <xf numFmtId="164" fontId="10" fillId="0" borderId="35" xfId="0" applyNumberFormat="1" applyFont="1" applyBorder="1" applyAlignment="1">
      <alignment horizontal="center"/>
    </xf>
    <xf numFmtId="0" fontId="10" fillId="0" borderId="18" xfId="0" applyFont="1" applyBorder="1"/>
    <xf numFmtId="164" fontId="10" fillId="0" borderId="18" xfId="0" applyNumberFormat="1" applyFont="1" applyBorder="1" applyAlignment="1">
      <alignment horizontal="center"/>
    </xf>
    <xf numFmtId="164" fontId="10" fillId="0" borderId="38" xfId="0" applyNumberFormat="1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0" fontId="10" fillId="0" borderId="13" xfId="0" applyFont="1" applyBorder="1"/>
    <xf numFmtId="44" fontId="10" fillId="0" borderId="13" xfId="0" applyNumberFormat="1" applyFont="1" applyBorder="1" applyAlignment="1">
      <alignment horizontal="center"/>
    </xf>
    <xf numFmtId="0" fontId="10" fillId="0" borderId="5" xfId="0" applyFont="1" applyBorder="1"/>
    <xf numFmtId="0" fontId="10" fillId="0" borderId="0" xfId="0" applyNumberFormat="1" applyFont="1" applyBorder="1" applyAlignment="1">
      <alignment horizontal="center"/>
    </xf>
    <xf numFmtId="164" fontId="10" fillId="0" borderId="14" xfId="0" applyNumberFormat="1" applyFont="1" applyBorder="1"/>
    <xf numFmtId="44" fontId="10" fillId="0" borderId="14" xfId="0" applyNumberFormat="1" applyFont="1" applyBorder="1" applyAlignment="1">
      <alignment horizontal="center"/>
    </xf>
    <xf numFmtId="44" fontId="10" fillId="0" borderId="12" xfId="0" applyNumberFormat="1" applyFont="1" applyBorder="1" applyAlignment="1">
      <alignment horizontal="center"/>
    </xf>
    <xf numFmtId="44" fontId="10" fillId="0" borderId="33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5" fillId="3" borderId="11" xfId="0" applyFont="1" applyFill="1" applyBorder="1" applyAlignment="1">
      <alignment horizontal="center"/>
    </xf>
    <xf numFmtId="44" fontId="5" fillId="3" borderId="15" xfId="0" applyNumberFormat="1" applyFont="1" applyFill="1" applyBorder="1" applyAlignment="1">
      <alignment horizontal="center"/>
    </xf>
    <xf numFmtId="0" fontId="5" fillId="3" borderId="22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11" fillId="0" borderId="9" xfId="0" applyFont="1" applyBorder="1"/>
    <xf numFmtId="3" fontId="11" fillId="0" borderId="5" xfId="0" applyNumberFormat="1" applyFont="1" applyBorder="1" applyAlignment="1">
      <alignment horizontal="center"/>
    </xf>
    <xf numFmtId="0" fontId="11" fillId="0" borderId="23" xfId="0" applyNumberFormat="1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2" fillId="6" borderId="5" xfId="0" applyFont="1" applyFill="1" applyBorder="1"/>
    <xf numFmtId="2" fontId="10" fillId="6" borderId="5" xfId="0" applyNumberFormat="1" applyFont="1" applyFill="1" applyBorder="1" applyAlignment="1">
      <alignment horizontal="center"/>
    </xf>
    <xf numFmtId="2" fontId="10" fillId="6" borderId="23" xfId="0" applyNumberFormat="1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32" xfId="0" applyNumberFormat="1" applyFont="1" applyBorder="1" applyAlignment="1">
      <alignment horizontal="center"/>
    </xf>
    <xf numFmtId="2" fontId="10" fillId="0" borderId="20" xfId="0" applyNumberFormat="1" applyFont="1" applyBorder="1" applyAlignment="1">
      <alignment horizontal="center"/>
    </xf>
    <xf numFmtId="2" fontId="10" fillId="0" borderId="21" xfId="0" applyNumberFormat="1" applyFont="1" applyBorder="1" applyAlignment="1">
      <alignment horizontal="center"/>
    </xf>
    <xf numFmtId="9" fontId="10" fillId="7" borderId="9" xfId="2" applyFont="1" applyFill="1" applyBorder="1"/>
    <xf numFmtId="165" fontId="10" fillId="7" borderId="5" xfId="2" applyNumberFormat="1" applyFont="1" applyFill="1" applyBorder="1" applyAlignment="1">
      <alignment horizontal="center"/>
    </xf>
    <xf numFmtId="165" fontId="10" fillId="7" borderId="23" xfId="2" applyNumberFormat="1" applyFont="1" applyFill="1" applyBorder="1" applyAlignment="1">
      <alignment horizontal="center"/>
    </xf>
    <xf numFmtId="9" fontId="10" fillId="0" borderId="0" xfId="2" applyFont="1" applyAlignment="1">
      <alignment horizontal="center"/>
    </xf>
    <xf numFmtId="9" fontId="10" fillId="0" borderId="0" xfId="2" applyFont="1"/>
    <xf numFmtId="0" fontId="5" fillId="3" borderId="15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10" fillId="0" borderId="2" xfId="0" applyFont="1" applyBorder="1"/>
    <xf numFmtId="1" fontId="10" fillId="0" borderId="3" xfId="0" applyNumberFormat="1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" fontId="10" fillId="0" borderId="2" xfId="0" applyNumberFormat="1" applyFont="1" applyBorder="1"/>
    <xf numFmtId="2" fontId="10" fillId="0" borderId="3" xfId="0" applyNumberFormat="1" applyFont="1" applyBorder="1"/>
    <xf numFmtId="2" fontId="10" fillId="0" borderId="4" xfId="0" applyNumberFormat="1" applyFont="1" applyBorder="1"/>
    <xf numFmtId="44" fontId="10" fillId="0" borderId="10" xfId="0" applyNumberFormat="1" applyFont="1" applyBorder="1" applyAlignment="1">
      <alignment horizontal="center"/>
    </xf>
    <xf numFmtId="0" fontId="5" fillId="0" borderId="23" xfId="0" applyFont="1" applyBorder="1"/>
    <xf numFmtId="16" fontId="10" fillId="0" borderId="5" xfId="0" applyNumberFormat="1" applyFont="1" applyBorder="1" applyAlignment="1">
      <alignment horizontal="center"/>
    </xf>
    <xf numFmtId="16" fontId="10" fillId="0" borderId="10" xfId="0" applyNumberFormat="1" applyFont="1" applyBorder="1" applyAlignment="1">
      <alignment horizontal="center"/>
    </xf>
    <xf numFmtId="16" fontId="10" fillId="0" borderId="23" xfId="0" applyNumberFormat="1" applyFont="1" applyBorder="1" applyAlignment="1">
      <alignment horizontal="center"/>
    </xf>
    <xf numFmtId="16" fontId="10" fillId="0" borderId="0" xfId="0" applyNumberFormat="1" applyFont="1"/>
    <xf numFmtId="0" fontId="10" fillId="0" borderId="16" xfId="0" applyFont="1" applyBorder="1"/>
    <xf numFmtId="164" fontId="10" fillId="0" borderId="24" xfId="0" applyNumberFormat="1" applyFont="1" applyBorder="1"/>
    <xf numFmtId="0" fontId="10" fillId="0" borderId="8" xfId="0" applyFont="1" applyBorder="1"/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9" xfId="0" applyFont="1" applyBorder="1"/>
    <xf numFmtId="0" fontId="5" fillId="3" borderId="11" xfId="0" applyFont="1" applyFill="1" applyBorder="1"/>
    <xf numFmtId="0" fontId="10" fillId="6" borderId="5" xfId="0" applyFont="1" applyFill="1" applyBorder="1"/>
    <xf numFmtId="0" fontId="10" fillId="5" borderId="9" xfId="0" applyFont="1" applyFill="1" applyBorder="1"/>
    <xf numFmtId="2" fontId="10" fillId="5" borderId="5" xfId="0" applyNumberFormat="1" applyFont="1" applyFill="1" applyBorder="1" applyAlignment="1">
      <alignment horizontal="center"/>
    </xf>
    <xf numFmtId="1" fontId="10" fillId="0" borderId="0" xfId="2" applyNumberFormat="1" applyFont="1" applyAlignment="1">
      <alignment horizontal="center"/>
    </xf>
    <xf numFmtId="1" fontId="5" fillId="3" borderId="15" xfId="2" applyNumberFormat="1" applyFont="1" applyFill="1" applyBorder="1" applyAlignment="1">
      <alignment horizontal="center"/>
    </xf>
    <xf numFmtId="1" fontId="5" fillId="3" borderId="42" xfId="2" applyNumberFormat="1" applyFont="1" applyFill="1" applyBorder="1" applyAlignment="1">
      <alignment horizontal="center"/>
    </xf>
    <xf numFmtId="1" fontId="5" fillId="3" borderId="43" xfId="2" applyNumberFormat="1" applyFont="1" applyFill="1" applyBorder="1" applyAlignment="1">
      <alignment horizontal="center"/>
    </xf>
    <xf numFmtId="1" fontId="10" fillId="0" borderId="9" xfId="2" applyNumberFormat="1" applyFont="1" applyBorder="1" applyAlignment="1">
      <alignment horizontal="center"/>
    </xf>
    <xf numFmtId="1" fontId="10" fillId="0" borderId="2" xfId="2" applyNumberFormat="1" applyFont="1" applyBorder="1"/>
    <xf numFmtId="1" fontId="10" fillId="0" borderId="3" xfId="2" applyNumberFormat="1" applyFont="1" applyBorder="1"/>
    <xf numFmtId="1" fontId="10" fillId="0" borderId="4" xfId="2" applyNumberFormat="1" applyFont="1" applyBorder="1"/>
    <xf numFmtId="0" fontId="10" fillId="0" borderId="1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44" fontId="10" fillId="0" borderId="31" xfId="0" applyNumberFormat="1" applyFont="1" applyFill="1" applyBorder="1" applyAlignment="1">
      <alignment horizontal="center"/>
    </xf>
    <xf numFmtId="166" fontId="10" fillId="0" borderId="32" xfId="0" applyNumberFormat="1" applyFont="1" applyBorder="1" applyAlignment="1">
      <alignment horizontal="center"/>
    </xf>
    <xf numFmtId="166" fontId="10" fillId="0" borderId="20" xfId="0" applyNumberFormat="1" applyFont="1" applyBorder="1" applyAlignment="1">
      <alignment horizontal="center"/>
    </xf>
    <xf numFmtId="166" fontId="10" fillId="0" borderId="21" xfId="0" applyNumberFormat="1" applyFont="1" applyBorder="1" applyAlignment="1">
      <alignment horizontal="center"/>
    </xf>
    <xf numFmtId="44" fontId="10" fillId="0" borderId="22" xfId="0" applyNumberFormat="1" applyFont="1" applyBorder="1" applyAlignment="1">
      <alignment horizontal="center"/>
    </xf>
    <xf numFmtId="0" fontId="10" fillId="0" borderId="20" xfId="0" applyNumberFormat="1" applyFont="1" applyBorder="1" applyAlignment="1">
      <alignment horizontal="center"/>
    </xf>
    <xf numFmtId="0" fontId="10" fillId="0" borderId="32" xfId="0" applyNumberFormat="1" applyFont="1" applyBorder="1" applyAlignment="1">
      <alignment horizontal="center"/>
    </xf>
    <xf numFmtId="44" fontId="10" fillId="0" borderId="32" xfId="0" applyNumberFormat="1" applyFont="1" applyBorder="1" applyAlignment="1">
      <alignment horizontal="center"/>
    </xf>
    <xf numFmtId="44" fontId="10" fillId="0" borderId="20" xfId="0" applyNumberFormat="1" applyFont="1" applyBorder="1" applyAlignment="1">
      <alignment horizontal="center"/>
    </xf>
    <xf numFmtId="44" fontId="10" fillId="0" borderId="21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16" fontId="5" fillId="0" borderId="23" xfId="0" applyNumberFormat="1" applyFont="1" applyBorder="1" applyAlignment="1">
      <alignment horizontal="center"/>
    </xf>
    <xf numFmtId="0" fontId="11" fillId="6" borderId="5" xfId="0" applyFont="1" applyFill="1" applyBorder="1"/>
    <xf numFmtId="165" fontId="10" fillId="7" borderId="5" xfId="0" applyNumberFormat="1" applyFont="1" applyFill="1" applyBorder="1" applyAlignment="1">
      <alignment horizontal="center"/>
    </xf>
    <xf numFmtId="165" fontId="10" fillId="7" borderId="23" xfId="0" applyNumberFormat="1" applyFont="1" applyFill="1" applyBorder="1" applyAlignment="1">
      <alignment horizontal="center"/>
    </xf>
    <xf numFmtId="166" fontId="10" fillId="0" borderId="29" xfId="0" applyNumberFormat="1" applyFont="1" applyBorder="1" applyAlignment="1">
      <alignment horizontal="center"/>
    </xf>
    <xf numFmtId="166" fontId="10" fillId="0" borderId="37" xfId="0" applyNumberFormat="1" applyFont="1" applyBorder="1" applyAlignment="1">
      <alignment horizontal="center"/>
    </xf>
    <xf numFmtId="166" fontId="10" fillId="0" borderId="17" xfId="0" applyNumberFormat="1" applyFont="1" applyBorder="1" applyAlignment="1">
      <alignment horizontal="center"/>
    </xf>
    <xf numFmtId="166" fontId="10" fillId="0" borderId="35" xfId="0" applyNumberFormat="1" applyFont="1" applyBorder="1" applyAlignment="1">
      <alignment horizontal="center"/>
    </xf>
    <xf numFmtId="166" fontId="10" fillId="0" borderId="18" xfId="0" applyNumberFormat="1" applyFont="1" applyBorder="1" applyAlignment="1">
      <alignment horizontal="center"/>
    </xf>
    <xf numFmtId="166" fontId="10" fillId="0" borderId="38" xfId="0" applyNumberFormat="1" applyFont="1" applyBorder="1" applyAlignment="1">
      <alignment horizontal="center"/>
    </xf>
    <xf numFmtId="0" fontId="10" fillId="0" borderId="35" xfId="0" applyNumberFormat="1" applyFont="1" applyBorder="1" applyAlignment="1">
      <alignment horizontal="center"/>
    </xf>
    <xf numFmtId="44" fontId="10" fillId="0" borderId="29" xfId="0" applyNumberFormat="1" applyFont="1" applyBorder="1" applyAlignment="1">
      <alignment horizontal="center"/>
    </xf>
    <xf numFmtId="44" fontId="10" fillId="0" borderId="17" xfId="0" applyNumberFormat="1" applyFont="1" applyBorder="1" applyAlignment="1">
      <alignment horizontal="center"/>
    </xf>
    <xf numFmtId="44" fontId="10" fillId="0" borderId="18" xfId="0" applyNumberFormat="1" applyFont="1" applyBorder="1" applyAlignment="1">
      <alignment horizontal="center"/>
    </xf>
    <xf numFmtId="44" fontId="10" fillId="0" borderId="29" xfId="1" applyFont="1" applyBorder="1" applyAlignment="1">
      <alignment horizontal="center"/>
    </xf>
    <xf numFmtId="44" fontId="10" fillId="0" borderId="37" xfId="1" applyFont="1" applyBorder="1" applyAlignment="1">
      <alignment horizontal="center"/>
    </xf>
    <xf numFmtId="44" fontId="10" fillId="0" borderId="32" xfId="1" applyFont="1" applyBorder="1" applyAlignment="1">
      <alignment horizontal="center"/>
    </xf>
    <xf numFmtId="44" fontId="10" fillId="0" borderId="17" xfId="1" applyFont="1" applyBorder="1" applyAlignment="1">
      <alignment horizontal="center"/>
    </xf>
    <xf numFmtId="44" fontId="10" fillId="0" borderId="20" xfId="1" applyFont="1" applyBorder="1" applyAlignment="1">
      <alignment horizontal="center"/>
    </xf>
    <xf numFmtId="44" fontId="10" fillId="0" borderId="35" xfId="1" applyFont="1" applyBorder="1" applyAlignment="1">
      <alignment horizontal="center"/>
    </xf>
    <xf numFmtId="44" fontId="10" fillId="0" borderId="18" xfId="1" applyFont="1" applyBorder="1" applyAlignment="1">
      <alignment horizontal="center"/>
    </xf>
    <xf numFmtId="44" fontId="10" fillId="0" borderId="38" xfId="1" applyFont="1" applyBorder="1" applyAlignment="1">
      <alignment horizontal="center"/>
    </xf>
    <xf numFmtId="44" fontId="10" fillId="0" borderId="21" xfId="1" applyFont="1" applyBorder="1" applyAlignment="1">
      <alignment horizontal="center"/>
    </xf>
    <xf numFmtId="0" fontId="10" fillId="0" borderId="0" xfId="0" applyNumberFormat="1" applyFont="1"/>
    <xf numFmtId="0" fontId="10" fillId="0" borderId="37" xfId="0" applyNumberFormat="1" applyFont="1" applyBorder="1" applyAlignment="1">
      <alignment horizontal="center"/>
    </xf>
    <xf numFmtId="0" fontId="11" fillId="0" borderId="5" xfId="0" applyNumberFormat="1" applyFont="1" applyBorder="1" applyAlignment="1">
      <alignment horizontal="center"/>
    </xf>
    <xf numFmtId="0" fontId="13" fillId="0" borderId="0" xfId="0" applyFont="1" applyBorder="1"/>
    <xf numFmtId="0" fontId="13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/>
    <xf numFmtId="2" fontId="13" fillId="0" borderId="0" xfId="0" applyNumberFormat="1" applyFont="1" applyAlignment="1">
      <alignment horizontal="center"/>
    </xf>
    <xf numFmtId="0" fontId="10" fillId="0" borderId="0" xfId="0" applyFont="1" applyBorder="1"/>
    <xf numFmtId="9" fontId="13" fillId="0" borderId="0" xfId="0" applyNumberFormat="1" applyFont="1"/>
    <xf numFmtId="2" fontId="13" fillId="0" borderId="0" xfId="0" applyNumberFormat="1" applyFont="1"/>
    <xf numFmtId="0" fontId="13" fillId="0" borderId="14" xfId="0" applyFont="1" applyBorder="1"/>
    <xf numFmtId="0" fontId="13" fillId="0" borderId="33" xfId="0" applyFont="1" applyBorder="1"/>
    <xf numFmtId="44" fontId="13" fillId="0" borderId="23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5" xfId="0" applyFont="1" applyBorder="1"/>
    <xf numFmtId="0" fontId="13" fillId="0" borderId="23" xfId="0" applyFont="1" applyBorder="1"/>
    <xf numFmtId="0" fontId="13" fillId="0" borderId="15" xfId="0" applyFont="1" applyBorder="1" applyAlignment="1">
      <alignment horizontal="center"/>
    </xf>
    <xf numFmtId="0" fontId="14" fillId="0" borderId="29" xfId="0" applyFont="1" applyBorder="1"/>
    <xf numFmtId="0" fontId="14" fillId="0" borderId="32" xfId="0" applyFont="1" applyBorder="1"/>
    <xf numFmtId="3" fontId="14" fillId="0" borderId="29" xfId="0" applyNumberFormat="1" applyFont="1" applyBorder="1"/>
    <xf numFmtId="2" fontId="14" fillId="0" borderId="32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17" xfId="0" applyFont="1" applyBorder="1"/>
    <xf numFmtId="0" fontId="13" fillId="0" borderId="20" xfId="0" applyFont="1" applyBorder="1"/>
    <xf numFmtId="3" fontId="13" fillId="0" borderId="17" xfId="0" applyNumberFormat="1" applyFont="1" applyBorder="1"/>
    <xf numFmtId="2" fontId="13" fillId="0" borderId="20" xfId="0" applyNumberFormat="1" applyFont="1" applyBorder="1" applyAlignment="1">
      <alignment horizontal="center"/>
    </xf>
    <xf numFmtId="0" fontId="13" fillId="0" borderId="29" xfId="0" applyFont="1" applyBorder="1"/>
    <xf numFmtId="0" fontId="13" fillId="0" borderId="37" xfId="0" applyFont="1" applyBorder="1"/>
    <xf numFmtId="1" fontId="13" fillId="0" borderId="17" xfId="0" applyNumberFormat="1" applyFont="1" applyBorder="1" applyAlignment="1">
      <alignment horizontal="center"/>
    </xf>
    <xf numFmtId="1" fontId="13" fillId="0" borderId="17" xfId="2" applyNumberFormat="1" applyFont="1" applyBorder="1" applyAlignment="1">
      <alignment horizontal="center"/>
    </xf>
    <xf numFmtId="0" fontId="13" fillId="0" borderId="18" xfId="0" applyFont="1" applyBorder="1"/>
    <xf numFmtId="0" fontId="13" fillId="0" borderId="21" xfId="0" applyFont="1" applyBorder="1"/>
    <xf numFmtId="3" fontId="13" fillId="0" borderId="18" xfId="0" applyNumberFormat="1" applyFont="1" applyBorder="1"/>
    <xf numFmtId="2" fontId="13" fillId="0" borderId="21" xfId="0" applyNumberFormat="1" applyFont="1" applyBorder="1" applyAlignment="1">
      <alignment horizontal="center"/>
    </xf>
    <xf numFmtId="0" fontId="13" fillId="0" borderId="12" xfId="0" applyFont="1" applyBorder="1"/>
    <xf numFmtId="1" fontId="13" fillId="0" borderId="18" xfId="0" applyNumberFormat="1" applyFont="1" applyBorder="1" applyAlignment="1">
      <alignment horizontal="center"/>
    </xf>
    <xf numFmtId="1" fontId="13" fillId="0" borderId="18" xfId="2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5" xfId="0" applyFont="1" applyBorder="1"/>
    <xf numFmtId="44" fontId="13" fillId="0" borderId="19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4" xfId="0" applyFont="1" applyBorder="1"/>
    <xf numFmtId="0" fontId="13" fillId="0" borderId="45" xfId="0" applyFont="1" applyBorder="1"/>
    <xf numFmtId="0" fontId="13" fillId="0" borderId="44" xfId="0" applyNumberFormat="1" applyFont="1" applyBorder="1" applyAlignment="1">
      <alignment horizontal="center"/>
    </xf>
    <xf numFmtId="1" fontId="13" fillId="0" borderId="45" xfId="2" applyNumberFormat="1" applyFont="1" applyBorder="1" applyAlignment="1">
      <alignment horizontal="center"/>
    </xf>
    <xf numFmtId="0" fontId="13" fillId="0" borderId="32" xfId="0" applyFont="1" applyBorder="1"/>
    <xf numFmtId="0" fontId="13" fillId="0" borderId="29" xfId="0" applyNumberFormat="1" applyFont="1" applyBorder="1" applyAlignment="1">
      <alignment horizontal="center"/>
    </xf>
    <xf numFmtId="1" fontId="13" fillId="0" borderId="20" xfId="2" applyNumberFormat="1" applyFont="1" applyBorder="1" applyAlignment="1">
      <alignment horizontal="center"/>
    </xf>
    <xf numFmtId="0" fontId="13" fillId="0" borderId="17" xfId="0" applyFont="1" applyBorder="1" applyAlignment="1">
      <alignment horizontal="left"/>
    </xf>
    <xf numFmtId="0" fontId="16" fillId="0" borderId="17" xfId="0" applyFont="1" applyBorder="1"/>
    <xf numFmtId="0" fontId="15" fillId="0" borderId="17" xfId="0" applyFont="1" applyBorder="1"/>
    <xf numFmtId="0" fontId="13" fillId="0" borderId="14" xfId="0" applyNumberFormat="1" applyFont="1" applyBorder="1" applyAlignment="1">
      <alignment horizontal="center"/>
    </xf>
    <xf numFmtId="1" fontId="13" fillId="0" borderId="21" xfId="2" applyNumberFormat="1" applyFont="1" applyBorder="1" applyAlignment="1">
      <alignment horizontal="center"/>
    </xf>
    <xf numFmtId="0" fontId="17" fillId="2" borderId="1" xfId="0" applyFont="1" applyFill="1" applyBorder="1"/>
    <xf numFmtId="0" fontId="13" fillId="0" borderId="39" xfId="0" applyFont="1" applyBorder="1"/>
    <xf numFmtId="3" fontId="13" fillId="0" borderId="1" xfId="0" applyNumberFormat="1" applyFont="1" applyBorder="1"/>
    <xf numFmtId="0" fontId="14" fillId="0" borderId="1" xfId="0" applyFont="1" applyBorder="1"/>
    <xf numFmtId="3" fontId="14" fillId="0" borderId="1" xfId="0" applyNumberFormat="1" applyFont="1" applyBorder="1"/>
    <xf numFmtId="0" fontId="13" fillId="0" borderId="1" xfId="0" applyFont="1" applyBorder="1"/>
    <xf numFmtId="0" fontId="13" fillId="0" borderId="1" xfId="0" applyFont="1" applyFill="1" applyBorder="1"/>
    <xf numFmtId="3" fontId="13" fillId="0" borderId="1" xfId="0" applyNumberFormat="1" applyFont="1" applyFill="1" applyBorder="1"/>
    <xf numFmtId="0" fontId="13" fillId="0" borderId="9" xfId="0" applyFont="1" applyBorder="1" applyAlignment="1">
      <alignment horizontal="center"/>
    </xf>
    <xf numFmtId="1" fontId="13" fillId="0" borderId="26" xfId="2" applyNumberFormat="1" applyFont="1" applyBorder="1" applyAlignment="1">
      <alignment horizontal="center"/>
    </xf>
    <xf numFmtId="1" fontId="13" fillId="0" borderId="27" xfId="2" applyNumberFormat="1" applyFont="1" applyBorder="1" applyAlignment="1">
      <alignment horizontal="center"/>
    </xf>
    <xf numFmtId="1" fontId="13" fillId="0" borderId="44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" fontId="13" fillId="0" borderId="46" xfId="0" applyNumberFormat="1" applyFont="1" applyBorder="1" applyAlignment="1">
      <alignment horizontal="center"/>
    </xf>
    <xf numFmtId="44" fontId="13" fillId="0" borderId="11" xfId="0" applyNumberFormat="1" applyFont="1" applyBorder="1" applyAlignment="1">
      <alignment horizontal="center"/>
    </xf>
    <xf numFmtId="1" fontId="13" fillId="0" borderId="29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5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10" fillId="0" borderId="32" xfId="0" applyNumberFormat="1" applyFont="1" applyFill="1" applyBorder="1" applyAlignment="1">
      <alignment horizontal="center"/>
    </xf>
    <xf numFmtId="0" fontId="10" fillId="0" borderId="20" xfId="0" applyNumberFormat="1" applyFont="1" applyFill="1" applyBorder="1" applyAlignment="1">
      <alignment horizontal="center"/>
    </xf>
    <xf numFmtId="0" fontId="10" fillId="0" borderId="18" xfId="0" applyNumberFormat="1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44" fontId="10" fillId="0" borderId="0" xfId="1" applyFont="1"/>
    <xf numFmtId="7" fontId="10" fillId="0" borderId="28" xfId="1" applyNumberFormat="1" applyFont="1" applyBorder="1" applyAlignment="1">
      <alignment horizontal="center"/>
    </xf>
    <xf numFmtId="7" fontId="10" fillId="0" borderId="31" xfId="1" applyNumberFormat="1" applyFont="1" applyBorder="1" applyAlignment="1">
      <alignment horizontal="center"/>
    </xf>
    <xf numFmtId="3" fontId="13" fillId="0" borderId="29" xfId="0" applyNumberFormat="1" applyFont="1" applyBorder="1" applyAlignment="1">
      <alignment horizontal="center"/>
    </xf>
    <xf numFmtId="0" fontId="13" fillId="0" borderId="45" xfId="2" applyNumberFormat="1" applyFont="1" applyBorder="1" applyAlignment="1">
      <alignment horizontal="center"/>
    </xf>
    <xf numFmtId="0" fontId="13" fillId="0" borderId="20" xfId="2" applyNumberFormat="1" applyFont="1" applyBorder="1" applyAlignment="1">
      <alignment horizontal="center"/>
    </xf>
    <xf numFmtId="0" fontId="13" fillId="0" borderId="21" xfId="2" applyNumberFormat="1" applyFont="1" applyBorder="1" applyAlignment="1">
      <alignment horizontal="center"/>
    </xf>
    <xf numFmtId="0" fontId="14" fillId="0" borderId="32" xfId="0" applyNumberFormat="1" applyFont="1" applyBorder="1" applyAlignment="1">
      <alignment horizontal="center"/>
    </xf>
    <xf numFmtId="0" fontId="13" fillId="0" borderId="20" xfId="0" applyNumberFormat="1" applyFont="1" applyBorder="1" applyAlignment="1">
      <alignment horizontal="center"/>
    </xf>
    <xf numFmtId="0" fontId="13" fillId="0" borderId="21" xfId="0" applyNumberFormat="1" applyFont="1" applyBorder="1" applyAlignment="1">
      <alignment horizontal="center"/>
    </xf>
    <xf numFmtId="0" fontId="14" fillId="0" borderId="37" xfId="0" applyFont="1" applyBorder="1"/>
    <xf numFmtId="1" fontId="14" fillId="0" borderId="44" xfId="0" applyNumberFormat="1" applyFont="1" applyBorder="1" applyAlignment="1">
      <alignment horizontal="center"/>
    </xf>
    <xf numFmtId="16" fontId="18" fillId="0" borderId="5" xfId="0" applyNumberFormat="1" applyFont="1" applyBorder="1" applyAlignment="1">
      <alignment horizontal="center"/>
    </xf>
    <xf numFmtId="16" fontId="18" fillId="0" borderId="10" xfId="0" applyNumberFormat="1" applyFont="1" applyBorder="1" applyAlignment="1">
      <alignment horizontal="center"/>
    </xf>
    <xf numFmtId="16" fontId="18" fillId="0" borderId="23" xfId="0" applyNumberFormat="1" applyFont="1" applyBorder="1" applyAlignment="1">
      <alignment horizontal="center"/>
    </xf>
    <xf numFmtId="16" fontId="19" fillId="0" borderId="0" xfId="0" applyNumberFormat="1" applyFont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9" fillId="4" borderId="0" xfId="0" applyFont="1" applyFill="1"/>
    <xf numFmtId="0" fontId="19" fillId="0" borderId="0" xfId="0" applyFont="1"/>
    <xf numFmtId="16" fontId="19" fillId="0" borderId="13" xfId="0" applyNumberFormat="1" applyFont="1" applyBorder="1"/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7" xfId="0" applyFont="1" applyBorder="1"/>
    <xf numFmtId="0" fontId="19" fillId="0" borderId="0" xfId="0" applyNumberFormat="1" applyFont="1" applyBorder="1" applyAlignment="1">
      <alignment horizontal="center"/>
    </xf>
    <xf numFmtId="0" fontId="19" fillId="0" borderId="0" xfId="0" applyNumberFormat="1" applyFont="1"/>
    <xf numFmtId="164" fontId="19" fillId="0" borderId="28" xfId="0" applyNumberFormat="1" applyFont="1" applyBorder="1" applyAlignment="1">
      <alignment horizontal="left"/>
    </xf>
    <xf numFmtId="164" fontId="19" fillId="0" borderId="0" xfId="0" applyNumberFormat="1" applyFont="1" applyBorder="1" applyAlignment="1">
      <alignment horizontal="center"/>
    </xf>
    <xf numFmtId="164" fontId="19" fillId="0" borderId="0" xfId="0" applyNumberFormat="1" applyFont="1"/>
    <xf numFmtId="0" fontId="19" fillId="0" borderId="29" xfId="0" applyFont="1" applyBorder="1"/>
    <xf numFmtId="164" fontId="19" fillId="0" borderId="28" xfId="0" applyNumberFormat="1" applyFont="1" applyBorder="1"/>
    <xf numFmtId="44" fontId="19" fillId="0" borderId="0" xfId="0" applyNumberFormat="1" applyFont="1" applyBorder="1" applyAlignment="1">
      <alignment horizontal="center"/>
    </xf>
    <xf numFmtId="0" fontId="19" fillId="0" borderId="18" xfId="0" applyFont="1" applyBorder="1"/>
    <xf numFmtId="0" fontId="19" fillId="0" borderId="13" xfId="0" applyFont="1" applyBorder="1"/>
    <xf numFmtId="0" fontId="19" fillId="0" borderId="5" xfId="0" applyFont="1" applyBorder="1"/>
    <xf numFmtId="164" fontId="19" fillId="0" borderId="14" xfId="0" applyNumberFormat="1" applyFont="1" applyBorder="1"/>
    <xf numFmtId="44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1" fillId="0" borderId="9" xfId="0" applyFont="1" applyBorder="1"/>
    <xf numFmtId="0" fontId="22" fillId="6" borderId="5" xfId="0" applyFont="1" applyFill="1" applyBorder="1"/>
    <xf numFmtId="49" fontId="19" fillId="0" borderId="0" xfId="0" applyNumberFormat="1" applyFont="1" applyAlignment="1">
      <alignment horizontal="center"/>
    </xf>
    <xf numFmtId="0" fontId="18" fillId="0" borderId="9" xfId="0" applyFont="1" applyBorder="1"/>
    <xf numFmtId="9" fontId="19" fillId="7" borderId="9" xfId="2" applyFont="1" applyFill="1" applyBorder="1"/>
    <xf numFmtId="9" fontId="19" fillId="0" borderId="0" xfId="2" applyFont="1" applyAlignment="1">
      <alignment horizontal="center"/>
    </xf>
    <xf numFmtId="9" fontId="19" fillId="0" borderId="0" xfId="2" applyFont="1"/>
    <xf numFmtId="0" fontId="19" fillId="0" borderId="47" xfId="0" applyFont="1" applyBorder="1"/>
    <xf numFmtId="44" fontId="8" fillId="0" borderId="10" xfId="0" applyNumberFormat="1" applyFont="1" applyBorder="1" applyAlignment="1"/>
    <xf numFmtId="0" fontId="10" fillId="0" borderId="0" xfId="0" applyFont="1" applyAlignment="1"/>
    <xf numFmtId="44" fontId="10" fillId="0" borderId="0" xfId="0" applyNumberFormat="1" applyFont="1" applyAlignment="1"/>
    <xf numFmtId="44" fontId="19" fillId="0" borderId="15" xfId="0" applyNumberFormat="1" applyFont="1" applyBorder="1" applyAlignment="1"/>
    <xf numFmtId="0" fontId="19" fillId="0" borderId="0" xfId="0" applyFont="1" applyBorder="1" applyAlignment="1"/>
    <xf numFmtId="0" fontId="19" fillId="0" borderId="13" xfId="0" applyFont="1" applyBorder="1" applyAlignment="1"/>
    <xf numFmtId="0" fontId="19" fillId="0" borderId="30" xfId="0" applyFont="1" applyBorder="1" applyAlignment="1"/>
    <xf numFmtId="0" fontId="19" fillId="0" borderId="17" xfId="0" applyNumberFormat="1" applyFont="1" applyBorder="1" applyAlignment="1"/>
    <xf numFmtId="0" fontId="19" fillId="0" borderId="35" xfId="0" applyNumberFormat="1" applyFont="1" applyBorder="1" applyAlignment="1"/>
    <xf numFmtId="0" fontId="19" fillId="0" borderId="20" xfId="0" applyNumberFormat="1" applyFont="1" applyBorder="1" applyAlignment="1"/>
    <xf numFmtId="44" fontId="19" fillId="0" borderId="17" xfId="1" applyFont="1" applyBorder="1" applyAlignment="1"/>
    <xf numFmtId="44" fontId="19" fillId="0" borderId="35" xfId="1" applyFont="1" applyBorder="1" applyAlignment="1"/>
    <xf numFmtId="44" fontId="19" fillId="0" borderId="20" xfId="1" applyFont="1" applyBorder="1" applyAlignment="1"/>
    <xf numFmtId="44" fontId="19" fillId="0" borderId="28" xfId="0" applyNumberFormat="1" applyFont="1" applyBorder="1" applyAlignment="1"/>
    <xf numFmtId="164" fontId="19" fillId="0" borderId="36" xfId="0" applyNumberFormat="1" applyFont="1" applyBorder="1" applyAlignment="1"/>
    <xf numFmtId="164" fontId="19" fillId="0" borderId="28" xfId="0" applyNumberFormat="1" applyFont="1" applyBorder="1" applyAlignment="1"/>
    <xf numFmtId="164" fontId="19" fillId="0" borderId="31" xfId="0" applyNumberFormat="1" applyFont="1" applyBorder="1" applyAlignment="1"/>
    <xf numFmtId="0" fontId="19" fillId="0" borderId="29" xfId="0" applyNumberFormat="1" applyFont="1" applyBorder="1" applyAlignment="1"/>
    <xf numFmtId="0" fontId="19" fillId="0" borderId="37" xfId="0" applyNumberFormat="1" applyFont="1" applyBorder="1" applyAlignment="1"/>
    <xf numFmtId="0" fontId="19" fillId="0" borderId="32" xfId="0" applyNumberFormat="1" applyFont="1" applyBorder="1" applyAlignment="1"/>
    <xf numFmtId="7" fontId="19" fillId="0" borderId="28" xfId="1" applyNumberFormat="1" applyFont="1" applyBorder="1" applyAlignment="1"/>
    <xf numFmtId="0" fontId="19" fillId="0" borderId="37" xfId="0" applyFont="1" applyBorder="1" applyAlignment="1"/>
    <xf numFmtId="44" fontId="19" fillId="0" borderId="29" xfId="1" applyFont="1" applyBorder="1" applyAlignment="1"/>
    <xf numFmtId="44" fontId="19" fillId="0" borderId="37" xfId="1" applyFont="1" applyBorder="1" applyAlignment="1"/>
    <xf numFmtId="44" fontId="19" fillId="0" borderId="32" xfId="1" applyFont="1" applyBorder="1" applyAlignment="1"/>
    <xf numFmtId="44" fontId="19" fillId="0" borderId="18" xfId="1" applyFont="1" applyBorder="1" applyAlignment="1"/>
    <xf numFmtId="44" fontId="19" fillId="0" borderId="38" xfId="1" applyFont="1" applyBorder="1" applyAlignment="1"/>
    <xf numFmtId="44" fontId="19" fillId="0" borderId="21" xfId="1" applyFont="1" applyBorder="1" applyAlignment="1"/>
    <xf numFmtId="44" fontId="19" fillId="0" borderId="13" xfId="0" applyNumberFormat="1" applyFont="1" applyBorder="1" applyAlignment="1"/>
    <xf numFmtId="0" fontId="19" fillId="0" borderId="5" xfId="0" applyNumberFormat="1" applyFont="1" applyBorder="1" applyAlignment="1"/>
    <xf numFmtId="44" fontId="19" fillId="0" borderId="14" xfId="0" applyNumberFormat="1" applyFont="1" applyBorder="1" applyAlignment="1"/>
    <xf numFmtId="44" fontId="19" fillId="0" borderId="12" xfId="0" applyNumberFormat="1" applyFont="1" applyBorder="1" applyAlignment="1"/>
    <xf numFmtId="44" fontId="19" fillId="0" borderId="33" xfId="0" applyNumberFormat="1" applyFont="1" applyBorder="1" applyAlignment="1"/>
    <xf numFmtId="44" fontId="19" fillId="0" borderId="0" xfId="0" applyNumberFormat="1" applyFont="1" applyBorder="1" applyAlignment="1"/>
    <xf numFmtId="0" fontId="19" fillId="0" borderId="0" xfId="0" applyNumberFormat="1" applyFont="1" applyBorder="1" applyAlignment="1"/>
    <xf numFmtId="44" fontId="19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Font="1" applyAlignment="1"/>
    <xf numFmtId="44" fontId="20" fillId="3" borderId="15" xfId="0" applyNumberFormat="1" applyFont="1" applyFill="1" applyBorder="1" applyAlignment="1"/>
    <xf numFmtId="0" fontId="20" fillId="3" borderId="22" xfId="0" applyNumberFormat="1" applyFont="1" applyFill="1" applyBorder="1" applyAlignment="1"/>
    <xf numFmtId="0" fontId="20" fillId="3" borderId="22" xfId="0" applyFont="1" applyFill="1" applyBorder="1" applyAlignment="1"/>
    <xf numFmtId="0" fontId="20" fillId="8" borderId="0" xfId="0" applyFont="1" applyFill="1" applyBorder="1" applyAlignment="1"/>
    <xf numFmtId="3" fontId="21" fillId="0" borderId="5" xfId="0" applyNumberFormat="1" applyFont="1" applyBorder="1" applyAlignment="1"/>
    <xf numFmtId="0" fontId="21" fillId="0" borderId="23" xfId="0" applyNumberFormat="1" applyFont="1" applyBorder="1" applyAlignment="1"/>
    <xf numFmtId="0" fontId="21" fillId="0" borderId="23" xfId="0" applyFont="1" applyBorder="1" applyAlignment="1"/>
    <xf numFmtId="0" fontId="21" fillId="8" borderId="0" xfId="0" applyFont="1" applyFill="1" applyBorder="1" applyAlignment="1"/>
    <xf numFmtId="0" fontId="19" fillId="8" borderId="0" xfId="0" applyFont="1" applyFill="1" applyBorder="1" applyAlignment="1"/>
    <xf numFmtId="2" fontId="19" fillId="6" borderId="5" xfId="0" applyNumberFormat="1" applyFont="1" applyFill="1" applyBorder="1" applyAlignment="1"/>
    <xf numFmtId="2" fontId="19" fillId="6" borderId="23" xfId="0" applyNumberFormat="1" applyFont="1" applyFill="1" applyBorder="1" applyAlignment="1"/>
    <xf numFmtId="2" fontId="19" fillId="8" borderId="0" xfId="0" applyNumberFormat="1" applyFont="1" applyFill="1" applyBorder="1" applyAlignment="1"/>
    <xf numFmtId="0" fontId="19" fillId="0" borderId="18" xfId="0" applyNumberFormat="1" applyFont="1" applyBorder="1" applyAlignment="1"/>
    <xf numFmtId="0" fontId="19" fillId="0" borderId="21" xfId="0" applyNumberFormat="1" applyFont="1" applyBorder="1" applyAlignment="1"/>
    <xf numFmtId="2" fontId="19" fillId="0" borderId="0" xfId="0" applyNumberFormat="1" applyFont="1" applyBorder="1" applyAlignment="1"/>
    <xf numFmtId="2" fontId="19" fillId="0" borderId="30" xfId="0" applyNumberFormat="1" applyFont="1" applyBorder="1" applyAlignment="1"/>
    <xf numFmtId="0" fontId="19" fillId="8" borderId="0" xfId="0" applyNumberFormat="1" applyFont="1" applyFill="1" applyBorder="1" applyAlignment="1"/>
    <xf numFmtId="165" fontId="19" fillId="7" borderId="5" xfId="2" applyNumberFormat="1" applyFont="1" applyFill="1" applyBorder="1" applyAlignment="1"/>
    <xf numFmtId="165" fontId="19" fillId="8" borderId="0" xfId="2" applyNumberFormat="1" applyFont="1" applyFill="1" applyBorder="1" applyAlignment="1"/>
    <xf numFmtId="9" fontId="19" fillId="0" borderId="0" xfId="2" applyFont="1" applyAlignment="1"/>
    <xf numFmtId="1" fontId="10" fillId="0" borderId="3" xfId="0" applyNumberFormat="1" applyFont="1" applyBorder="1" applyAlignment="1"/>
    <xf numFmtId="1" fontId="10" fillId="0" borderId="41" xfId="0" applyNumberFormat="1" applyFont="1" applyBorder="1" applyAlignment="1"/>
    <xf numFmtId="0" fontId="18" fillId="0" borderId="5" xfId="0" applyFont="1" applyBorder="1" applyAlignment="1">
      <alignment horizontal="center"/>
    </xf>
    <xf numFmtId="0" fontId="23" fillId="0" borderId="23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3" fillId="0" borderId="4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Sheet'!$B$3</c:f>
              <c:strCache>
                <c:ptCount val="1"/>
                <c:pt idx="0">
                  <c:v>Saint-Gobain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Sheet'!$D$24</c:f>
              <c:numCache>
                <c:formatCode>0</c:formatCode>
                <c:ptCount val="1"/>
                <c:pt idx="0">
                  <c:v>60371.790006325115</c:v>
                </c:pt>
              </c:numCache>
            </c:numRef>
          </c:val>
        </c:ser>
        <c:ser>
          <c:idx val="1"/>
          <c:order val="1"/>
          <c:tx>
            <c:strRef>
              <c:f>'Data Sheet'!$B$4</c:f>
              <c:strCache>
                <c:ptCount val="1"/>
                <c:pt idx="0">
                  <c:v>Eli Lilly South Africa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Sheet'!$D$25</c:f>
              <c:numCache>
                <c:formatCode>0</c:formatCode>
                <c:ptCount val="1"/>
                <c:pt idx="0">
                  <c:v>101831.7399617591</c:v>
                </c:pt>
              </c:numCache>
            </c:numRef>
          </c:val>
        </c:ser>
        <c:ser>
          <c:idx val="2"/>
          <c:order val="2"/>
          <c:tx>
            <c:strRef>
              <c:f>'Data Sheet'!$B$5</c:f>
              <c:strCache>
                <c:ptCount val="1"/>
                <c:pt idx="0">
                  <c:v>Digistics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Sheet'!$D$26</c:f>
              <c:numCache>
                <c:formatCode>0</c:formatCode>
                <c:ptCount val="1"/>
                <c:pt idx="0">
                  <c:v>324316.45569620252</c:v>
                </c:pt>
              </c:numCache>
            </c:numRef>
          </c:val>
        </c:ser>
        <c:ser>
          <c:idx val="3"/>
          <c:order val="3"/>
          <c:tx>
            <c:strRef>
              <c:f>'Data Sheet'!$B$6</c:f>
              <c:strCache>
                <c:ptCount val="1"/>
                <c:pt idx="0">
                  <c:v>Deposita Systems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Sheet'!$D$27</c:f>
              <c:numCache>
                <c:formatCode>0</c:formatCode>
                <c:ptCount val="1"/>
                <c:pt idx="0">
                  <c:v>98939.351851851854</c:v>
                </c:pt>
              </c:numCache>
            </c:numRef>
          </c:val>
        </c:ser>
        <c:ser>
          <c:idx val="4"/>
          <c:order val="4"/>
          <c:tx>
            <c:strRef>
              <c:f>'Data Sheet'!$B$7</c:f>
              <c:strCache>
                <c:ptCount val="1"/>
                <c:pt idx="0">
                  <c:v>Landis and Gyr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Sheet'!$D$28</c:f>
              <c:numCache>
                <c:formatCode>0</c:formatCode>
                <c:ptCount val="1"/>
                <c:pt idx="0">
                  <c:v>152537.17391304349</c:v>
                </c:pt>
              </c:numCache>
            </c:numRef>
          </c:val>
        </c:ser>
        <c:ser>
          <c:idx val="5"/>
          <c:order val="5"/>
          <c:tx>
            <c:strRef>
              <c:f>'Data Sheet'!$B$8</c:f>
              <c:strCache>
                <c:ptCount val="1"/>
                <c:pt idx="0">
                  <c:v>Premium Ideas SA (Pty) Ltd / Morvest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Sheet'!$D$29</c:f>
              <c:numCache>
                <c:formatCode>0</c:formatCode>
                <c:ptCount val="1"/>
                <c:pt idx="0">
                  <c:v>200444.03158383653</c:v>
                </c:pt>
              </c:numCache>
            </c:numRef>
          </c:val>
        </c:ser>
        <c:ser>
          <c:idx val="6"/>
          <c:order val="6"/>
          <c:tx>
            <c:strRef>
              <c:f>'Data Sheet'!$B$10</c:f>
              <c:strCache>
                <c:ptCount val="1"/>
                <c:pt idx="0">
                  <c:v>Zodiac Pool Care South Africa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Sheet'!$D$31</c:f>
              <c:numCache>
                <c:formatCode>0</c:formatCode>
                <c:ptCount val="1"/>
                <c:pt idx="0">
                  <c:v>40795.815098468265</c:v>
                </c:pt>
              </c:numCache>
            </c:numRef>
          </c:val>
        </c:ser>
        <c:ser>
          <c:idx val="7"/>
          <c:order val="7"/>
          <c:tx>
            <c:strRef>
              <c:f>'Data Sheet'!$B$11</c:f>
              <c:strCache>
                <c:ptCount val="1"/>
                <c:pt idx="0">
                  <c:v>Uti Material Handling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Sheet'!$D$32</c:f>
              <c:numCache>
                <c:formatCode>0</c:formatCode>
                <c:ptCount val="1"/>
                <c:pt idx="0">
                  <c:v>43722.024681029077</c:v>
                </c:pt>
              </c:numCache>
            </c:numRef>
          </c:val>
        </c:ser>
        <c:ser>
          <c:idx val="8"/>
          <c:order val="8"/>
          <c:tx>
            <c:strRef>
              <c:f>'Data Sheet'!$B$12</c:f>
              <c:strCache>
                <c:ptCount val="1"/>
                <c:pt idx="0">
                  <c:v>CSD Targus Distribution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Sheet'!$D$33</c:f>
              <c:numCache>
                <c:formatCode>0</c:formatCode>
                <c:ptCount val="1"/>
                <c:pt idx="0">
                  <c:v>40562.40042485395</c:v>
                </c:pt>
              </c:numCache>
            </c:numRef>
          </c:val>
        </c:ser>
        <c:ser>
          <c:idx val="9"/>
          <c:order val="9"/>
          <c:tx>
            <c:strRef>
              <c:f>'Data Sheet'!$B$13</c:f>
              <c:strCache>
                <c:ptCount val="1"/>
                <c:pt idx="0">
                  <c:v>Uti Material Handling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Sheet'!$D$34</c:f>
              <c:numCache>
                <c:formatCode>0</c:formatCode>
                <c:ptCount val="1"/>
                <c:pt idx="0">
                  <c:v>11163.161249203315</c:v>
                </c:pt>
              </c:numCache>
            </c:numRef>
          </c:val>
        </c:ser>
        <c:ser>
          <c:idx val="10"/>
          <c:order val="10"/>
          <c:tx>
            <c:strRef>
              <c:f>'Data Sheet'!$B$14</c:f>
              <c:strCache>
                <c:ptCount val="1"/>
                <c:pt idx="0">
                  <c:v>Alaris Antennas (formerly known as Poynting)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Sheet'!$D$35</c:f>
              <c:numCache>
                <c:formatCode>0</c:formatCode>
                <c:ptCount val="1"/>
                <c:pt idx="0">
                  <c:v>92770.239013107159</c:v>
                </c:pt>
              </c:numCache>
            </c:numRef>
          </c:val>
        </c:ser>
        <c:ser>
          <c:idx val="11"/>
          <c:order val="11"/>
          <c:tx>
            <c:strRef>
              <c:f>'Data Sheet'!$B$15</c:f>
              <c:strCache>
                <c:ptCount val="1"/>
                <c:pt idx="0">
                  <c:v>Elliot Mobility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Sheet'!$D$36</c:f>
              <c:numCache>
                <c:formatCode>0</c:formatCode>
                <c:ptCount val="1"/>
                <c:pt idx="0">
                  <c:v>17802.924348378896</c:v>
                </c:pt>
              </c:numCache>
            </c:numRef>
          </c:val>
        </c:ser>
        <c:ser>
          <c:idx val="12"/>
          <c:order val="12"/>
          <c:tx>
            <c:strRef>
              <c:f>'Data Sheet'!$B$16</c:f>
              <c:strCache>
                <c:ptCount val="1"/>
                <c:pt idx="0">
                  <c:v>Shoprite Checkers (Pty) Ltd T/A Checkers Food 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Sheet'!$D$37</c:f>
              <c:numCache>
                <c:formatCode>0</c:formatCode>
                <c:ptCount val="1"/>
                <c:pt idx="0">
                  <c:v>116562.69455858547</c:v>
                </c:pt>
              </c:numCache>
            </c:numRef>
          </c:val>
        </c:ser>
        <c:ser>
          <c:idx val="13"/>
          <c:order val="13"/>
          <c:tx>
            <c:strRef>
              <c:f>'Data Sheet'!$B$17</c:f>
              <c:strCache>
                <c:ptCount val="1"/>
                <c:pt idx="0">
                  <c:v>Mazda Southern Africa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Sheet'!$D$38</c:f>
              <c:numCache>
                <c:formatCode>0</c:formatCode>
                <c:ptCount val="1"/>
                <c:pt idx="0">
                  <c:v>251369.00000000003</c:v>
                </c:pt>
              </c:numCache>
            </c:numRef>
          </c:val>
        </c:ser>
        <c:ser>
          <c:idx val="14"/>
          <c:order val="14"/>
          <c:tx>
            <c:strRef>
              <c:f>'Data Sheet'!$B$18</c:f>
              <c:strCache>
                <c:ptCount val="1"/>
                <c:pt idx="0">
                  <c:v>Elliot Mobility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Sheet'!$E$39</c:f>
              <c:numCache>
                <c:formatCode>General</c:formatCode>
                <c:ptCount val="1"/>
                <c:pt idx="0">
                  <c:v>4420.916666666667</c:v>
                </c:pt>
              </c:numCache>
            </c:numRef>
          </c:val>
        </c:ser>
        <c:ser>
          <c:idx val="15"/>
          <c:order val="15"/>
          <c:tx>
            <c:strRef>
              <c:f>'Data Sheet'!$B$19</c:f>
              <c:strCache>
                <c:ptCount val="1"/>
                <c:pt idx="0">
                  <c:v>Tevo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Sheet'!$D$40</c:f>
              <c:numCache>
                <c:formatCode>0</c:formatCode>
                <c:ptCount val="1"/>
                <c:pt idx="0">
                  <c:v>45922.641509433968</c:v>
                </c:pt>
              </c:numCache>
            </c:numRef>
          </c:val>
        </c:ser>
        <c:ser>
          <c:idx val="16"/>
          <c:order val="16"/>
          <c:tx>
            <c:strRef>
              <c:f>'Data Sheet'!$B$20</c:f>
              <c:strCache>
                <c:ptCount val="1"/>
                <c:pt idx="0">
                  <c:v>IHL Medical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3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3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3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Sheet'!$D$22:$G$22</c:f>
              <c:strCache>
                <c:ptCount val="1"/>
                <c:pt idx="0">
                  <c:v>Usage per (M²)</c:v>
                </c:pt>
              </c:strCache>
            </c:strRef>
          </c:cat>
          <c:val>
            <c:numRef>
              <c:f>'Data Sheet'!$D$41</c:f>
              <c:numCache>
                <c:formatCode>0</c:formatCode>
                <c:ptCount val="1"/>
                <c:pt idx="0">
                  <c:v>35947.651739740984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605008"/>
        <c:axId val="376736168"/>
      </c:barChart>
      <c:valAx>
        <c:axId val="37673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5008"/>
        <c:crosses val="autoZero"/>
        <c:crossBetween val="between"/>
      </c:valAx>
      <c:catAx>
        <c:axId val="37860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36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12308031206856"/>
          <c:y val="8.2478731212673739E-2"/>
          <c:w val="0.19542477960591009"/>
          <c:h val="0.87589682258480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Deposita!$A$76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Deposita!$B$3:$M$3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Deposita!$B$76:$M$76</c:f>
            </c:numRef>
          </c:val>
          <c:smooth val="0"/>
        </c:ser>
        <c:ser>
          <c:idx val="0"/>
          <c:order val="1"/>
          <c:tx>
            <c:strRef>
              <c:f>Deposita!$A$76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Deposita!$B$3:$M$3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Deposita!$B$76:$M$76</c:f>
            </c:numRef>
          </c:val>
          <c:smooth val="0"/>
        </c:ser>
        <c:ser>
          <c:idx val="1"/>
          <c:order val="2"/>
          <c:tx>
            <c:strRef>
              <c:f>[1]Deposita!$A$76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[1]Deposita!$B$3:$M$3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[1]Deposita!$B$76:$M$76</c:f>
              <c:numCache>
                <c:formatCode>General</c:formatCode>
                <c:ptCount val="12"/>
                <c:pt idx="0">
                  <c:v>179.30016402405687</c:v>
                </c:pt>
                <c:pt idx="1">
                  <c:v>173.30016402405687</c:v>
                </c:pt>
                <c:pt idx="2">
                  <c:v>183.79989065062875</c:v>
                </c:pt>
                <c:pt idx="3">
                  <c:v>166.59978130125754</c:v>
                </c:pt>
                <c:pt idx="4">
                  <c:v>186.30016402405687</c:v>
                </c:pt>
                <c:pt idx="5">
                  <c:v>192.20010934937125</c:v>
                </c:pt>
                <c:pt idx="6">
                  <c:v>204.69990079365078</c:v>
                </c:pt>
                <c:pt idx="7">
                  <c:v>269.5</c:v>
                </c:pt>
                <c:pt idx="8">
                  <c:v>244.8998015873016</c:v>
                </c:pt>
                <c:pt idx="9">
                  <c:v>210.6001984126984</c:v>
                </c:pt>
                <c:pt idx="10">
                  <c:v>175.19990079365081</c:v>
                </c:pt>
                <c:pt idx="11">
                  <c:v>278.69990079365078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34432"/>
        <c:axId val="379538352"/>
      </c:lineChart>
      <c:catAx>
        <c:axId val="3795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8352"/>
        <c:crosses val="autoZero"/>
        <c:auto val="1"/>
        <c:lblAlgn val="ctr"/>
        <c:lblOffset val="100"/>
        <c:noMultiLvlLbl val="0"/>
      </c:catAx>
      <c:valAx>
        <c:axId val="3795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'Landis and Gyr'!$A$8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'Landis and Gyr'!$B$3:$M$3</c15:sqref>
                  </c15:fullRef>
                </c:ext>
              </c:extLst>
              <c:f>('Landis and Gyr'!$B$3:$C$3,'Landis and Gyr'!$E$3:$M$3)</c:f>
              <c:strCache>
                <c:ptCount val="11"/>
                <c:pt idx="0">
                  <c:v>Mar '17</c:v>
                </c:pt>
                <c:pt idx="1">
                  <c:v>Apr '17</c:v>
                </c:pt>
                <c:pt idx="2">
                  <c:v>Jun '17</c:v>
                </c:pt>
                <c:pt idx="3">
                  <c:v>Jul '17</c:v>
                </c:pt>
                <c:pt idx="4">
                  <c:v>Aug '17</c:v>
                </c:pt>
                <c:pt idx="5">
                  <c:v>Sept '17</c:v>
                </c:pt>
                <c:pt idx="6">
                  <c:v>Oct '17</c:v>
                </c:pt>
                <c:pt idx="7">
                  <c:v>Nov '17</c:v>
                </c:pt>
                <c:pt idx="8">
                  <c:v>Dec '17</c:v>
                </c:pt>
                <c:pt idx="9">
                  <c:v>Jan '18</c:v>
                </c:pt>
                <c:pt idx="10">
                  <c:v>Feb '18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'Landis and Gyr'!$B$8:$M$8</c15:sqref>
                  </c15:fullRef>
                </c:ext>
              </c:extLst>
              <c:f>('Landis and Gyr'!$B$8:$C$8,'Landis and Gyr'!$E$8:$M$8)</c:f>
              <c:numCache>
                <c:formatCode>General</c:formatCode>
                <c:ptCount val="11"/>
                <c:pt idx="0">
                  <c:v>25.01</c:v>
                </c:pt>
                <c:pt idx="1">
                  <c:v>28.170999999999999</c:v>
                </c:pt>
                <c:pt idx="2">
                  <c:v>19.137</c:v>
                </c:pt>
                <c:pt idx="3">
                  <c:v>27.414999999999999</c:v>
                </c:pt>
                <c:pt idx="4">
                  <c:v>30.686</c:v>
                </c:pt>
                <c:pt idx="5">
                  <c:v>31.018999999999998</c:v>
                </c:pt>
                <c:pt idx="6">
                  <c:v>29.45</c:v>
                </c:pt>
                <c:pt idx="7">
                  <c:v>23.632000000000001</c:v>
                </c:pt>
                <c:pt idx="8">
                  <c:v>26.254999999999999</c:v>
                </c:pt>
                <c:pt idx="9">
                  <c:v>29.504999999999999</c:v>
                </c:pt>
                <c:pt idx="10">
                  <c:v>24.658000000000001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'Landis and Gyr'!$A$5</c:f>
              <c:strCache>
                <c:ptCount val="1"/>
                <c:pt idx="0">
                  <c:v>Electricity Demand KVA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'Landis and Gyr'!$B$3:$M$3</c15:sqref>
                  </c15:fullRef>
                </c:ext>
              </c:extLst>
              <c:f>('Landis and Gyr'!$B$3:$C$3,'Landis and Gyr'!$E$3:$M$3)</c:f>
              <c:strCache>
                <c:ptCount val="11"/>
                <c:pt idx="0">
                  <c:v>Mar '17</c:v>
                </c:pt>
                <c:pt idx="1">
                  <c:v>Apr '17</c:v>
                </c:pt>
                <c:pt idx="2">
                  <c:v>Jun '17</c:v>
                </c:pt>
                <c:pt idx="3">
                  <c:v>Jul '17</c:v>
                </c:pt>
                <c:pt idx="4">
                  <c:v>Aug '17</c:v>
                </c:pt>
                <c:pt idx="5">
                  <c:v>Sept '17</c:v>
                </c:pt>
                <c:pt idx="6">
                  <c:v>Oct '17</c:v>
                </c:pt>
                <c:pt idx="7">
                  <c:v>Nov '17</c:v>
                </c:pt>
                <c:pt idx="8">
                  <c:v>Dec '17</c:v>
                </c:pt>
                <c:pt idx="9">
                  <c:v>Jan '18</c:v>
                </c:pt>
                <c:pt idx="10">
                  <c:v>Feb '18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'Landis and Gyr'!$B$5:$M$5</c15:sqref>
                  </c15:fullRef>
                </c:ext>
              </c:extLst>
              <c:f>('Landis and Gyr'!$B$5:$C$5,'Landis and Gyr'!$E$5:$M$5)</c:f>
              <c:numCache>
                <c:formatCode>General</c:formatCode>
                <c:ptCount val="11"/>
                <c:pt idx="0">
                  <c:v>168.4</c:v>
                </c:pt>
                <c:pt idx="1">
                  <c:v>227.45</c:v>
                </c:pt>
                <c:pt idx="2">
                  <c:v>188.59</c:v>
                </c:pt>
                <c:pt idx="3">
                  <c:v>208.69</c:v>
                </c:pt>
                <c:pt idx="4">
                  <c:v>195.94</c:v>
                </c:pt>
                <c:pt idx="5">
                  <c:v>201.2</c:v>
                </c:pt>
                <c:pt idx="6">
                  <c:v>195.07</c:v>
                </c:pt>
                <c:pt idx="7">
                  <c:v>171.18</c:v>
                </c:pt>
                <c:pt idx="8">
                  <c:v>191.86</c:v>
                </c:pt>
                <c:pt idx="9">
                  <c:v>197.82</c:v>
                </c:pt>
                <c:pt idx="10">
                  <c:v>187.38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'Landis and Gyr'!$A$11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'Landis and Gyr'!$B$3:$M$3</c15:sqref>
                  </c15:fullRef>
                </c:ext>
              </c:extLst>
              <c:f>('Landis and Gyr'!$B$3:$C$3,'Landis and Gyr'!$E$3:$M$3)</c:f>
              <c:strCache>
                <c:ptCount val="11"/>
                <c:pt idx="0">
                  <c:v>Mar '17</c:v>
                </c:pt>
                <c:pt idx="1">
                  <c:v>Apr '17</c:v>
                </c:pt>
                <c:pt idx="2">
                  <c:v>Jun '17</c:v>
                </c:pt>
                <c:pt idx="3">
                  <c:v>Jul '17</c:v>
                </c:pt>
                <c:pt idx="4">
                  <c:v>Aug '17</c:v>
                </c:pt>
                <c:pt idx="5">
                  <c:v>Sept '17</c:v>
                </c:pt>
                <c:pt idx="6">
                  <c:v>Oct '17</c:v>
                </c:pt>
                <c:pt idx="7">
                  <c:v>Nov '17</c:v>
                </c:pt>
                <c:pt idx="8">
                  <c:v>Dec '17</c:v>
                </c:pt>
                <c:pt idx="9">
                  <c:v>Jan '18</c:v>
                </c:pt>
                <c:pt idx="10">
                  <c:v>Feb '18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'Landis and Gyr'!$B$11:$M$11</c15:sqref>
                  </c15:fullRef>
                </c:ext>
              </c:extLst>
              <c:f>('Landis and Gyr'!$B$11:$C$11,'Landis and Gyr'!$E$11:$M$11)</c:f>
              <c:numCache>
                <c:formatCode>General</c:formatCode>
                <c:ptCount val="11"/>
                <c:pt idx="0">
                  <c:v>3.831</c:v>
                </c:pt>
                <c:pt idx="1">
                  <c:v>10.038</c:v>
                </c:pt>
                <c:pt idx="2">
                  <c:v>7.0519999999999996</c:v>
                </c:pt>
                <c:pt idx="3">
                  <c:v>11.23</c:v>
                </c:pt>
                <c:pt idx="4">
                  <c:v>13.186</c:v>
                </c:pt>
                <c:pt idx="5">
                  <c:v>13.368</c:v>
                </c:pt>
                <c:pt idx="6">
                  <c:v>12.494</c:v>
                </c:pt>
                <c:pt idx="7">
                  <c:v>8.782</c:v>
                </c:pt>
                <c:pt idx="8">
                  <c:v>9.7170000000000005</c:v>
                </c:pt>
                <c:pt idx="9">
                  <c:v>10.316000000000001</c:v>
                </c:pt>
                <c:pt idx="10">
                  <c:v>9.1120000000000001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'Landis and Gyr'!$A$14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'Landis and Gyr'!$B$3:$M$3</c15:sqref>
                  </c15:fullRef>
                </c:ext>
              </c:extLst>
              <c:f>('Landis and Gyr'!$B$3:$C$3,'Landis and Gyr'!$E$3:$M$3)</c:f>
              <c:strCache>
                <c:ptCount val="11"/>
                <c:pt idx="0">
                  <c:v>Mar '17</c:v>
                </c:pt>
                <c:pt idx="1">
                  <c:v>Apr '17</c:v>
                </c:pt>
                <c:pt idx="2">
                  <c:v>Jun '17</c:v>
                </c:pt>
                <c:pt idx="3">
                  <c:v>Jul '17</c:v>
                </c:pt>
                <c:pt idx="4">
                  <c:v>Aug '17</c:v>
                </c:pt>
                <c:pt idx="5">
                  <c:v>Sept '17</c:v>
                </c:pt>
                <c:pt idx="6">
                  <c:v>Oct '17</c:v>
                </c:pt>
                <c:pt idx="7">
                  <c:v>Nov '17</c:v>
                </c:pt>
                <c:pt idx="8">
                  <c:v>Dec '17</c:v>
                </c:pt>
                <c:pt idx="9">
                  <c:v>Jan '18</c:v>
                </c:pt>
                <c:pt idx="10">
                  <c:v>Feb '18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'Landis and Gyr'!$B$14:$M$14</c15:sqref>
                  </c15:fullRef>
                </c:ext>
              </c:extLst>
              <c:f>('Landis and Gyr'!$B$14:$C$14,'Landis and Gyr'!$E$14:$M$14)</c:f>
              <c:numCache>
                <c:formatCode>General</c:formatCode>
                <c:ptCount val="11"/>
                <c:pt idx="0">
                  <c:v>20.175000000000001</c:v>
                </c:pt>
                <c:pt idx="1">
                  <c:v>21.091000000000001</c:v>
                </c:pt>
                <c:pt idx="2">
                  <c:v>19.864000000000001</c:v>
                </c:pt>
                <c:pt idx="3">
                  <c:v>21.581</c:v>
                </c:pt>
                <c:pt idx="4">
                  <c:v>24.498000000000001</c:v>
                </c:pt>
                <c:pt idx="5">
                  <c:v>28.236999999999998</c:v>
                </c:pt>
                <c:pt idx="6">
                  <c:v>27.547999999999998</c:v>
                </c:pt>
                <c:pt idx="7">
                  <c:v>17.780999999999999</c:v>
                </c:pt>
                <c:pt idx="8">
                  <c:v>17.786999999999999</c:v>
                </c:pt>
                <c:pt idx="9">
                  <c:v>17.033999999999999</c:v>
                </c:pt>
                <c:pt idx="10">
                  <c:v>29.498000000000001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'Landis and Gyr'!$A$22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'Landis and Gyr'!$B$3:$M$3</c15:sqref>
                  </c15:fullRef>
                </c:ext>
              </c:extLst>
              <c:f>('Landis and Gyr'!$B$3:$C$3,'Landis and Gyr'!$E$3:$M$3)</c:f>
              <c:strCache>
                <c:ptCount val="11"/>
                <c:pt idx="0">
                  <c:v>Mar '17</c:v>
                </c:pt>
                <c:pt idx="1">
                  <c:v>Apr '17</c:v>
                </c:pt>
                <c:pt idx="2">
                  <c:v>Jun '17</c:v>
                </c:pt>
                <c:pt idx="3">
                  <c:v>Jul '17</c:v>
                </c:pt>
                <c:pt idx="4">
                  <c:v>Aug '17</c:v>
                </c:pt>
                <c:pt idx="5">
                  <c:v>Sept '17</c:v>
                </c:pt>
                <c:pt idx="6">
                  <c:v>Oct '17</c:v>
                </c:pt>
                <c:pt idx="7">
                  <c:v>Nov '17</c:v>
                </c:pt>
                <c:pt idx="8">
                  <c:v>Dec '17</c:v>
                </c:pt>
                <c:pt idx="9">
                  <c:v>Jan '18</c:v>
                </c:pt>
                <c:pt idx="10">
                  <c:v>Feb '18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'Landis and Gyr'!$B$22:$M$22</c15:sqref>
                  </c15:fullRef>
                </c:ext>
              </c:extLst>
              <c:f>('Landis and Gyr'!$B$22:$C$22,'Landis and Gyr'!$E$22:$M$22)</c:f>
              <c:numCache>
                <c:formatCode>General</c:formatCode>
                <c:ptCount val="11"/>
                <c:pt idx="0">
                  <c:v>49.016000000000005</c:v>
                </c:pt>
                <c:pt idx="1">
                  <c:v>59.300000000000004</c:v>
                </c:pt>
                <c:pt idx="2">
                  <c:v>46.052999999999997</c:v>
                </c:pt>
                <c:pt idx="3">
                  <c:v>60.225999999999999</c:v>
                </c:pt>
                <c:pt idx="4">
                  <c:v>68.37</c:v>
                </c:pt>
                <c:pt idx="5">
                  <c:v>72.623999999999995</c:v>
                </c:pt>
                <c:pt idx="6">
                  <c:v>69.492000000000004</c:v>
                </c:pt>
                <c:pt idx="7">
                  <c:v>50.195</c:v>
                </c:pt>
                <c:pt idx="8">
                  <c:v>53.759</c:v>
                </c:pt>
                <c:pt idx="9">
                  <c:v>56.854999999999997</c:v>
                </c:pt>
                <c:pt idx="10">
                  <c:v>63.268000000000001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06968"/>
        <c:axId val="378600304"/>
      </c:lineChart>
      <c:catAx>
        <c:axId val="3786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0304"/>
        <c:crosses val="autoZero"/>
        <c:auto val="1"/>
        <c:lblAlgn val="ctr"/>
        <c:lblOffset val="100"/>
        <c:noMultiLvlLbl val="0"/>
      </c:catAx>
      <c:valAx>
        <c:axId val="378600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6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'Landis and Gyr'!$A$76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'Landis and Gyr'!$B$3:$M$3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'Landis and Gyr'!$B$76:$M$76</c:f>
            </c:numRef>
          </c:val>
          <c:smooth val="0"/>
        </c:ser>
        <c:ser>
          <c:idx val="2"/>
          <c:order val="1"/>
          <c:tx>
            <c:strRef>
              <c:f>'[1]Landis and Gyr'!$A$76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'[1]Landis and Gyr'!$B$3:$M$3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'[1]Landis and Gyr'!$B$76:$M$76</c:f>
              <c:numCache>
                <c:formatCode>General</c:formatCode>
                <c:ptCount val="12"/>
                <c:pt idx="0">
                  <c:v>723.99890650628765</c:v>
                </c:pt>
                <c:pt idx="1">
                  <c:v>455.50027337342817</c:v>
                </c:pt>
                <c:pt idx="2">
                  <c:v>263.00000000000006</c:v>
                </c:pt>
                <c:pt idx="3">
                  <c:v>182.40021869874249</c:v>
                </c:pt>
                <c:pt idx="4">
                  <c:v>235</c:v>
                </c:pt>
                <c:pt idx="5">
                  <c:v>218.79989065062875</c:v>
                </c:pt>
                <c:pt idx="6">
                  <c:v>204.60069444444446</c:v>
                </c:pt>
                <c:pt idx="7">
                  <c:v>269.5</c:v>
                </c:pt>
                <c:pt idx="8">
                  <c:v>273.60019841269838</c:v>
                </c:pt>
                <c:pt idx="9">
                  <c:v>217.69990079365078</c:v>
                </c:pt>
                <c:pt idx="10">
                  <c:v>156.8998015873016</c:v>
                </c:pt>
                <c:pt idx="11">
                  <c:v>196.69990079365078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'[1]Landis and Gyr'!$A$76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'[1]Landis and Gyr'!$B$3:$M$3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'[1]Landis and Gyr'!$B$76:$M$76</c:f>
              <c:numCache>
                <c:formatCode>General</c:formatCode>
                <c:ptCount val="12"/>
                <c:pt idx="0">
                  <c:v>723.99890650628765</c:v>
                </c:pt>
                <c:pt idx="1">
                  <c:v>455.50027337342817</c:v>
                </c:pt>
                <c:pt idx="2">
                  <c:v>263.00000000000006</c:v>
                </c:pt>
                <c:pt idx="3">
                  <c:v>182.40021869874249</c:v>
                </c:pt>
                <c:pt idx="4">
                  <c:v>235</c:v>
                </c:pt>
                <c:pt idx="5">
                  <c:v>218.79989065062875</c:v>
                </c:pt>
                <c:pt idx="6">
                  <c:v>204.60069444444446</c:v>
                </c:pt>
                <c:pt idx="7">
                  <c:v>269.5</c:v>
                </c:pt>
                <c:pt idx="8">
                  <c:v>273.60019841269838</c:v>
                </c:pt>
                <c:pt idx="9">
                  <c:v>217.69990079365078</c:v>
                </c:pt>
                <c:pt idx="10">
                  <c:v>156.8998015873016</c:v>
                </c:pt>
                <c:pt idx="11">
                  <c:v>196.69990079365078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89592"/>
        <c:axId val="380188024"/>
      </c:lineChart>
      <c:catAx>
        <c:axId val="38018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8024"/>
        <c:crosses val="autoZero"/>
        <c:auto val="1"/>
        <c:lblAlgn val="ctr"/>
        <c:lblOffset val="100"/>
        <c:noMultiLvlLbl val="0"/>
      </c:catAx>
      <c:valAx>
        <c:axId val="3801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9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'Premium Ideas - Morvest'!$A$8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'Premium Ideas - Morvest'!$B$3:$M$3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'Premium Ideas - Morvest'!$B$8:$M$8</c:f>
              <c:numCache>
                <c:formatCode>General</c:formatCode>
                <c:ptCount val="12"/>
                <c:pt idx="0">
                  <c:v>53.46</c:v>
                </c:pt>
                <c:pt idx="1">
                  <c:v>56.540999999999997</c:v>
                </c:pt>
                <c:pt idx="2">
                  <c:v>72.933999999999997</c:v>
                </c:pt>
                <c:pt idx="3">
                  <c:v>52.642000000000003</c:v>
                </c:pt>
                <c:pt idx="4">
                  <c:v>54.149000000000001</c:v>
                </c:pt>
                <c:pt idx="5">
                  <c:v>50.228000000000002</c:v>
                </c:pt>
                <c:pt idx="6">
                  <c:v>52.658000000000001</c:v>
                </c:pt>
                <c:pt idx="7">
                  <c:v>60.387</c:v>
                </c:pt>
                <c:pt idx="8">
                  <c:v>68.263000000000005</c:v>
                </c:pt>
                <c:pt idx="9">
                  <c:v>71.17</c:v>
                </c:pt>
                <c:pt idx="10">
                  <c:v>77.885999999999996</c:v>
                </c:pt>
                <c:pt idx="11">
                  <c:v>53.084000000000003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'Premium Ideas - Morvest'!$A$11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'Premium Ideas - Morvest'!$B$3:$M$3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'Premium Ideas - Morvest'!$B$11:$M$11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23.875</c:v>
                </c:pt>
                <c:pt idx="2">
                  <c:v>3.91</c:v>
                </c:pt>
                <c:pt idx="3">
                  <c:v>19.975999999999999</c:v>
                </c:pt>
                <c:pt idx="4">
                  <c:v>22.576000000000001</c:v>
                </c:pt>
                <c:pt idx="5">
                  <c:v>21.466999999999999</c:v>
                </c:pt>
                <c:pt idx="6">
                  <c:v>22.887</c:v>
                </c:pt>
                <c:pt idx="7">
                  <c:v>25.472000000000001</c:v>
                </c:pt>
                <c:pt idx="8">
                  <c:v>26.300999999999998</c:v>
                </c:pt>
                <c:pt idx="9">
                  <c:v>29.61</c:v>
                </c:pt>
                <c:pt idx="10">
                  <c:v>31.067</c:v>
                </c:pt>
                <c:pt idx="11">
                  <c:v>21.227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'Premium Ideas - Morvest'!$A$14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'Premium Ideas - Morvest'!$B$3:$M$3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'Premium Ideas - Morvest'!$B$14:$M$14</c:f>
              <c:numCache>
                <c:formatCode>General</c:formatCode>
                <c:ptCount val="12"/>
                <c:pt idx="0">
                  <c:v>55.758000000000003</c:v>
                </c:pt>
                <c:pt idx="1">
                  <c:v>58.947000000000003</c:v>
                </c:pt>
                <c:pt idx="2">
                  <c:v>70.953000000000003</c:v>
                </c:pt>
                <c:pt idx="3">
                  <c:v>65.323999999999998</c:v>
                </c:pt>
                <c:pt idx="4">
                  <c:v>55.954000000000001</c:v>
                </c:pt>
                <c:pt idx="5">
                  <c:v>49.820999999999998</c:v>
                </c:pt>
                <c:pt idx="6">
                  <c:v>54.323999999999998</c:v>
                </c:pt>
                <c:pt idx="7">
                  <c:v>58.792000000000002</c:v>
                </c:pt>
                <c:pt idx="8">
                  <c:v>70.867999999999995</c:v>
                </c:pt>
                <c:pt idx="9">
                  <c:v>69.763999999999996</c:v>
                </c:pt>
                <c:pt idx="10">
                  <c:v>71.665999999999997</c:v>
                </c:pt>
                <c:pt idx="11">
                  <c:v>68.451999999999998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'Premium Ideas - Morvest'!$A$22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'Premium Ideas - Morvest'!$B$3:$M$3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'Premium Ideas - Morvest'!$B$22:$M$22</c:f>
              <c:numCache>
                <c:formatCode>General</c:formatCode>
                <c:ptCount val="12"/>
                <c:pt idx="0">
                  <c:v>113.04900000000001</c:v>
                </c:pt>
                <c:pt idx="1">
                  <c:v>139.363</c:v>
                </c:pt>
                <c:pt idx="2">
                  <c:v>147.797</c:v>
                </c:pt>
                <c:pt idx="3">
                  <c:v>137.94200000000001</c:v>
                </c:pt>
                <c:pt idx="4">
                  <c:v>132.679</c:v>
                </c:pt>
                <c:pt idx="5">
                  <c:v>121.51599999999999</c:v>
                </c:pt>
                <c:pt idx="6">
                  <c:v>129.869</c:v>
                </c:pt>
                <c:pt idx="7">
                  <c:v>144.65100000000001</c:v>
                </c:pt>
                <c:pt idx="8">
                  <c:v>165.43200000000002</c:v>
                </c:pt>
                <c:pt idx="9">
                  <c:v>170.54399999999998</c:v>
                </c:pt>
                <c:pt idx="10">
                  <c:v>180.619</c:v>
                </c:pt>
                <c:pt idx="11">
                  <c:v>142.76300000000001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86456"/>
        <c:axId val="380192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'Premium Ideas - Morvest'!$A$5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'Premium Ideas - Morvest'!$B$3:$M$3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'Premium Ideas - Morvest'!$B$5:$M$5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393.4</c:v>
                      </c:pt>
                      <c:pt idx="1">
                        <c:v>286.39999999999998</c:v>
                      </c:pt>
                      <c:pt idx="2">
                        <c:v>410.5</c:v>
                      </c:pt>
                      <c:pt idx="3">
                        <c:v>414.6</c:v>
                      </c:pt>
                      <c:pt idx="4">
                        <c:v>375.8</c:v>
                      </c:pt>
                      <c:pt idx="5">
                        <c:v>362.9</c:v>
                      </c:pt>
                      <c:pt idx="6">
                        <c:v>381.7</c:v>
                      </c:pt>
                      <c:pt idx="7">
                        <c:v>367.1</c:v>
                      </c:pt>
                      <c:pt idx="8">
                        <c:v>408.5</c:v>
                      </c:pt>
                      <c:pt idx="9">
                        <c:v>395.1</c:v>
                      </c:pt>
                      <c:pt idx="10">
                        <c:v>426.8</c:v>
                      </c:pt>
                      <c:pt idx="11">
                        <c:v>359.7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01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2336"/>
        <c:crosses val="autoZero"/>
        <c:auto val="1"/>
        <c:lblAlgn val="ctr"/>
        <c:lblOffset val="100"/>
        <c:noMultiLvlLbl val="0"/>
      </c:catAx>
      <c:valAx>
        <c:axId val="38019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6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'Premium Ideas - Morvest'!$A$76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'Premium Ideas - Morvest'!$B$3:$M$3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'Premium Ideas - Morvest'!$B$76:$M$76</c:f>
            </c:numRef>
          </c:val>
          <c:smooth val="0"/>
        </c:ser>
        <c:ser>
          <c:idx val="0"/>
          <c:order val="1"/>
          <c:tx>
            <c:strRef>
              <c:f>'[1]Premium Ideas - Morvest'!$A$76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'[1]Premium Ideas - Morvest'!$B$3:$M$3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'[1]Premium Ideas - Morvest'!$B$76:$M$76</c:f>
              <c:numCache>
                <c:formatCode>General</c:formatCode>
                <c:ptCount val="12"/>
                <c:pt idx="0">
                  <c:v>348.40021869874249</c:v>
                </c:pt>
                <c:pt idx="1">
                  <c:v>320.50027337342812</c:v>
                </c:pt>
                <c:pt idx="2">
                  <c:v>365.40021869874249</c:v>
                </c:pt>
                <c:pt idx="3">
                  <c:v>281.10005467468562</c:v>
                </c:pt>
                <c:pt idx="4">
                  <c:v>359.76708583925648</c:v>
                </c:pt>
                <c:pt idx="5">
                  <c:v>343.30016402405687</c:v>
                </c:pt>
                <c:pt idx="6">
                  <c:v>404.39980158730157</c:v>
                </c:pt>
                <c:pt idx="7">
                  <c:v>476.69990079365078</c:v>
                </c:pt>
                <c:pt idx="8">
                  <c:v>397.89980158730157</c:v>
                </c:pt>
                <c:pt idx="9">
                  <c:v>355</c:v>
                </c:pt>
                <c:pt idx="10">
                  <c:v>272.30009920634922</c:v>
                </c:pt>
                <c:pt idx="11">
                  <c:v>373.69990079365078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87632"/>
        <c:axId val="380191944"/>
      </c:lineChart>
      <c:catAx>
        <c:axId val="3801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1944"/>
        <c:crosses val="autoZero"/>
        <c:auto val="1"/>
        <c:lblAlgn val="ctr"/>
        <c:lblOffset val="100"/>
        <c:noMultiLvlLbl val="0"/>
      </c:catAx>
      <c:valAx>
        <c:axId val="3801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Zodiac!$A$8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Zodiac!$B$3:$M$3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Zodiac!$B$8:$M$8</c:f>
              <c:numCache>
                <c:formatCode>General</c:formatCode>
                <c:ptCount val="12"/>
                <c:pt idx="0">
                  <c:v>12.789</c:v>
                </c:pt>
                <c:pt idx="1">
                  <c:v>13.063000000000001</c:v>
                </c:pt>
                <c:pt idx="2">
                  <c:v>13.55</c:v>
                </c:pt>
                <c:pt idx="3">
                  <c:v>10.273999999999999</c:v>
                </c:pt>
                <c:pt idx="4">
                  <c:v>12.069000000000001</c:v>
                </c:pt>
                <c:pt idx="5">
                  <c:v>12.188000000000001</c:v>
                </c:pt>
                <c:pt idx="6">
                  <c:v>15.263999999999999</c:v>
                </c:pt>
                <c:pt idx="7">
                  <c:v>16.663</c:v>
                </c:pt>
                <c:pt idx="8">
                  <c:v>15.462999999999999</c:v>
                </c:pt>
                <c:pt idx="9">
                  <c:v>16.059999999999999</c:v>
                </c:pt>
                <c:pt idx="10">
                  <c:v>16.291</c:v>
                </c:pt>
                <c:pt idx="11">
                  <c:v>11.646000000000001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Zodiac!$A$11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Zodiac!$B$3:$M$3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Zodiac!$B$11:$M$11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4.74</c:v>
                </c:pt>
                <c:pt idx="2">
                  <c:v>3.91</c:v>
                </c:pt>
                <c:pt idx="3">
                  <c:v>3.496</c:v>
                </c:pt>
                <c:pt idx="4">
                  <c:v>4.5869999999999997</c:v>
                </c:pt>
                <c:pt idx="5">
                  <c:v>4.7590000000000003</c:v>
                </c:pt>
                <c:pt idx="6">
                  <c:v>6.359</c:v>
                </c:pt>
                <c:pt idx="7">
                  <c:v>6.6749999999999998</c:v>
                </c:pt>
                <c:pt idx="8">
                  <c:v>5.6719999999999997</c:v>
                </c:pt>
                <c:pt idx="9">
                  <c:v>6.0890000000000004</c:v>
                </c:pt>
                <c:pt idx="10">
                  <c:v>5.88</c:v>
                </c:pt>
                <c:pt idx="11">
                  <c:v>4.4969999999999999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Zodiac!$A$14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Zodiac!$B$3:$M$3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Zodiac!$B$14:$M$14</c:f>
              <c:numCache>
                <c:formatCode>General</c:formatCode>
                <c:ptCount val="12"/>
                <c:pt idx="0">
                  <c:v>4.0519999999999996</c:v>
                </c:pt>
                <c:pt idx="1">
                  <c:v>4.1630000000000003</c:v>
                </c:pt>
                <c:pt idx="2">
                  <c:v>3.7309999999999999</c:v>
                </c:pt>
                <c:pt idx="3">
                  <c:v>3.7639999999999998</c:v>
                </c:pt>
                <c:pt idx="4">
                  <c:v>3.2490000000000001</c:v>
                </c:pt>
                <c:pt idx="5">
                  <c:v>3.5630000000000002</c:v>
                </c:pt>
                <c:pt idx="6">
                  <c:v>8.5530000000000008</c:v>
                </c:pt>
                <c:pt idx="7">
                  <c:v>9.1910000000000007</c:v>
                </c:pt>
                <c:pt idx="8">
                  <c:v>8.4949999999999992</c:v>
                </c:pt>
                <c:pt idx="9">
                  <c:v>8.0830000000000002</c:v>
                </c:pt>
                <c:pt idx="10">
                  <c:v>8.1150000000000002</c:v>
                </c:pt>
                <c:pt idx="11">
                  <c:v>7.5250000000000004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Zodiac!$A$22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Zodiac!$B$22:$M$22</c:f>
              <c:numCache>
                <c:formatCode>General</c:formatCode>
                <c:ptCount val="12"/>
                <c:pt idx="0">
                  <c:v>20.672000000000001</c:v>
                </c:pt>
                <c:pt idx="1">
                  <c:v>21.966000000000001</c:v>
                </c:pt>
                <c:pt idx="2">
                  <c:v>21.191000000000003</c:v>
                </c:pt>
                <c:pt idx="3">
                  <c:v>17.533999999999999</c:v>
                </c:pt>
                <c:pt idx="4">
                  <c:v>19.904999999999998</c:v>
                </c:pt>
                <c:pt idx="5">
                  <c:v>20.51</c:v>
                </c:pt>
                <c:pt idx="6">
                  <c:v>30.175999999999998</c:v>
                </c:pt>
                <c:pt idx="7">
                  <c:v>32.529000000000003</c:v>
                </c:pt>
                <c:pt idx="8">
                  <c:v>29.629999999999995</c:v>
                </c:pt>
                <c:pt idx="9">
                  <c:v>30.231999999999999</c:v>
                </c:pt>
                <c:pt idx="10">
                  <c:v>30.286000000000001</c:v>
                </c:pt>
                <c:pt idx="11">
                  <c:v>23.667999999999999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92728"/>
        <c:axId val="380193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Zodiac!$A$5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Zodiac!$B$3:$M$3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Zodiac!$B$5:$M$5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106.99</c:v>
                      </c:pt>
                      <c:pt idx="1">
                        <c:v>102.82</c:v>
                      </c:pt>
                      <c:pt idx="2">
                        <c:v>94.46</c:v>
                      </c:pt>
                      <c:pt idx="3">
                        <c:v>95.35</c:v>
                      </c:pt>
                      <c:pt idx="4">
                        <c:v>97.13</c:v>
                      </c:pt>
                      <c:pt idx="5">
                        <c:v>103.46</c:v>
                      </c:pt>
                      <c:pt idx="6">
                        <c:v>116.05</c:v>
                      </c:pt>
                      <c:pt idx="7">
                        <c:v>118.47</c:v>
                      </c:pt>
                      <c:pt idx="8">
                        <c:v>107.36</c:v>
                      </c:pt>
                      <c:pt idx="9">
                        <c:v>108.14</c:v>
                      </c:pt>
                      <c:pt idx="10">
                        <c:v>101.57</c:v>
                      </c:pt>
                      <c:pt idx="11">
                        <c:v>104.08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01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3120"/>
        <c:crosses val="autoZero"/>
        <c:auto val="1"/>
        <c:lblAlgn val="ctr"/>
        <c:lblOffset val="100"/>
        <c:noMultiLvlLbl val="0"/>
      </c:catAx>
      <c:valAx>
        <c:axId val="380193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2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Zodiac!$A$76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Zodiac!$B$3:$M$3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Zodiac!$B$76:$M$76</c:f>
            </c:numRef>
          </c:val>
          <c:smooth val="0"/>
        </c:ser>
        <c:ser>
          <c:idx val="0"/>
          <c:order val="1"/>
          <c:tx>
            <c:strRef>
              <c:f>[1]Zodiac!$A$76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[1]Zodiac!$B$3:$M$3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[1]Zodiac!$B$76:$M$76</c:f>
              <c:numCache>
                <c:formatCode>General</c:formatCode>
                <c:ptCount val="12"/>
                <c:pt idx="0">
                  <c:v>87.899945325314391</c:v>
                </c:pt>
                <c:pt idx="1">
                  <c:v>102.69983597594315</c:v>
                </c:pt>
                <c:pt idx="2">
                  <c:v>106.59978130125752</c:v>
                </c:pt>
                <c:pt idx="3">
                  <c:v>94.599781301257522</c:v>
                </c:pt>
                <c:pt idx="4">
                  <c:v>131.89994532531438</c:v>
                </c:pt>
                <c:pt idx="5">
                  <c:v>138.20010934937125</c:v>
                </c:pt>
                <c:pt idx="6">
                  <c:v>153.80307539682539</c:v>
                </c:pt>
                <c:pt idx="7">
                  <c:v>163.80009920634922</c:v>
                </c:pt>
                <c:pt idx="8">
                  <c:v>143.1001984126984</c:v>
                </c:pt>
                <c:pt idx="9">
                  <c:v>152.30009920634919</c:v>
                </c:pt>
                <c:pt idx="10">
                  <c:v>107.8998015873016</c:v>
                </c:pt>
                <c:pt idx="11">
                  <c:v>158.80009920634919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190376"/>
        <c:axId val="380191160"/>
      </c:lineChart>
      <c:catAx>
        <c:axId val="380190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1160"/>
        <c:crosses val="autoZero"/>
        <c:auto val="1"/>
        <c:lblAlgn val="ctr"/>
        <c:lblOffset val="100"/>
        <c:noMultiLvlLbl val="0"/>
      </c:catAx>
      <c:valAx>
        <c:axId val="3801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0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UTI!$B$3:$M$3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UTI!$B$8:$M$8</c:f>
              <c:numCache>
                <c:formatCode>General</c:formatCode>
                <c:ptCount val="12"/>
                <c:pt idx="0">
                  <c:v>17.199000000000002</c:v>
                </c:pt>
                <c:pt idx="1">
                  <c:v>17.245000000000001</c:v>
                </c:pt>
                <c:pt idx="2">
                  <c:v>19.581</c:v>
                </c:pt>
                <c:pt idx="3">
                  <c:v>14.922000000000001</c:v>
                </c:pt>
                <c:pt idx="4">
                  <c:v>16.885000000000002</c:v>
                </c:pt>
                <c:pt idx="5">
                  <c:v>20.145</c:v>
                </c:pt>
                <c:pt idx="6">
                  <c:v>20.242000000000001</c:v>
                </c:pt>
                <c:pt idx="7">
                  <c:v>21.2</c:v>
                </c:pt>
                <c:pt idx="8">
                  <c:v>20.091000000000001</c:v>
                </c:pt>
                <c:pt idx="9">
                  <c:v>21.641999999999999</c:v>
                </c:pt>
                <c:pt idx="10">
                  <c:v>21.841999999999999</c:v>
                </c:pt>
                <c:pt idx="11">
                  <c:v>18.158000000000001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UTI!$B$3:$M$3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UTI!$B$11:$M$11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7.0869999999999997</c:v>
                </c:pt>
                <c:pt idx="2">
                  <c:v>3.91</c:v>
                </c:pt>
                <c:pt idx="3">
                  <c:v>5.6680000000000001</c:v>
                </c:pt>
                <c:pt idx="4">
                  <c:v>7.016</c:v>
                </c:pt>
                <c:pt idx="5">
                  <c:v>8.3580000000000005</c:v>
                </c:pt>
                <c:pt idx="6">
                  <c:v>9.0050000000000008</c:v>
                </c:pt>
                <c:pt idx="7">
                  <c:v>8.9719999999999995</c:v>
                </c:pt>
                <c:pt idx="8">
                  <c:v>8.1780000000000008</c:v>
                </c:pt>
                <c:pt idx="9">
                  <c:v>8.8930000000000007</c:v>
                </c:pt>
                <c:pt idx="10">
                  <c:v>8.9819999999999993</c:v>
                </c:pt>
                <c:pt idx="11">
                  <c:v>7.4610000000000003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UTI!$A$14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UTI!$B$3:$M$3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UTI!$B$14:$M$14</c:f>
              <c:numCache>
                <c:formatCode>General</c:formatCode>
                <c:ptCount val="12"/>
                <c:pt idx="0">
                  <c:v>9.7650000000000006</c:v>
                </c:pt>
                <c:pt idx="1">
                  <c:v>8.5920000000000005</c:v>
                </c:pt>
                <c:pt idx="2">
                  <c:v>8.7490000000000006</c:v>
                </c:pt>
                <c:pt idx="3">
                  <c:v>9.8130000000000006</c:v>
                </c:pt>
                <c:pt idx="4">
                  <c:v>7.2750000000000004</c:v>
                </c:pt>
                <c:pt idx="5">
                  <c:v>9.4339999999999993</c:v>
                </c:pt>
                <c:pt idx="6">
                  <c:v>8.4760000000000009</c:v>
                </c:pt>
                <c:pt idx="7">
                  <c:v>7.4960000000000004</c:v>
                </c:pt>
                <c:pt idx="8">
                  <c:v>8.0129999999999999</c:v>
                </c:pt>
                <c:pt idx="9">
                  <c:v>8.1760000000000002</c:v>
                </c:pt>
                <c:pt idx="10">
                  <c:v>7.0359999999999996</c:v>
                </c:pt>
                <c:pt idx="11">
                  <c:v>8.7319999999999993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UTI!$A$22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UTI!$B$22:$M$22</c:f>
              <c:numCache>
                <c:formatCode>General</c:formatCode>
                <c:ptCount val="12"/>
                <c:pt idx="0">
                  <c:v>30.795000000000002</c:v>
                </c:pt>
                <c:pt idx="1">
                  <c:v>32.923999999999999</c:v>
                </c:pt>
                <c:pt idx="2">
                  <c:v>32.24</c:v>
                </c:pt>
                <c:pt idx="3">
                  <c:v>30.402999999999999</c:v>
                </c:pt>
                <c:pt idx="4">
                  <c:v>31.176000000000002</c:v>
                </c:pt>
                <c:pt idx="5">
                  <c:v>37.936999999999998</c:v>
                </c:pt>
                <c:pt idx="6">
                  <c:v>37.722999999999999</c:v>
                </c:pt>
                <c:pt idx="7">
                  <c:v>37.667999999999999</c:v>
                </c:pt>
                <c:pt idx="8">
                  <c:v>36.282000000000004</c:v>
                </c:pt>
                <c:pt idx="9">
                  <c:v>38.710999999999999</c:v>
                </c:pt>
                <c:pt idx="10">
                  <c:v>37.86</c:v>
                </c:pt>
                <c:pt idx="11">
                  <c:v>34.350999999999999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0888"/>
        <c:axId val="379292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UTI!$A$5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UTI!$B$3:$M$3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UTI!$B$5:$M$5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98.11</c:v>
                      </c:pt>
                      <c:pt idx="1">
                        <c:v>105.16</c:v>
                      </c:pt>
                      <c:pt idx="2">
                        <c:v>99.78</c:v>
                      </c:pt>
                      <c:pt idx="3">
                        <c:v>99.13</c:v>
                      </c:pt>
                      <c:pt idx="4">
                        <c:v>96.22</c:v>
                      </c:pt>
                      <c:pt idx="5">
                        <c:v>123.85</c:v>
                      </c:pt>
                      <c:pt idx="6">
                        <c:v>132.32</c:v>
                      </c:pt>
                      <c:pt idx="7">
                        <c:v>122.3</c:v>
                      </c:pt>
                      <c:pt idx="8">
                        <c:v>117.52</c:v>
                      </c:pt>
                      <c:pt idx="9">
                        <c:v>114.79</c:v>
                      </c:pt>
                      <c:pt idx="10">
                        <c:v>118.66</c:v>
                      </c:pt>
                      <c:pt idx="11">
                        <c:v>115.84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92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2064"/>
        <c:crosses val="autoZero"/>
        <c:auto val="1"/>
        <c:lblAlgn val="ctr"/>
        <c:lblOffset val="100"/>
        <c:noMultiLvlLbl val="0"/>
      </c:catAx>
      <c:valAx>
        <c:axId val="37929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0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UTI!$A$76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UTI!$B$3:$M$3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UTI!$B$76:$M$76</c:f>
            </c:numRef>
          </c:val>
          <c:smooth val="0"/>
        </c:ser>
        <c:ser>
          <c:idx val="0"/>
          <c:order val="1"/>
          <c:tx>
            <c:strRef>
              <c:f>[1]UTI!$A$76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[1]UTI!$B$3:$M$3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[1]UTI!$B$76:$M$76</c:f>
              <c:numCache>
                <c:formatCode>General</c:formatCode>
                <c:ptCount val="12"/>
                <c:pt idx="0">
                  <c:v>74.100054674685623</c:v>
                </c:pt>
                <c:pt idx="1">
                  <c:v>95.467468562055771</c:v>
                </c:pt>
                <c:pt idx="2">
                  <c:v>118.89994532531438</c:v>
                </c:pt>
                <c:pt idx="3">
                  <c:v>102.40021869874249</c:v>
                </c:pt>
                <c:pt idx="4">
                  <c:v>159.10005467468562</c:v>
                </c:pt>
                <c:pt idx="5">
                  <c:v>176</c:v>
                </c:pt>
                <c:pt idx="6">
                  <c:v>159.69990079365081</c:v>
                </c:pt>
                <c:pt idx="7">
                  <c:v>237.1001984126984</c:v>
                </c:pt>
                <c:pt idx="8">
                  <c:v>152.19990079365078</c:v>
                </c:pt>
                <c:pt idx="9">
                  <c:v>134.19990079365078</c:v>
                </c:pt>
                <c:pt idx="10">
                  <c:v>147.69990079365081</c:v>
                </c:pt>
                <c:pt idx="11">
                  <c:v>111.88789682539682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2456"/>
        <c:axId val="379291280"/>
      </c:lineChart>
      <c:catAx>
        <c:axId val="37929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1280"/>
        <c:crosses val="autoZero"/>
        <c:auto val="1"/>
        <c:lblAlgn val="ctr"/>
        <c:lblOffset val="100"/>
        <c:noMultiLvlLbl val="0"/>
      </c:catAx>
      <c:valAx>
        <c:axId val="3792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2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'CSD Targus'!$A$8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'CSD Targus'!$B$3:$M$3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'CSD Targus'!$B$8:$M$8</c:f>
              <c:numCache>
                <c:formatCode>General</c:formatCode>
                <c:ptCount val="12"/>
                <c:pt idx="0">
                  <c:v>3.3410000000000002</c:v>
                </c:pt>
                <c:pt idx="1">
                  <c:v>3.5030000000000001</c:v>
                </c:pt>
                <c:pt idx="2">
                  <c:v>3.5259999999999998</c:v>
                </c:pt>
                <c:pt idx="3">
                  <c:v>2.706</c:v>
                </c:pt>
                <c:pt idx="4">
                  <c:v>3.0049999999999999</c:v>
                </c:pt>
                <c:pt idx="5">
                  <c:v>3.105</c:v>
                </c:pt>
                <c:pt idx="6">
                  <c:v>3.1880000000000002</c:v>
                </c:pt>
                <c:pt idx="7">
                  <c:v>3.113</c:v>
                </c:pt>
                <c:pt idx="8">
                  <c:v>2.734</c:v>
                </c:pt>
                <c:pt idx="9">
                  <c:v>3.004</c:v>
                </c:pt>
                <c:pt idx="10">
                  <c:v>3.0819999999999999</c:v>
                </c:pt>
                <c:pt idx="11">
                  <c:v>2.3130000000000002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'CSD Targus'!$A$11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'CSD Targus'!$B$3:$M$3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'CSD Targus'!$B$11:$M$11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1.3440000000000001</c:v>
                </c:pt>
                <c:pt idx="2">
                  <c:v>3.91</c:v>
                </c:pt>
                <c:pt idx="3">
                  <c:v>0.997</c:v>
                </c:pt>
                <c:pt idx="4">
                  <c:v>1.3069999999999999</c:v>
                </c:pt>
                <c:pt idx="5">
                  <c:v>1.4810000000000001</c:v>
                </c:pt>
                <c:pt idx="6">
                  <c:v>1.452</c:v>
                </c:pt>
                <c:pt idx="7">
                  <c:v>1.4350000000000001</c:v>
                </c:pt>
                <c:pt idx="8">
                  <c:v>1.048</c:v>
                </c:pt>
                <c:pt idx="9">
                  <c:v>1.151</c:v>
                </c:pt>
                <c:pt idx="10">
                  <c:v>1.1519999999999999</c:v>
                </c:pt>
                <c:pt idx="11">
                  <c:v>0.92300000000000004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'CSD Targus'!$A$14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'CSD Targus'!$B$3:$M$3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'CSD Targus'!$B$14:$M$14</c:f>
              <c:numCache>
                <c:formatCode>General</c:formatCode>
                <c:ptCount val="12"/>
                <c:pt idx="0">
                  <c:v>1.9059999999999999</c:v>
                </c:pt>
                <c:pt idx="1">
                  <c:v>1.6659999999999999</c:v>
                </c:pt>
                <c:pt idx="2">
                  <c:v>1.806</c:v>
                </c:pt>
                <c:pt idx="3">
                  <c:v>1.819</c:v>
                </c:pt>
                <c:pt idx="4">
                  <c:v>1.5620000000000001</c:v>
                </c:pt>
                <c:pt idx="5">
                  <c:v>1.401</c:v>
                </c:pt>
                <c:pt idx="6">
                  <c:v>1.6990000000000001</c:v>
                </c:pt>
                <c:pt idx="7">
                  <c:v>1.5449999999999999</c:v>
                </c:pt>
                <c:pt idx="8">
                  <c:v>1.577</c:v>
                </c:pt>
                <c:pt idx="9">
                  <c:v>1.597</c:v>
                </c:pt>
                <c:pt idx="10">
                  <c:v>1.377</c:v>
                </c:pt>
                <c:pt idx="11">
                  <c:v>1.7729999999999999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'CSD Targus'!$A$22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'CSD Targus'!$B$22:$M$22</c:f>
              <c:numCache>
                <c:formatCode>General</c:formatCode>
                <c:ptCount val="12"/>
                <c:pt idx="0">
                  <c:v>9.0780000000000012</c:v>
                </c:pt>
                <c:pt idx="1">
                  <c:v>6.5129999999999999</c:v>
                </c:pt>
                <c:pt idx="2">
                  <c:v>9.2420000000000009</c:v>
                </c:pt>
                <c:pt idx="3">
                  <c:v>5.5220000000000002</c:v>
                </c:pt>
                <c:pt idx="4">
                  <c:v>5.8739999999999997</c:v>
                </c:pt>
                <c:pt idx="5">
                  <c:v>5.9870000000000001</c:v>
                </c:pt>
                <c:pt idx="6">
                  <c:v>6.3390000000000004</c:v>
                </c:pt>
                <c:pt idx="7">
                  <c:v>6.093</c:v>
                </c:pt>
                <c:pt idx="8">
                  <c:v>5.359</c:v>
                </c:pt>
                <c:pt idx="9">
                  <c:v>5.7520000000000007</c:v>
                </c:pt>
                <c:pt idx="10">
                  <c:v>5.6109999999999998</c:v>
                </c:pt>
                <c:pt idx="11">
                  <c:v>5.0090000000000003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2848"/>
        <c:axId val="3792932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'CSD Targus'!$A$5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'CSD Targus'!$B$3:$M$3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'CSD Targus'!$B$5:$M$5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27.24</c:v>
                      </c:pt>
                      <c:pt idx="1">
                        <c:v>27.04</c:v>
                      </c:pt>
                      <c:pt idx="2">
                        <c:v>23.55</c:v>
                      </c:pt>
                      <c:pt idx="3">
                        <c:v>25</c:v>
                      </c:pt>
                      <c:pt idx="4">
                        <c:v>28.78</c:v>
                      </c:pt>
                      <c:pt idx="5">
                        <c:v>33.64</c:v>
                      </c:pt>
                      <c:pt idx="6">
                        <c:v>32.03</c:v>
                      </c:pt>
                      <c:pt idx="7">
                        <c:v>32.31</c:v>
                      </c:pt>
                      <c:pt idx="8">
                        <c:v>23.91</c:v>
                      </c:pt>
                      <c:pt idx="9">
                        <c:v>27.43</c:v>
                      </c:pt>
                      <c:pt idx="10">
                        <c:v>22.61</c:v>
                      </c:pt>
                      <c:pt idx="11">
                        <c:v>26.86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92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3240"/>
        <c:crosses val="autoZero"/>
        <c:auto val="1"/>
        <c:lblAlgn val="ctr"/>
        <c:lblOffset val="100"/>
        <c:noMultiLvlLbl val="0"/>
      </c:catAx>
      <c:valAx>
        <c:axId val="379293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Water</a:t>
            </a:r>
            <a:r>
              <a:rPr lang="en-ZA" baseline="0"/>
              <a:t> Consumption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'[1]Data Sheet'!$B$3</c:f>
              <c:strCache>
                <c:ptCount val="1"/>
                <c:pt idx="0">
                  <c:v>BPB Gypsum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3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3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3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Sheet'!$N$3</c:f>
              <c:numCache>
                <c:formatCode>General</c:formatCode>
                <c:ptCount val="1"/>
                <c:pt idx="0">
                  <c:v>2425.3162963107607</c:v>
                </c:pt>
              </c:numCache>
            </c:numRef>
          </c:val>
        </c:ser>
        <c:ser>
          <c:idx val="1"/>
          <c:order val="1"/>
          <c:tx>
            <c:strRef>
              <c:f>'[1]Data Sheet'!$B$4</c:f>
              <c:strCache>
                <c:ptCount val="1"/>
                <c:pt idx="0">
                  <c:v>Eli Lilly South Africa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Sheet'!$N$4</c:f>
              <c:numCache>
                <c:formatCode>General</c:formatCode>
                <c:ptCount val="1"/>
                <c:pt idx="0">
                  <c:v>2107.4994109453514</c:v>
                </c:pt>
              </c:numCache>
            </c:numRef>
          </c:val>
        </c:ser>
        <c:ser>
          <c:idx val="2"/>
          <c:order val="2"/>
          <c:tx>
            <c:strRef>
              <c:f>'[1]Data Sheet'!$B$5</c:f>
              <c:strCache>
                <c:ptCount val="1"/>
                <c:pt idx="0">
                  <c:v>Digistics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Sheet'!$N$5</c:f>
              <c:numCache>
                <c:formatCode>General</c:formatCode>
                <c:ptCount val="1"/>
                <c:pt idx="0">
                  <c:v>20699.400218698742</c:v>
                </c:pt>
              </c:numCache>
            </c:numRef>
          </c:val>
        </c:ser>
        <c:ser>
          <c:idx val="3"/>
          <c:order val="3"/>
          <c:tx>
            <c:strRef>
              <c:f>'[1]Data Sheet'!$B$6</c:f>
              <c:strCache>
                <c:ptCount val="1"/>
                <c:pt idx="0">
                  <c:v>Deposita Systems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Sheet'!$N$6</c:f>
              <c:numCache>
                <c:formatCode>General</c:formatCode>
                <c:ptCount val="1"/>
                <c:pt idx="0">
                  <c:v>4750.8997874847046</c:v>
                </c:pt>
              </c:numCache>
            </c:numRef>
          </c:val>
        </c:ser>
        <c:ser>
          <c:idx val="4"/>
          <c:order val="4"/>
          <c:tx>
            <c:strRef>
              <c:f>'[1]Data Sheet'!$B$7</c:f>
              <c:strCache>
                <c:ptCount val="1"/>
                <c:pt idx="0">
                  <c:v>Landis and Gyr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Sheet'!$N$7</c:f>
              <c:numCache>
                <c:formatCode>General</c:formatCode>
                <c:ptCount val="1"/>
                <c:pt idx="0">
                  <c:v>6071.4006640153784</c:v>
                </c:pt>
              </c:numCache>
            </c:numRef>
          </c:val>
        </c:ser>
        <c:ser>
          <c:idx val="5"/>
          <c:order val="5"/>
          <c:tx>
            <c:strRef>
              <c:f>'[1]Data Sheet'!$B$8</c:f>
              <c:strCache>
                <c:ptCount val="1"/>
                <c:pt idx="0">
                  <c:v>Premium Ideas SA (Pty) Ltd / Morvest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Sheet'!$N$8</c:f>
              <c:numCache>
                <c:formatCode>General</c:formatCode>
                <c:ptCount val="1"/>
                <c:pt idx="0">
                  <c:v>8248.5348198555894</c:v>
                </c:pt>
              </c:numCache>
            </c:numRef>
          </c:val>
        </c:ser>
        <c:ser>
          <c:idx val="6"/>
          <c:order val="6"/>
          <c:tx>
            <c:strRef>
              <c:f>'[1]Data Sheet'!$B$10</c:f>
              <c:strCache>
                <c:ptCount val="1"/>
                <c:pt idx="0">
                  <c:v>Zodiac Pool Care South Africa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Sheet'!$N$10</c:f>
              <c:numCache>
                <c:formatCode>General</c:formatCode>
                <c:ptCount val="1"/>
                <c:pt idx="0">
                  <c:v>2995.3055978633483</c:v>
                </c:pt>
              </c:numCache>
            </c:numRef>
          </c:val>
        </c:ser>
        <c:ser>
          <c:idx val="7"/>
          <c:order val="7"/>
          <c:tx>
            <c:strRef>
              <c:f>'[1]Data Sheet'!$B$11</c:f>
              <c:strCache>
                <c:ptCount val="1"/>
                <c:pt idx="0">
                  <c:v>Uti Material Handling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Sheet'!$N$11</c:f>
              <c:numCache>
                <c:formatCode>General</c:formatCode>
                <c:ptCount val="1"/>
                <c:pt idx="0">
                  <c:v>3263.410826021679</c:v>
                </c:pt>
              </c:numCache>
            </c:numRef>
          </c:val>
        </c:ser>
        <c:ser>
          <c:idx val="8"/>
          <c:order val="8"/>
          <c:tx>
            <c:strRef>
              <c:f>'[1]Data Sheet'!$B$12</c:f>
              <c:strCache>
                <c:ptCount val="1"/>
                <c:pt idx="0">
                  <c:v>CSD Targus Distribution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Sheet'!$N$12</c:f>
              <c:numCache>
                <c:formatCode>General</c:formatCode>
                <c:ptCount val="1"/>
                <c:pt idx="0">
                  <c:v>2303.3995141112764</c:v>
                </c:pt>
              </c:numCache>
            </c:numRef>
          </c:val>
        </c:ser>
        <c:ser>
          <c:idx val="9"/>
          <c:order val="9"/>
          <c:tx>
            <c:strRef>
              <c:f>'[1]Data Sheet'!$B$13</c:f>
              <c:strCache>
                <c:ptCount val="1"/>
                <c:pt idx="0">
                  <c:v>Uti Material Handling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'[1]Data Sheet'!$B$14</c:f>
              <c:strCache>
                <c:ptCount val="1"/>
                <c:pt idx="0">
                  <c:v>Alaris Antennas (formerly known as Poynting)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Sheet'!$N$14</c:f>
              <c:numCache>
                <c:formatCode>General</c:formatCode>
                <c:ptCount val="1"/>
                <c:pt idx="0">
                  <c:v>2823.4700802546276</c:v>
                </c:pt>
              </c:numCache>
            </c:numRef>
          </c:val>
        </c:ser>
        <c:ser>
          <c:idx val="11"/>
          <c:order val="11"/>
          <c:tx>
            <c:strRef>
              <c:f>'[1]Data Sheet'!$B$15</c:f>
              <c:strCache>
                <c:ptCount val="1"/>
                <c:pt idx="0">
                  <c:v>Elliot Mobility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Sheet'!$N$15</c:f>
              <c:numCache>
                <c:formatCode>General</c:formatCode>
                <c:ptCount val="1"/>
                <c:pt idx="0">
                  <c:v>11002.02460360853</c:v>
                </c:pt>
              </c:numCache>
            </c:numRef>
          </c:val>
        </c:ser>
        <c:ser>
          <c:idx val="12"/>
          <c:order val="12"/>
          <c:tx>
            <c:strRef>
              <c:f>'[1]Data Sheet'!$B$16</c:f>
              <c:strCache>
                <c:ptCount val="1"/>
                <c:pt idx="0">
                  <c:v>Shoprite Checkers (Pty) Ltd T/A Checkers Food 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9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9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Sheet'!$N$16</c:f>
              <c:numCache>
                <c:formatCode>General</c:formatCode>
                <c:ptCount val="1"/>
                <c:pt idx="0">
                  <c:v>4619.0994797226349</c:v>
                </c:pt>
              </c:numCache>
            </c:numRef>
          </c:val>
        </c:ser>
        <c:ser>
          <c:idx val="13"/>
          <c:order val="13"/>
          <c:tx>
            <c:strRef>
              <c:f>'[1]Data Sheet'!$B$17</c:f>
              <c:strCache>
                <c:ptCount val="1"/>
                <c:pt idx="0">
                  <c:v>Mazda Southern Africa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Sheet'!$N$17</c:f>
              <c:numCache>
                <c:formatCode>General</c:formatCode>
                <c:ptCount val="1"/>
                <c:pt idx="0">
                  <c:v>2214.9688636343908</c:v>
                </c:pt>
              </c:numCache>
            </c:numRef>
          </c:val>
        </c:ser>
        <c:ser>
          <c:idx val="14"/>
          <c:order val="14"/>
          <c:tx>
            <c:strRef>
              <c:f>'[1]Data Sheet'!$B$18</c:f>
              <c:strCache>
                <c:ptCount val="1"/>
                <c:pt idx="0">
                  <c:v>Elliot Mobility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Sheet'!$N$18</c:f>
              <c:numCache>
                <c:formatCode>General</c:formatCode>
                <c:ptCount val="1"/>
                <c:pt idx="0">
                  <c:v>3171.1010000019787</c:v>
                </c:pt>
              </c:numCache>
            </c:numRef>
          </c:val>
        </c:ser>
        <c:ser>
          <c:idx val="15"/>
          <c:order val="15"/>
          <c:tx>
            <c:strRef>
              <c:f>'[1]Data Sheet'!$B$19</c:f>
              <c:strCache>
                <c:ptCount val="1"/>
                <c:pt idx="0">
                  <c:v>Tevo (Pty) Ltd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Sheet'!$N$19</c:f>
              <c:numCache>
                <c:formatCode>General</c:formatCode>
                <c:ptCount val="1"/>
                <c:pt idx="0">
                  <c:v>3944.3001640240564</c:v>
                </c:pt>
              </c:numCache>
            </c:numRef>
          </c:val>
        </c:ser>
        <c:ser>
          <c:idx val="16"/>
          <c:order val="16"/>
          <c:tx>
            <c:strRef>
              <c:f>'[1]Data Sheet'!$B$20</c:f>
              <c:strCache>
                <c:ptCount val="1"/>
                <c:pt idx="0">
                  <c:v>IHL Medical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3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3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3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'[1]Data Sheet'!$N$1:$Q$1</c:f>
              <c:strCache>
                <c:ptCount val="4"/>
                <c:pt idx="0">
                  <c:v>Water Consumption</c:v>
                </c:pt>
              </c:strCache>
            </c:strRef>
          </c:cat>
          <c:val>
            <c:numRef>
              <c:f>'[1]Data Sheet'!$N$20</c:f>
              <c:numCache>
                <c:formatCode>General</c:formatCode>
                <c:ptCount val="1"/>
                <c:pt idx="0">
                  <c:v>2583.2985237834882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602264"/>
        <c:axId val="378601872"/>
      </c:barChart>
      <c:valAx>
        <c:axId val="3786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2264"/>
        <c:crosses val="autoZero"/>
        <c:crossBetween val="between"/>
      </c:valAx>
      <c:catAx>
        <c:axId val="37860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29848634660504"/>
          <c:y val="6.3932184729380559E-2"/>
          <c:w val="0.19034380043248447"/>
          <c:h val="0.89444043019511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'CSD Targus'!$A$76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'CSD Targus'!$B$3:$M$3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'CSD Targus'!$B$76:$M$76</c:f>
            </c:numRef>
          </c:val>
          <c:smooth val="0"/>
        </c:ser>
        <c:ser>
          <c:idx val="0"/>
          <c:order val="1"/>
          <c:tx>
            <c:strRef>
              <c:f>'[1]CSD Targus'!$A$76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'[1]CSD Targus'!$B$3:$M$3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'[1]CSD Targus'!$B$76:$M$76</c:f>
              <c:numCache>
                <c:formatCode>General</c:formatCode>
                <c:ptCount val="12"/>
                <c:pt idx="0">
                  <c:v>323.40021869874249</c:v>
                </c:pt>
                <c:pt idx="1">
                  <c:v>301.69983597594319</c:v>
                </c:pt>
                <c:pt idx="2">
                  <c:v>152.89994532531438</c:v>
                </c:pt>
                <c:pt idx="3">
                  <c:v>51.100054674685623</c:v>
                </c:pt>
                <c:pt idx="4">
                  <c:v>58.10005467468563</c:v>
                </c:pt>
                <c:pt idx="5">
                  <c:v>51.100054674685623</c:v>
                </c:pt>
                <c:pt idx="6">
                  <c:v>50.199900793650791</c:v>
                </c:pt>
                <c:pt idx="7">
                  <c:v>62.5</c:v>
                </c:pt>
                <c:pt idx="8">
                  <c:v>73.699900793650798</c:v>
                </c:pt>
                <c:pt idx="9">
                  <c:v>72.899801587301596</c:v>
                </c:pt>
                <c:pt idx="10">
                  <c:v>58.499999999999993</c:v>
                </c:pt>
                <c:pt idx="11">
                  <c:v>57.300099206349209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4808"/>
        <c:axId val="379295200"/>
      </c:lineChart>
      <c:catAx>
        <c:axId val="37929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5200"/>
        <c:crosses val="autoZero"/>
        <c:auto val="1"/>
        <c:lblAlgn val="ctr"/>
        <c:lblOffset val="100"/>
        <c:noMultiLvlLbl val="0"/>
      </c:catAx>
      <c:valAx>
        <c:axId val="379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4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'UTI 2'!$A$8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'UTI 2'!$B$3:$M$3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'UTI 2'!$B$8:$M$8</c:f>
              <c:numCache>
                <c:formatCode>General</c:formatCode>
                <c:ptCount val="12"/>
                <c:pt idx="0">
                  <c:v>7.8E-2</c:v>
                </c:pt>
                <c:pt idx="1">
                  <c:v>0.109</c:v>
                </c:pt>
                <c:pt idx="2">
                  <c:v>0.996</c:v>
                </c:pt>
                <c:pt idx="3">
                  <c:v>0.54100000000000004</c:v>
                </c:pt>
                <c:pt idx="4">
                  <c:v>0.71799999999999997</c:v>
                </c:pt>
                <c:pt idx="5">
                  <c:v>0.188</c:v>
                </c:pt>
                <c:pt idx="6">
                  <c:v>0.23899999999999999</c:v>
                </c:pt>
                <c:pt idx="7">
                  <c:v>0.51200000000000001</c:v>
                </c:pt>
                <c:pt idx="8">
                  <c:v>0.08</c:v>
                </c:pt>
                <c:pt idx="9">
                  <c:v>6.7000000000000004E-2</c:v>
                </c:pt>
                <c:pt idx="10">
                  <c:v>8.7999999999999995E-2</c:v>
                </c:pt>
                <c:pt idx="11">
                  <c:v>0.104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'UTI 2'!$A$11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'UTI 2'!$B$3:$M$3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'UTI 2'!$B$11:$M$11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4.3999999999999997E-2</c:v>
                </c:pt>
                <c:pt idx="2">
                  <c:v>3.91</c:v>
                </c:pt>
                <c:pt idx="3">
                  <c:v>0.10199999999999999</c:v>
                </c:pt>
                <c:pt idx="4">
                  <c:v>0.188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0.24199999999999999</c:v>
                </c:pt>
                <c:pt idx="8">
                  <c:v>6.8000000000000005E-2</c:v>
                </c:pt>
                <c:pt idx="9">
                  <c:v>5.3999999999999999E-2</c:v>
                </c:pt>
                <c:pt idx="10">
                  <c:v>6.4000000000000001E-2</c:v>
                </c:pt>
                <c:pt idx="11">
                  <c:v>4.4999999999999998E-2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'UTI 2'!$A$14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'UTI 2'!$B$3:$M$3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'UTI 2'!$B$14:$M$14</c:f>
              <c:numCache>
                <c:formatCode>General</c:formatCode>
                <c:ptCount val="12"/>
                <c:pt idx="0">
                  <c:v>0.36499999999999999</c:v>
                </c:pt>
                <c:pt idx="1">
                  <c:v>0.26900000000000002</c:v>
                </c:pt>
                <c:pt idx="2">
                  <c:v>0.96399999999999997</c:v>
                </c:pt>
                <c:pt idx="3">
                  <c:v>0.72499999999999998</c:v>
                </c:pt>
                <c:pt idx="4">
                  <c:v>0.42799999999999999</c:v>
                </c:pt>
                <c:pt idx="5">
                  <c:v>0.34300000000000003</c:v>
                </c:pt>
                <c:pt idx="6">
                  <c:v>0.29099999999999998</c:v>
                </c:pt>
                <c:pt idx="7">
                  <c:v>0.53800000000000003</c:v>
                </c:pt>
                <c:pt idx="8">
                  <c:v>0.27900000000000003</c:v>
                </c:pt>
                <c:pt idx="9">
                  <c:v>0.28799999999999998</c:v>
                </c:pt>
                <c:pt idx="10">
                  <c:v>0.27200000000000002</c:v>
                </c:pt>
                <c:pt idx="11">
                  <c:v>0.28999999999999998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'UTI 2'!$A$22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'UTI 2'!$B$22:$M$22</c:f>
              <c:numCache>
                <c:formatCode>General</c:formatCode>
                <c:ptCount val="12"/>
                <c:pt idx="0">
                  <c:v>4.274</c:v>
                </c:pt>
                <c:pt idx="1">
                  <c:v>0.42200000000000004</c:v>
                </c:pt>
                <c:pt idx="2">
                  <c:v>5.870000000000001</c:v>
                </c:pt>
                <c:pt idx="3">
                  <c:v>1.3679999999999999</c:v>
                </c:pt>
                <c:pt idx="4">
                  <c:v>1.3339999999999999</c:v>
                </c:pt>
                <c:pt idx="5">
                  <c:v>0.62600000000000011</c:v>
                </c:pt>
                <c:pt idx="6">
                  <c:v>0.62999999999999989</c:v>
                </c:pt>
                <c:pt idx="7">
                  <c:v>1.292</c:v>
                </c:pt>
                <c:pt idx="8">
                  <c:v>0.42700000000000005</c:v>
                </c:pt>
                <c:pt idx="9">
                  <c:v>0.40899999999999997</c:v>
                </c:pt>
                <c:pt idx="10">
                  <c:v>0.42400000000000004</c:v>
                </c:pt>
                <c:pt idx="11">
                  <c:v>0.43899999999999995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96376"/>
        <c:axId val="379297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'UTI 2'!$A$5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'UTI 2'!$B$3:$M$3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'UTI 2'!$B$5:$M$5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1.61</c:v>
                      </c:pt>
                      <c:pt idx="1">
                        <c:v>10.31</c:v>
                      </c:pt>
                      <c:pt idx="2">
                        <c:v>11.35</c:v>
                      </c:pt>
                      <c:pt idx="3">
                        <c:v>10.95</c:v>
                      </c:pt>
                      <c:pt idx="4">
                        <c:v>11.52</c:v>
                      </c:pt>
                      <c:pt idx="5">
                        <c:v>11.73</c:v>
                      </c:pt>
                      <c:pt idx="6">
                        <c:v>10.76</c:v>
                      </c:pt>
                      <c:pt idx="7">
                        <c:v>11.58</c:v>
                      </c:pt>
                      <c:pt idx="8">
                        <c:v>10.050000000000001</c:v>
                      </c:pt>
                      <c:pt idx="9">
                        <c:v>3.59</c:v>
                      </c:pt>
                      <c:pt idx="10">
                        <c:v>9.8000000000000007</c:v>
                      </c:pt>
                      <c:pt idx="11">
                        <c:v>9.73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929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7160"/>
        <c:crosses val="autoZero"/>
        <c:auto val="1"/>
        <c:lblAlgn val="ctr"/>
        <c:lblOffset val="100"/>
        <c:noMultiLvlLbl val="0"/>
      </c:catAx>
      <c:valAx>
        <c:axId val="379297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29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'UTI 2'!$A$76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'UTI 2'!$B$3:$M$3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'UTI 2'!$B$76:$M$76</c:f>
            </c:numRef>
          </c:val>
          <c:smooth val="0"/>
        </c:ser>
        <c:ser>
          <c:idx val="0"/>
          <c:order val="1"/>
          <c:tx>
            <c:strRef>
              <c:f>'[1]UTI 2'!$A$76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'[1]UTI 2'!$B$3:$M$3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'[1]UTI 2'!$B$76:$M$76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8472"/>
        <c:axId val="407474160"/>
      </c:lineChart>
      <c:catAx>
        <c:axId val="40747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4160"/>
        <c:crosses val="autoZero"/>
        <c:auto val="1"/>
        <c:lblAlgn val="ctr"/>
        <c:lblOffset val="100"/>
        <c:noMultiLvlLbl val="0"/>
      </c:catAx>
      <c:valAx>
        <c:axId val="407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8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Alaris!$A$8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Alaris!$B$3:$M$3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Alaris!$B$8:$M$8</c:f>
              <c:numCache>
                <c:formatCode>General</c:formatCode>
                <c:ptCount val="12"/>
                <c:pt idx="0">
                  <c:v>10.818</c:v>
                </c:pt>
                <c:pt idx="1">
                  <c:v>11.124000000000001</c:v>
                </c:pt>
                <c:pt idx="2">
                  <c:v>11.664999999999999</c:v>
                </c:pt>
                <c:pt idx="3">
                  <c:v>8.7810000000000006</c:v>
                </c:pt>
                <c:pt idx="4">
                  <c:v>10.188000000000001</c:v>
                </c:pt>
                <c:pt idx="5">
                  <c:v>11.006</c:v>
                </c:pt>
                <c:pt idx="6">
                  <c:v>10.686999999999999</c:v>
                </c:pt>
                <c:pt idx="7">
                  <c:v>11.238</c:v>
                </c:pt>
                <c:pt idx="8">
                  <c:v>10.962999999999999</c:v>
                </c:pt>
                <c:pt idx="9">
                  <c:v>12.432</c:v>
                </c:pt>
                <c:pt idx="10">
                  <c:v>13.103999999999999</c:v>
                </c:pt>
                <c:pt idx="11">
                  <c:v>9.4969999999999999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Alaris!$A$11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Alaris!$B$3:$M$3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Alaris!$B$11:$M$11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4.234</c:v>
                </c:pt>
                <c:pt idx="2">
                  <c:v>3.91</c:v>
                </c:pt>
                <c:pt idx="3">
                  <c:v>3.161</c:v>
                </c:pt>
                <c:pt idx="4">
                  <c:v>4.3339999999999996</c:v>
                </c:pt>
                <c:pt idx="5">
                  <c:v>4.9729999999999999</c:v>
                </c:pt>
                <c:pt idx="6">
                  <c:v>5.26</c:v>
                </c:pt>
                <c:pt idx="7">
                  <c:v>5.1689999999999996</c:v>
                </c:pt>
                <c:pt idx="8">
                  <c:v>4.0410000000000004</c:v>
                </c:pt>
                <c:pt idx="9">
                  <c:v>4.931</c:v>
                </c:pt>
                <c:pt idx="10">
                  <c:v>4.8140000000000001</c:v>
                </c:pt>
                <c:pt idx="11">
                  <c:v>3.71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Alaris!$A$14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Alaris!$B$3:$M$3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Alaris!$B$14:$M$14</c:f>
              <c:numCache>
                <c:formatCode>General</c:formatCode>
                <c:ptCount val="12"/>
                <c:pt idx="0">
                  <c:v>4.3460000000000001</c:v>
                </c:pt>
                <c:pt idx="1">
                  <c:v>4.01</c:v>
                </c:pt>
                <c:pt idx="2">
                  <c:v>4.8899999999999997</c:v>
                </c:pt>
                <c:pt idx="3">
                  <c:v>4.6479999999999997</c:v>
                </c:pt>
                <c:pt idx="4">
                  <c:v>3.7120000000000002</c:v>
                </c:pt>
                <c:pt idx="5">
                  <c:v>4.2380000000000004</c:v>
                </c:pt>
                <c:pt idx="6">
                  <c:v>4.6879999999999997</c:v>
                </c:pt>
                <c:pt idx="7">
                  <c:v>4.3120000000000003</c:v>
                </c:pt>
                <c:pt idx="8">
                  <c:v>5.3559999999999999</c:v>
                </c:pt>
                <c:pt idx="9">
                  <c:v>5.4039999999999999</c:v>
                </c:pt>
                <c:pt idx="10">
                  <c:v>5.7649999999999997</c:v>
                </c:pt>
                <c:pt idx="11">
                  <c:v>5.4059999999999997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Alaris!$A$22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Alaris!$B$22:$M$22</c:f>
              <c:numCache>
                <c:formatCode>General</c:formatCode>
                <c:ptCount val="12"/>
                <c:pt idx="0">
                  <c:v>18.994999999999997</c:v>
                </c:pt>
                <c:pt idx="1">
                  <c:v>19.368000000000002</c:v>
                </c:pt>
                <c:pt idx="2">
                  <c:v>20.465</c:v>
                </c:pt>
                <c:pt idx="3">
                  <c:v>16.59</c:v>
                </c:pt>
                <c:pt idx="4">
                  <c:v>18.234000000000002</c:v>
                </c:pt>
                <c:pt idx="5">
                  <c:v>20.216999999999999</c:v>
                </c:pt>
                <c:pt idx="6">
                  <c:v>20.634999999999998</c:v>
                </c:pt>
                <c:pt idx="7">
                  <c:v>20.719000000000001</c:v>
                </c:pt>
                <c:pt idx="8">
                  <c:v>20.36</c:v>
                </c:pt>
                <c:pt idx="9">
                  <c:v>22.766999999999999</c:v>
                </c:pt>
                <c:pt idx="10">
                  <c:v>23.683</c:v>
                </c:pt>
                <c:pt idx="11">
                  <c:v>18.613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5336"/>
        <c:axId val="4074757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Alaris!$A$5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Alaris!$B$3:$M$3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Alaris!$B$5:$M$5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87.35</c:v>
                      </c:pt>
                      <c:pt idx="1">
                        <c:v>91.81</c:v>
                      </c:pt>
                      <c:pt idx="2">
                        <c:v>82.27</c:v>
                      </c:pt>
                      <c:pt idx="3">
                        <c:v>80.23</c:v>
                      </c:pt>
                      <c:pt idx="4">
                        <c:v>83.8</c:v>
                      </c:pt>
                      <c:pt idx="5">
                        <c:v>91.86</c:v>
                      </c:pt>
                      <c:pt idx="6">
                        <c:v>97.53</c:v>
                      </c:pt>
                      <c:pt idx="7">
                        <c:v>96.86</c:v>
                      </c:pt>
                      <c:pt idx="8">
                        <c:v>80.53</c:v>
                      </c:pt>
                      <c:pt idx="9">
                        <c:v>89.7</c:v>
                      </c:pt>
                      <c:pt idx="10">
                        <c:v>92.79</c:v>
                      </c:pt>
                      <c:pt idx="11">
                        <c:v>87.83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47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5728"/>
        <c:crosses val="autoZero"/>
        <c:auto val="1"/>
        <c:lblAlgn val="ctr"/>
        <c:lblOffset val="100"/>
        <c:noMultiLvlLbl val="0"/>
      </c:catAx>
      <c:valAx>
        <c:axId val="407475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5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Alaris!$A$76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Alaris!$B$3:$M$3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Alaris!$B$76:$M$76</c:f>
            </c:numRef>
          </c:val>
          <c:smooth val="0"/>
        </c:ser>
        <c:ser>
          <c:idx val="0"/>
          <c:order val="1"/>
          <c:tx>
            <c:strRef>
              <c:f>[1]Alaris!$A$76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[1]Alaris!$B$3:$M$3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[1]Alaris!$B$76:$M$76</c:f>
              <c:numCache>
                <c:formatCode>General</c:formatCode>
                <c:ptCount val="12"/>
                <c:pt idx="0">
                  <c:v>103.40021869874249</c:v>
                </c:pt>
                <c:pt idx="1">
                  <c:v>112.30016402405685</c:v>
                </c:pt>
                <c:pt idx="2">
                  <c:v>114.20010934937123</c:v>
                </c:pt>
                <c:pt idx="3">
                  <c:v>108</c:v>
                </c:pt>
                <c:pt idx="4">
                  <c:v>102</c:v>
                </c:pt>
                <c:pt idx="5">
                  <c:v>130.69983597594313</c:v>
                </c:pt>
                <c:pt idx="6">
                  <c:v>132.19990079365078</c:v>
                </c:pt>
                <c:pt idx="7">
                  <c:v>137.30009920634919</c:v>
                </c:pt>
                <c:pt idx="8">
                  <c:v>145.5</c:v>
                </c:pt>
                <c:pt idx="9">
                  <c:v>127.8000992063492</c:v>
                </c:pt>
                <c:pt idx="10">
                  <c:v>95.334821428571431</c:v>
                </c:pt>
                <c:pt idx="11">
                  <c:v>154.69990079365078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7296"/>
        <c:axId val="407471024"/>
      </c:lineChart>
      <c:catAx>
        <c:axId val="4074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1024"/>
        <c:crosses val="autoZero"/>
        <c:auto val="1"/>
        <c:lblAlgn val="ctr"/>
        <c:lblOffset val="100"/>
        <c:noMultiLvlLbl val="0"/>
      </c:catAx>
      <c:valAx>
        <c:axId val="4074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'Elliot Mobility 2 Travertine'!$A$8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'Elliot Mobility 2 Travertine'!$B$3:$M$3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'Elliot Mobility 2 Travertine'!$B$8:$M$8</c:f>
              <c:numCache>
                <c:formatCode>General</c:formatCode>
                <c:ptCount val="12"/>
                <c:pt idx="0">
                  <c:v>9.0570000000000004</c:v>
                </c:pt>
                <c:pt idx="1">
                  <c:v>8.766</c:v>
                </c:pt>
                <c:pt idx="2">
                  <c:v>8.6300000000000008</c:v>
                </c:pt>
                <c:pt idx="3">
                  <c:v>7.1180000000000003</c:v>
                </c:pt>
                <c:pt idx="4">
                  <c:v>8.7720000000000002</c:v>
                </c:pt>
                <c:pt idx="5">
                  <c:v>9.0419999999999998</c:v>
                </c:pt>
                <c:pt idx="6">
                  <c:v>8.5739999999999998</c:v>
                </c:pt>
                <c:pt idx="7">
                  <c:v>8.6760000000000002</c:v>
                </c:pt>
                <c:pt idx="8">
                  <c:v>7.7140000000000004</c:v>
                </c:pt>
                <c:pt idx="9">
                  <c:v>7.8710000000000004</c:v>
                </c:pt>
                <c:pt idx="10">
                  <c:v>8.9890000000000008</c:v>
                </c:pt>
                <c:pt idx="11">
                  <c:v>7.7560000000000002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'Elliot Mobility 2 Travertine'!$A$11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'Elliot Mobility 2 Travertine'!$B$3:$M$3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'Elliot Mobility 2 Travertine'!$B$11:$M$11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3.4239999999999999</c:v>
                </c:pt>
                <c:pt idx="2">
                  <c:v>3.91</c:v>
                </c:pt>
                <c:pt idx="3">
                  <c:v>2.6059999999999999</c:v>
                </c:pt>
                <c:pt idx="4">
                  <c:v>3.5089999999999999</c:v>
                </c:pt>
                <c:pt idx="5">
                  <c:v>3.8849999999999998</c:v>
                </c:pt>
                <c:pt idx="6">
                  <c:v>4.1420000000000003</c:v>
                </c:pt>
                <c:pt idx="7">
                  <c:v>3.9079999999999999</c:v>
                </c:pt>
                <c:pt idx="8">
                  <c:v>2.976</c:v>
                </c:pt>
                <c:pt idx="9">
                  <c:v>3.14</c:v>
                </c:pt>
                <c:pt idx="10">
                  <c:v>3.4820000000000002</c:v>
                </c:pt>
                <c:pt idx="11">
                  <c:v>3.056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'Elliot Mobility 2 Travertine'!$A$14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'Elliot Mobility 2 Travertine'!$B$3:$M$3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'Elliot Mobility 2 Travertine'!$B$14:$M$14</c:f>
              <c:numCache>
                <c:formatCode>General</c:formatCode>
                <c:ptCount val="12"/>
                <c:pt idx="0">
                  <c:v>7.1029999999999998</c:v>
                </c:pt>
                <c:pt idx="1">
                  <c:v>5.8440000000000003</c:v>
                </c:pt>
                <c:pt idx="2">
                  <c:v>5.9560000000000004</c:v>
                </c:pt>
                <c:pt idx="3">
                  <c:v>6.3680000000000003</c:v>
                </c:pt>
                <c:pt idx="4">
                  <c:v>6.351</c:v>
                </c:pt>
                <c:pt idx="5">
                  <c:v>6.2910000000000004</c:v>
                </c:pt>
                <c:pt idx="6">
                  <c:v>7.875</c:v>
                </c:pt>
                <c:pt idx="7">
                  <c:v>6.8479999999999999</c:v>
                </c:pt>
                <c:pt idx="8">
                  <c:v>6.7380000000000004</c:v>
                </c:pt>
                <c:pt idx="9">
                  <c:v>6.8650000000000002</c:v>
                </c:pt>
                <c:pt idx="10">
                  <c:v>6.7039999999999997</c:v>
                </c:pt>
                <c:pt idx="11">
                  <c:v>8.2550000000000008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'Elliot Mobility 2 Travertine'!$A$22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'Elliot Mobility 2 Travertine'!$B$22:$M$22</c:f>
              <c:numCache>
                <c:formatCode>General</c:formatCode>
                <c:ptCount val="12"/>
                <c:pt idx="0">
                  <c:v>19.991</c:v>
                </c:pt>
                <c:pt idx="1">
                  <c:v>18.033999999999999</c:v>
                </c:pt>
                <c:pt idx="2">
                  <c:v>18.496000000000002</c:v>
                </c:pt>
                <c:pt idx="3">
                  <c:v>16.091999999999999</c:v>
                </c:pt>
                <c:pt idx="4">
                  <c:v>18.632000000000001</c:v>
                </c:pt>
                <c:pt idx="5">
                  <c:v>19.218</c:v>
                </c:pt>
                <c:pt idx="6">
                  <c:v>20.591000000000001</c:v>
                </c:pt>
                <c:pt idx="7">
                  <c:v>19.431999999999999</c:v>
                </c:pt>
                <c:pt idx="8">
                  <c:v>17.428000000000001</c:v>
                </c:pt>
                <c:pt idx="9">
                  <c:v>17.876000000000001</c:v>
                </c:pt>
                <c:pt idx="10">
                  <c:v>19.175000000000001</c:v>
                </c:pt>
                <c:pt idx="11">
                  <c:v>19.067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4944"/>
        <c:axId val="407476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'Elliot Mobility 2 Travertine'!$A$5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'Elliot Mobility 2 Travertine'!$B$3:$M$3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'Elliot Mobility 2 Travertine'!$B$5:$M$5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59.43</c:v>
                      </c:pt>
                      <c:pt idx="1">
                        <c:v>62.92</c:v>
                      </c:pt>
                      <c:pt idx="2">
                        <c:v>50.51</c:v>
                      </c:pt>
                      <c:pt idx="3">
                        <c:v>52.08</c:v>
                      </c:pt>
                      <c:pt idx="4">
                        <c:v>58.81</c:v>
                      </c:pt>
                      <c:pt idx="5">
                        <c:v>63.58</c:v>
                      </c:pt>
                      <c:pt idx="6">
                        <c:v>56.8</c:v>
                      </c:pt>
                      <c:pt idx="7">
                        <c:v>58.34</c:v>
                      </c:pt>
                      <c:pt idx="8">
                        <c:v>45.16</c:v>
                      </c:pt>
                      <c:pt idx="9">
                        <c:v>46.4</c:v>
                      </c:pt>
                      <c:pt idx="10">
                        <c:v>53.39</c:v>
                      </c:pt>
                      <c:pt idx="11">
                        <c:v>53.2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4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6120"/>
        <c:crosses val="autoZero"/>
        <c:auto val="1"/>
        <c:lblAlgn val="ctr"/>
        <c:lblOffset val="100"/>
        <c:noMultiLvlLbl val="0"/>
      </c:catAx>
      <c:valAx>
        <c:axId val="407476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'Elliot Mobility 2 Travertine'!$A$76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'Elliot Mobility 2 Travertine'!$B$3:$M$3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'Elliot Mobility 2 Travertine'!$B$76:$M$76</c:f>
            </c:numRef>
          </c:val>
          <c:smooth val="0"/>
        </c:ser>
        <c:ser>
          <c:idx val="0"/>
          <c:order val="1"/>
          <c:tx>
            <c:strRef>
              <c:f>'[1]Elliot Mobility 2 Travertine'!$A$76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'[1]Elliot Mobility 2 Travertine'!$B$3:$M$3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'[1]Elliot Mobility 2 Travertine'!$B$76:$M$76</c:f>
              <c:numCache>
                <c:formatCode>General</c:formatCode>
                <c:ptCount val="12"/>
                <c:pt idx="0">
                  <c:v>566.59978130125762</c:v>
                </c:pt>
                <c:pt idx="1">
                  <c:v>495</c:v>
                </c:pt>
                <c:pt idx="2">
                  <c:v>548.69983597594307</c:v>
                </c:pt>
                <c:pt idx="3">
                  <c:v>530.20010934937125</c:v>
                </c:pt>
                <c:pt idx="4">
                  <c:v>596.41224712957899</c:v>
                </c:pt>
                <c:pt idx="5">
                  <c:v>471.40021869874249</c:v>
                </c:pt>
                <c:pt idx="6">
                  <c:v>340.30009920634922</c:v>
                </c:pt>
                <c:pt idx="7">
                  <c:v>305.30009920634922</c:v>
                </c:pt>
                <c:pt idx="8">
                  <c:v>306.19990079365078</c:v>
                </c:pt>
                <c:pt idx="9">
                  <c:v>363.30009920634922</c:v>
                </c:pt>
                <c:pt idx="10">
                  <c:v>406.50000000000006</c:v>
                </c:pt>
                <c:pt idx="11">
                  <c:v>854.39980158730157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77688"/>
        <c:axId val="407476904"/>
      </c:lineChart>
      <c:catAx>
        <c:axId val="40747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6904"/>
        <c:crosses val="autoZero"/>
        <c:auto val="1"/>
        <c:lblAlgn val="ctr"/>
        <c:lblOffset val="100"/>
        <c:noMultiLvlLbl val="0"/>
      </c:catAx>
      <c:valAx>
        <c:axId val="40747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77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Shoprite!$A$8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Shoprite!$B$3:$M$3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Shoprite!$B$8:$M$8</c:f>
              <c:numCache>
                <c:formatCode>General</c:formatCode>
                <c:ptCount val="12"/>
                <c:pt idx="0">
                  <c:v>34.621000000000002</c:v>
                </c:pt>
                <c:pt idx="1">
                  <c:v>34.085000000000001</c:v>
                </c:pt>
                <c:pt idx="2">
                  <c:v>37.237000000000002</c:v>
                </c:pt>
                <c:pt idx="3">
                  <c:v>29.44</c:v>
                </c:pt>
                <c:pt idx="4">
                  <c:v>34.268000000000001</c:v>
                </c:pt>
                <c:pt idx="5">
                  <c:v>33.479999999999997</c:v>
                </c:pt>
                <c:pt idx="6">
                  <c:v>35.880000000000003</c:v>
                </c:pt>
                <c:pt idx="7">
                  <c:v>39.005000000000003</c:v>
                </c:pt>
                <c:pt idx="8">
                  <c:v>36.316000000000003</c:v>
                </c:pt>
                <c:pt idx="9">
                  <c:v>35.936</c:v>
                </c:pt>
                <c:pt idx="10">
                  <c:v>34.158999999999999</c:v>
                </c:pt>
                <c:pt idx="11">
                  <c:v>32.597000000000001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Shoprite!$A$11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Shoprite!$B$3:$M$3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Shoprite!$B$11:$M$11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13.916</c:v>
                </c:pt>
                <c:pt idx="2">
                  <c:v>3.91</c:v>
                </c:pt>
                <c:pt idx="3">
                  <c:v>11.250999999999999</c:v>
                </c:pt>
                <c:pt idx="4">
                  <c:v>14.11</c:v>
                </c:pt>
                <c:pt idx="5">
                  <c:v>12.663</c:v>
                </c:pt>
                <c:pt idx="6">
                  <c:v>13.601000000000001</c:v>
                </c:pt>
                <c:pt idx="7">
                  <c:v>14.986000000000001</c:v>
                </c:pt>
                <c:pt idx="8">
                  <c:v>13.914999999999999</c:v>
                </c:pt>
                <c:pt idx="9">
                  <c:v>14.83</c:v>
                </c:pt>
                <c:pt idx="10">
                  <c:v>13.302</c:v>
                </c:pt>
                <c:pt idx="11">
                  <c:v>12.523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Shoprite!$A$14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Shoprite!$B$3:$M$3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Shoprite!$B$14:$M$14</c:f>
              <c:numCache>
                <c:formatCode>General</c:formatCode>
                <c:ptCount val="12"/>
                <c:pt idx="0">
                  <c:v>33.262999999999998</c:v>
                </c:pt>
                <c:pt idx="1">
                  <c:v>32.137999999999998</c:v>
                </c:pt>
                <c:pt idx="2">
                  <c:v>35.86</c:v>
                </c:pt>
                <c:pt idx="3">
                  <c:v>36.737000000000002</c:v>
                </c:pt>
                <c:pt idx="4">
                  <c:v>28.754999999999999</c:v>
                </c:pt>
                <c:pt idx="5">
                  <c:v>24.734999999999999</c:v>
                </c:pt>
                <c:pt idx="6">
                  <c:v>29.693000000000001</c:v>
                </c:pt>
                <c:pt idx="7">
                  <c:v>30.300999999999998</c:v>
                </c:pt>
                <c:pt idx="8">
                  <c:v>30.079000000000001</c:v>
                </c:pt>
                <c:pt idx="9">
                  <c:v>30.292000000000002</c:v>
                </c:pt>
                <c:pt idx="10">
                  <c:v>29.669</c:v>
                </c:pt>
                <c:pt idx="11">
                  <c:v>34.731000000000002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Shoprite!$A$22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Shoprite!$B$22:$M$22</c:f>
              <c:numCache>
                <c:formatCode>General</c:formatCode>
                <c:ptCount val="12"/>
                <c:pt idx="0">
                  <c:v>71.715000000000003</c:v>
                </c:pt>
                <c:pt idx="1">
                  <c:v>80.13900000000001</c:v>
                </c:pt>
                <c:pt idx="2">
                  <c:v>77.007000000000005</c:v>
                </c:pt>
                <c:pt idx="3">
                  <c:v>77.427999999999997</c:v>
                </c:pt>
                <c:pt idx="4">
                  <c:v>77.132999999999996</c:v>
                </c:pt>
                <c:pt idx="5">
                  <c:v>70.878</c:v>
                </c:pt>
                <c:pt idx="6">
                  <c:v>79.174000000000007</c:v>
                </c:pt>
                <c:pt idx="7">
                  <c:v>84.292000000000002</c:v>
                </c:pt>
                <c:pt idx="8">
                  <c:v>80.31</c:v>
                </c:pt>
                <c:pt idx="9">
                  <c:v>81.057999999999993</c:v>
                </c:pt>
                <c:pt idx="10">
                  <c:v>77.13</c:v>
                </c:pt>
                <c:pt idx="11">
                  <c:v>79.850999999999999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98344"/>
        <c:axId val="4078920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Shoprite!$A$5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Shoprite!$B$3:$M$3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Shoprite!$B$5:$M$5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199.12</c:v>
                      </c:pt>
                      <c:pt idx="1">
                        <c:v>198.67</c:v>
                      </c:pt>
                      <c:pt idx="2">
                        <c:v>188.03</c:v>
                      </c:pt>
                      <c:pt idx="3">
                        <c:v>185.9</c:v>
                      </c:pt>
                      <c:pt idx="4">
                        <c:v>189.62</c:v>
                      </c:pt>
                      <c:pt idx="5">
                        <c:v>178.38</c:v>
                      </c:pt>
                      <c:pt idx="6">
                        <c:v>190.3</c:v>
                      </c:pt>
                      <c:pt idx="7">
                        <c:v>186.03</c:v>
                      </c:pt>
                      <c:pt idx="8">
                        <c:v>187.43</c:v>
                      </c:pt>
                      <c:pt idx="9">
                        <c:v>191.8</c:v>
                      </c:pt>
                      <c:pt idx="10">
                        <c:v>183.65</c:v>
                      </c:pt>
                      <c:pt idx="11">
                        <c:v>187.14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8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2072"/>
        <c:crosses val="autoZero"/>
        <c:auto val="1"/>
        <c:lblAlgn val="ctr"/>
        <c:lblOffset val="100"/>
        <c:noMultiLvlLbl val="0"/>
      </c:catAx>
      <c:valAx>
        <c:axId val="407892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8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Shoprite!$A$76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Shoprite!$B$3:$M$3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Shoprite!$B$76:$M$76</c:f>
            </c:numRef>
          </c:val>
          <c:smooth val="0"/>
        </c:ser>
        <c:ser>
          <c:idx val="0"/>
          <c:order val="1"/>
          <c:tx>
            <c:strRef>
              <c:f>[1]Shoprite!$A$76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[1]Shoprite!$B$3:$M$3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[1]Shoprite!$B$76:$M$76</c:f>
              <c:numCache>
                <c:formatCode>General</c:formatCode>
                <c:ptCount val="12"/>
                <c:pt idx="0">
                  <c:v>157.30016402405687</c:v>
                </c:pt>
                <c:pt idx="1">
                  <c:v>211</c:v>
                </c:pt>
                <c:pt idx="2">
                  <c:v>230.50027337342814</c:v>
                </c:pt>
                <c:pt idx="3">
                  <c:v>204</c:v>
                </c:pt>
                <c:pt idx="4">
                  <c:v>131</c:v>
                </c:pt>
                <c:pt idx="5">
                  <c:v>136.59978130125751</c:v>
                </c:pt>
                <c:pt idx="6">
                  <c:v>226.10019841269843</c:v>
                </c:pt>
                <c:pt idx="7">
                  <c:v>319.89980158730162</c:v>
                </c:pt>
                <c:pt idx="8">
                  <c:v>230.5</c:v>
                </c:pt>
                <c:pt idx="9">
                  <c:v>207.69990079365078</c:v>
                </c:pt>
                <c:pt idx="10">
                  <c:v>132.8998015873016</c:v>
                </c:pt>
                <c:pt idx="11">
                  <c:v>200.69990079365081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94032"/>
        <c:axId val="407893248"/>
      </c:lineChart>
      <c:catAx>
        <c:axId val="4078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3248"/>
        <c:crosses val="autoZero"/>
        <c:auto val="1"/>
        <c:lblAlgn val="ctr"/>
        <c:lblOffset val="100"/>
        <c:noMultiLvlLbl val="0"/>
      </c:catAx>
      <c:valAx>
        <c:axId val="407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Mazda!$A$8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Mazda!$B$3:$M$3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Mazda!$B$8:$M$8</c:f>
              <c:numCache>
                <c:formatCode>General</c:formatCode>
                <c:ptCount val="12"/>
                <c:pt idx="0">
                  <c:v>13.722</c:v>
                </c:pt>
                <c:pt idx="1">
                  <c:v>14.14</c:v>
                </c:pt>
                <c:pt idx="2">
                  <c:v>16.492000000000001</c:v>
                </c:pt>
                <c:pt idx="3">
                  <c:v>11.097</c:v>
                </c:pt>
                <c:pt idx="4">
                  <c:v>12.741</c:v>
                </c:pt>
                <c:pt idx="5">
                  <c:v>12.474</c:v>
                </c:pt>
                <c:pt idx="6">
                  <c:v>12.189</c:v>
                </c:pt>
                <c:pt idx="7">
                  <c:v>13.111000000000001</c:v>
                </c:pt>
                <c:pt idx="8">
                  <c:v>13.132</c:v>
                </c:pt>
                <c:pt idx="9">
                  <c:v>13.247999999999999</c:v>
                </c:pt>
                <c:pt idx="10">
                  <c:v>14.134</c:v>
                </c:pt>
                <c:pt idx="11">
                  <c:v>11.125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Mazda!$A$11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Mazda!$B$3:$M$3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Mazda!$B$11:$M$11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5.16</c:v>
                </c:pt>
                <c:pt idx="2">
                  <c:v>3.91</c:v>
                </c:pt>
                <c:pt idx="3">
                  <c:v>3.8690000000000002</c:v>
                </c:pt>
                <c:pt idx="4">
                  <c:v>4.6890000000000001</c:v>
                </c:pt>
                <c:pt idx="5">
                  <c:v>4.7889999999999997</c:v>
                </c:pt>
                <c:pt idx="6">
                  <c:v>4.9189999999999996</c:v>
                </c:pt>
                <c:pt idx="7">
                  <c:v>5.2789999999999999</c:v>
                </c:pt>
                <c:pt idx="8">
                  <c:v>4.8360000000000003</c:v>
                </c:pt>
                <c:pt idx="9">
                  <c:v>5.0330000000000004</c:v>
                </c:pt>
                <c:pt idx="10">
                  <c:v>4.992</c:v>
                </c:pt>
                <c:pt idx="11">
                  <c:v>4.1829999999999998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Mazda!$A$14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Mazda!$B$3:$M$3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Mazda!$B$14:$M$14</c:f>
              <c:numCache>
                <c:formatCode>General</c:formatCode>
                <c:ptCount val="12"/>
                <c:pt idx="0">
                  <c:v>3.1960000000000002</c:v>
                </c:pt>
                <c:pt idx="1">
                  <c:v>2.9119999999999999</c:v>
                </c:pt>
                <c:pt idx="2">
                  <c:v>4.3090000000000002</c:v>
                </c:pt>
                <c:pt idx="3">
                  <c:v>3.2509999999999999</c:v>
                </c:pt>
                <c:pt idx="4">
                  <c:v>2.6160000000000001</c:v>
                </c:pt>
                <c:pt idx="5">
                  <c:v>2.714</c:v>
                </c:pt>
                <c:pt idx="6">
                  <c:v>3.1259999999999999</c:v>
                </c:pt>
                <c:pt idx="7">
                  <c:v>2.9729999999999999</c:v>
                </c:pt>
                <c:pt idx="8">
                  <c:v>3.6379999999999999</c:v>
                </c:pt>
                <c:pt idx="9">
                  <c:v>2.9239999999999999</c:v>
                </c:pt>
                <c:pt idx="10">
                  <c:v>3.0939999999999999</c:v>
                </c:pt>
                <c:pt idx="11">
                  <c:v>3.5209999999999999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Mazda!$A$22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Mazda!$B$22:$M$22</c:f>
              <c:numCache>
                <c:formatCode>General</c:formatCode>
                <c:ptCount val="12"/>
                <c:pt idx="0">
                  <c:v>20.749000000000002</c:v>
                </c:pt>
                <c:pt idx="1">
                  <c:v>22.212</c:v>
                </c:pt>
                <c:pt idx="2">
                  <c:v>24.711000000000002</c:v>
                </c:pt>
                <c:pt idx="3">
                  <c:v>18.216999999999999</c:v>
                </c:pt>
                <c:pt idx="4">
                  <c:v>20.045999999999999</c:v>
                </c:pt>
                <c:pt idx="5">
                  <c:v>19.976999999999997</c:v>
                </c:pt>
                <c:pt idx="6">
                  <c:v>20.234000000000002</c:v>
                </c:pt>
                <c:pt idx="7">
                  <c:v>21.363</c:v>
                </c:pt>
                <c:pt idx="8">
                  <c:v>21.606000000000002</c:v>
                </c:pt>
                <c:pt idx="9">
                  <c:v>21.204999999999998</c:v>
                </c:pt>
                <c:pt idx="10">
                  <c:v>22.220000000000002</c:v>
                </c:pt>
                <c:pt idx="11">
                  <c:v>18.829000000000001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95208"/>
        <c:axId val="407895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Mazda!$A$5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Mazda!$B$3:$M$3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Mazda!$B$5:$M$5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95.37</c:v>
                      </c:pt>
                      <c:pt idx="1">
                        <c:v>93.7</c:v>
                      </c:pt>
                      <c:pt idx="2">
                        <c:v>94.14</c:v>
                      </c:pt>
                      <c:pt idx="3">
                        <c:v>95.2</c:v>
                      </c:pt>
                      <c:pt idx="4">
                        <c:v>81.540000000000006</c:v>
                      </c:pt>
                      <c:pt idx="5">
                        <c:v>81.900000000000006</c:v>
                      </c:pt>
                      <c:pt idx="6">
                        <c:v>80.849999999999994</c:v>
                      </c:pt>
                      <c:pt idx="7">
                        <c:v>80.67</c:v>
                      </c:pt>
                      <c:pt idx="8">
                        <c:v>87.48</c:v>
                      </c:pt>
                      <c:pt idx="9">
                        <c:v>83.54</c:v>
                      </c:pt>
                      <c:pt idx="10">
                        <c:v>86.8</c:v>
                      </c:pt>
                      <c:pt idx="11">
                        <c:v>98.27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89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5600"/>
        <c:crosses val="autoZero"/>
        <c:auto val="1"/>
        <c:lblAlgn val="ctr"/>
        <c:lblOffset val="100"/>
        <c:noMultiLvlLbl val="0"/>
      </c:catAx>
      <c:valAx>
        <c:axId val="40789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5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'Eli-Lilly'!$A$8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'Eli-Lilly'!$B$8:$M$8</c:f>
              <c:numCache>
                <c:formatCode>General</c:formatCode>
                <c:ptCount val="12"/>
                <c:pt idx="0">
                  <c:v>10.849</c:v>
                </c:pt>
                <c:pt idx="1">
                  <c:v>10.439</c:v>
                </c:pt>
                <c:pt idx="2">
                  <c:v>11.374000000000001</c:v>
                </c:pt>
                <c:pt idx="3">
                  <c:v>6.883</c:v>
                </c:pt>
                <c:pt idx="4">
                  <c:v>7.1859999999999999</c:v>
                </c:pt>
                <c:pt idx="5">
                  <c:v>6.5259999999999998</c:v>
                </c:pt>
                <c:pt idx="6">
                  <c:v>6.3810000000000002</c:v>
                </c:pt>
                <c:pt idx="7">
                  <c:v>7.1619999999999999</c:v>
                </c:pt>
                <c:pt idx="8">
                  <c:v>9.4130000000000003</c:v>
                </c:pt>
                <c:pt idx="9">
                  <c:v>8.8130000000000006</c:v>
                </c:pt>
                <c:pt idx="10">
                  <c:v>10.315</c:v>
                </c:pt>
                <c:pt idx="11">
                  <c:v>8.6479999999999997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'Eli-Lilly'!$A$11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3.91</c:v>
                </c:pt>
                <c:pt idx="2">
                  <c:v>3.91</c:v>
                </c:pt>
                <c:pt idx="3">
                  <c:v>2.3820000000000001</c:v>
                </c:pt>
                <c:pt idx="4">
                  <c:v>2.585</c:v>
                </c:pt>
                <c:pt idx="5">
                  <c:v>2.4780000000000002</c:v>
                </c:pt>
                <c:pt idx="6">
                  <c:v>2.577</c:v>
                </c:pt>
                <c:pt idx="7">
                  <c:v>2.7509999999999999</c:v>
                </c:pt>
                <c:pt idx="8">
                  <c:v>3.13</c:v>
                </c:pt>
                <c:pt idx="9">
                  <c:v>3.1720000000000002</c:v>
                </c:pt>
                <c:pt idx="10">
                  <c:v>3.6160000000000001</c:v>
                </c:pt>
                <c:pt idx="11">
                  <c:v>3.0070000000000001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'Eli-Lilly'!$A$14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'Eli-Lilly'!$B$14:$M$14</c:f>
              <c:numCache>
                <c:formatCode>General</c:formatCode>
                <c:ptCount val="12"/>
                <c:pt idx="0">
                  <c:v>8.8789999999999996</c:v>
                </c:pt>
                <c:pt idx="1">
                  <c:v>8.0809999999999995</c:v>
                </c:pt>
                <c:pt idx="2">
                  <c:v>7.4489999999999998</c:v>
                </c:pt>
                <c:pt idx="3">
                  <c:v>5.7050000000000001</c:v>
                </c:pt>
                <c:pt idx="4">
                  <c:v>3.944</c:v>
                </c:pt>
                <c:pt idx="5">
                  <c:v>3.2389999999999999</c:v>
                </c:pt>
                <c:pt idx="6">
                  <c:v>4.0209999999999999</c:v>
                </c:pt>
                <c:pt idx="7">
                  <c:v>3.806</c:v>
                </c:pt>
                <c:pt idx="8">
                  <c:v>6.1950000000000003</c:v>
                </c:pt>
                <c:pt idx="9">
                  <c:v>5.516</c:v>
                </c:pt>
                <c:pt idx="10">
                  <c:v>5.8869999999999996</c:v>
                </c:pt>
                <c:pt idx="11">
                  <c:v>8.9719999999999995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'Eli-Lilly'!$A$22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'Eli-Lilly'!$B$22:$M$22</c:f>
              <c:numCache>
                <c:formatCode>General</c:formatCode>
                <c:ptCount val="12"/>
                <c:pt idx="0">
                  <c:v>23.558999999999997</c:v>
                </c:pt>
                <c:pt idx="1">
                  <c:v>22.43</c:v>
                </c:pt>
                <c:pt idx="2">
                  <c:v>22.733000000000001</c:v>
                </c:pt>
                <c:pt idx="3">
                  <c:v>14.97</c:v>
                </c:pt>
                <c:pt idx="4">
                  <c:v>13.715</c:v>
                </c:pt>
                <c:pt idx="5">
                  <c:v>12.242999999999999</c:v>
                </c:pt>
                <c:pt idx="6">
                  <c:v>12.978999999999999</c:v>
                </c:pt>
                <c:pt idx="7">
                  <c:v>13.719000000000001</c:v>
                </c:pt>
                <c:pt idx="8">
                  <c:v>18.738</c:v>
                </c:pt>
                <c:pt idx="9">
                  <c:v>17.501000000000001</c:v>
                </c:pt>
                <c:pt idx="10">
                  <c:v>19.817999999999998</c:v>
                </c:pt>
                <c:pt idx="11">
                  <c:v>20.626999999999999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03832"/>
        <c:axId val="378605792"/>
      </c:lineChart>
      <c:catAx>
        <c:axId val="37860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5792"/>
        <c:crosses val="autoZero"/>
        <c:auto val="1"/>
        <c:lblAlgn val="ctr"/>
        <c:lblOffset val="100"/>
        <c:noMultiLvlLbl val="0"/>
      </c:catAx>
      <c:valAx>
        <c:axId val="378605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3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Mazda!$A$76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Mazda!$B$3:$M$3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Mazda!$B$76:$M$76</c:f>
            </c:numRef>
          </c:val>
          <c:smooth val="0"/>
        </c:ser>
        <c:ser>
          <c:idx val="0"/>
          <c:order val="1"/>
          <c:tx>
            <c:strRef>
              <c:f>[1]Mazda!$A$76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[1]Mazda!$B$3:$M$3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[1]Mazda!$B$76:$M$76</c:f>
              <c:numCache>
                <c:formatCode>General</c:formatCode>
                <c:ptCount val="12"/>
                <c:pt idx="0">
                  <c:v>64.96719518862767</c:v>
                </c:pt>
                <c:pt idx="1">
                  <c:v>65.500273373428101</c:v>
                </c:pt>
                <c:pt idx="2">
                  <c:v>75.599781301257522</c:v>
                </c:pt>
                <c:pt idx="3">
                  <c:v>62.200109349371246</c:v>
                </c:pt>
                <c:pt idx="4">
                  <c:v>9.0000000000000018</c:v>
                </c:pt>
                <c:pt idx="5">
                  <c:v>1.5002733734281029</c:v>
                </c:pt>
                <c:pt idx="6">
                  <c:v>136.69990079365078</c:v>
                </c:pt>
                <c:pt idx="7">
                  <c:v>111.1999007936508</c:v>
                </c:pt>
                <c:pt idx="8">
                  <c:v>125.99999999999999</c:v>
                </c:pt>
                <c:pt idx="9">
                  <c:v>113.30059523809523</c:v>
                </c:pt>
                <c:pt idx="10">
                  <c:v>132.19990079365078</c:v>
                </c:pt>
                <c:pt idx="11">
                  <c:v>241.80009920634919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96776"/>
        <c:axId val="407897168"/>
      </c:lineChart>
      <c:catAx>
        <c:axId val="4078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7168"/>
        <c:crosses val="autoZero"/>
        <c:auto val="1"/>
        <c:lblAlgn val="ctr"/>
        <c:lblOffset val="100"/>
        <c:noMultiLvlLbl val="0"/>
      </c:catAx>
      <c:valAx>
        <c:axId val="4078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6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'Elliot Mobility 5 Travertine'!$A$8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'Elliot Mobility 5 Travertine'!$B$3:$E$3</c:f>
              <c:strCache>
                <c:ptCount val="4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</c:strCache>
            </c:strRef>
          </c:cat>
          <c:val>
            <c:numRef>
              <c:f>'Elliot Mobility 5 Travertine'!$B$8:$E$8</c:f>
              <c:numCache>
                <c:formatCode>General</c:formatCode>
                <c:ptCount val="4"/>
                <c:pt idx="0">
                  <c:v>1.694</c:v>
                </c:pt>
                <c:pt idx="1">
                  <c:v>1.0389999999999999</c:v>
                </c:pt>
                <c:pt idx="2">
                  <c:v>5.9160000000000004</c:v>
                </c:pt>
                <c:pt idx="3">
                  <c:v>7.7949999999999999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'Elliot Mobility 5 Travertine'!$A$11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'Elliot Mobility 5 Travertine'!$B$3:$E$3</c:f>
              <c:strCache>
                <c:ptCount val="4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</c:strCache>
            </c:strRef>
          </c:cat>
          <c:val>
            <c:numRef>
              <c:f>'Elliot Mobility 5 Travertine'!$B$11:$E$11</c:f>
              <c:numCache>
                <c:formatCode>General</c:formatCode>
                <c:ptCount val="4"/>
                <c:pt idx="0">
                  <c:v>3.831</c:v>
                </c:pt>
                <c:pt idx="1">
                  <c:v>0.47699999999999998</c:v>
                </c:pt>
                <c:pt idx="2">
                  <c:v>3.91</c:v>
                </c:pt>
                <c:pt idx="3">
                  <c:v>3.0190000000000001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'Elliot Mobility 5 Travertine'!$A$14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'Elliot Mobility 5 Travertine'!$B$3:$E$3</c:f>
              <c:strCache>
                <c:ptCount val="4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</c:strCache>
            </c:strRef>
          </c:cat>
          <c:val>
            <c:numRef>
              <c:f>'Elliot Mobility 5 Travertine'!$B$14:$E$14</c:f>
              <c:numCache>
                <c:formatCode>General</c:formatCode>
                <c:ptCount val="4"/>
                <c:pt idx="0">
                  <c:v>3.2170000000000001</c:v>
                </c:pt>
                <c:pt idx="1">
                  <c:v>2.0790000000000002</c:v>
                </c:pt>
                <c:pt idx="2">
                  <c:v>7.665</c:v>
                </c:pt>
                <c:pt idx="3">
                  <c:v>12.409000000000001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'Elliot Mobility 5 Travertine'!$A$22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'Elliot Mobility 5 Travertine'!$B$22:$E$22</c:f>
              <c:numCache>
                <c:formatCode>General</c:formatCode>
                <c:ptCount val="4"/>
                <c:pt idx="0">
                  <c:v>8.7420000000000009</c:v>
                </c:pt>
                <c:pt idx="1">
                  <c:v>3.5950000000000002</c:v>
                </c:pt>
                <c:pt idx="2">
                  <c:v>17.491</c:v>
                </c:pt>
                <c:pt idx="3">
                  <c:v>23.222999999999999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898736"/>
        <c:axId val="407899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'Elliot Mobility 5 Travertine'!$A$5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'Elliot Mobility 5 Travertine'!$B$3:$E$3</c15:sqref>
                        </c15:formulaRef>
                      </c:ext>
                    </c:extLst>
                    <c:strCache>
                      <c:ptCount val="4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'Elliot Mobility 5 Travertine'!$B$5:$E$5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34.619999999999997</c:v>
                      </c:pt>
                      <c:pt idx="1">
                        <c:v>29</c:v>
                      </c:pt>
                      <c:pt idx="2">
                        <c:v>42.6</c:v>
                      </c:pt>
                      <c:pt idx="3">
                        <c:v>44.17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78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9128"/>
        <c:crosses val="autoZero"/>
        <c:auto val="1"/>
        <c:lblAlgn val="ctr"/>
        <c:lblOffset val="100"/>
        <c:noMultiLvlLbl val="0"/>
      </c:catAx>
      <c:valAx>
        <c:axId val="407899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9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'Elliot Mobility 5 Travertine'!$A$76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'Elliot Mobility 5 Travertine'!$B$3:$M$3</c:f>
              <c:strCache>
                <c:ptCount val="4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</c:strCache>
            </c:strRef>
          </c:cat>
          <c:val>
            <c:numRef>
              <c:f>'Elliot Mobility 5 Travertine'!$B$76:$M$76</c:f>
            </c:numRef>
          </c:val>
          <c:smooth val="0"/>
        </c:ser>
        <c:ser>
          <c:idx val="0"/>
          <c:order val="1"/>
          <c:tx>
            <c:strRef>
              <c:f>'[1]Elliot Mobility 5 Travertine'!$A$76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'[1]Elliot Mobility 5 Travertine'!$B$3:$M$3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KVA / KWA</c:v>
                </c:pt>
                <c:pt idx="5">
                  <c:v>Annual Usage</c:v>
                </c:pt>
                <c:pt idx="6">
                  <c:v>Monthly Average</c:v>
                </c:pt>
                <c:pt idx="7">
                  <c:v>Daily Average</c:v>
                </c:pt>
                <c:pt idx="8">
                  <c:v>Hourly Average</c:v>
                </c:pt>
                <c:pt idx="9">
                  <c:v>Converted</c:v>
                </c:pt>
              </c:strCache>
            </c:strRef>
          </c:cat>
          <c:val>
            <c:numRef>
              <c:f>'[1]Elliot Mobility 5 Travertine'!$B$76:$M$76</c:f>
              <c:numCache>
                <c:formatCode>General</c:formatCode>
                <c:ptCount val="12"/>
                <c:pt idx="0">
                  <c:v>64.699835975943131</c:v>
                </c:pt>
                <c:pt idx="1">
                  <c:v>42.799890650628761</c:v>
                </c:pt>
                <c:pt idx="2">
                  <c:v>362.30016402405687</c:v>
                </c:pt>
                <c:pt idx="3">
                  <c:v>308.69983597594313</c:v>
                </c:pt>
                <c:pt idx="4">
                  <c:v>0</c:v>
                </c:pt>
                <c:pt idx="5">
                  <c:v>778.49972662657183</c:v>
                </c:pt>
                <c:pt idx="6">
                  <c:v>58.857308201058196</c:v>
                </c:pt>
                <c:pt idx="7">
                  <c:v>1.9619102733686067</c:v>
                </c:pt>
                <c:pt idx="8">
                  <c:v>8.1746261390358607E-2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19384"/>
        <c:axId val="408522128"/>
      </c:lineChart>
      <c:catAx>
        <c:axId val="4085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2128"/>
        <c:crosses val="autoZero"/>
        <c:auto val="1"/>
        <c:lblAlgn val="ctr"/>
        <c:lblOffset val="100"/>
        <c:noMultiLvlLbl val="0"/>
      </c:catAx>
      <c:valAx>
        <c:axId val="408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9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'IHL Medical'!$A$8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'IHL Medical'!$B$3:$I$3</c:f>
              <c:strCache>
                <c:ptCount val="8"/>
                <c:pt idx="0">
                  <c:v>Jul '17</c:v>
                </c:pt>
                <c:pt idx="1">
                  <c:v>Aug '17</c:v>
                </c:pt>
                <c:pt idx="2">
                  <c:v>Sept '17</c:v>
                </c:pt>
                <c:pt idx="3">
                  <c:v>Oct '17</c:v>
                </c:pt>
                <c:pt idx="4">
                  <c:v>Nov '17</c:v>
                </c:pt>
                <c:pt idx="5">
                  <c:v>Dec '17</c:v>
                </c:pt>
                <c:pt idx="6">
                  <c:v>Jan '18</c:v>
                </c:pt>
                <c:pt idx="7">
                  <c:v>Feb '18</c:v>
                </c:pt>
              </c:strCache>
            </c:strRef>
          </c:cat>
          <c:val>
            <c:numRef>
              <c:f>'IHL Medical'!$B$8:$I$8</c:f>
              <c:numCache>
                <c:formatCode>General</c:formatCode>
                <c:ptCount val="8"/>
                <c:pt idx="0">
                  <c:v>12.183999999999999</c:v>
                </c:pt>
                <c:pt idx="1">
                  <c:v>11.615</c:v>
                </c:pt>
                <c:pt idx="2">
                  <c:v>13.625</c:v>
                </c:pt>
                <c:pt idx="3">
                  <c:v>26.585000000000001</c:v>
                </c:pt>
                <c:pt idx="4">
                  <c:v>35.042999999999999</c:v>
                </c:pt>
                <c:pt idx="5">
                  <c:v>36.668999999999997</c:v>
                </c:pt>
                <c:pt idx="6">
                  <c:v>41.295999999999999</c:v>
                </c:pt>
                <c:pt idx="7">
                  <c:v>37.04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'IHL Medical'!$A$11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'IHL Medical'!$B$3:$I$3</c:f>
              <c:strCache>
                <c:ptCount val="8"/>
                <c:pt idx="0">
                  <c:v>Jul '17</c:v>
                </c:pt>
                <c:pt idx="1">
                  <c:v>Aug '17</c:v>
                </c:pt>
                <c:pt idx="2">
                  <c:v>Sept '17</c:v>
                </c:pt>
                <c:pt idx="3">
                  <c:v>Oct '17</c:v>
                </c:pt>
                <c:pt idx="4">
                  <c:v>Nov '17</c:v>
                </c:pt>
                <c:pt idx="5">
                  <c:v>Dec '17</c:v>
                </c:pt>
                <c:pt idx="6">
                  <c:v>Jan '18</c:v>
                </c:pt>
                <c:pt idx="7">
                  <c:v>Feb '18</c:v>
                </c:pt>
              </c:strCache>
            </c:strRef>
          </c:cat>
          <c:val>
            <c:numRef>
              <c:f>'IHL Medical'!$B$11:$I$11</c:f>
              <c:numCache>
                <c:formatCode>General</c:formatCode>
                <c:ptCount val="8"/>
                <c:pt idx="0">
                  <c:v>3.831</c:v>
                </c:pt>
                <c:pt idx="1">
                  <c:v>4.4039999999999999</c:v>
                </c:pt>
                <c:pt idx="2">
                  <c:v>3.91</c:v>
                </c:pt>
                <c:pt idx="3">
                  <c:v>11.529</c:v>
                </c:pt>
                <c:pt idx="4">
                  <c:v>11.452</c:v>
                </c:pt>
                <c:pt idx="5">
                  <c:v>13.488</c:v>
                </c:pt>
                <c:pt idx="6">
                  <c:v>15.339</c:v>
                </c:pt>
                <c:pt idx="7">
                  <c:v>14.054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'IHL Medical'!$A$14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'IHL Medical'!$B$3:$I$3</c:f>
              <c:strCache>
                <c:ptCount val="8"/>
                <c:pt idx="0">
                  <c:v>Jul '17</c:v>
                </c:pt>
                <c:pt idx="1">
                  <c:v>Aug '17</c:v>
                </c:pt>
                <c:pt idx="2">
                  <c:v>Sept '17</c:v>
                </c:pt>
                <c:pt idx="3">
                  <c:v>Oct '17</c:v>
                </c:pt>
                <c:pt idx="4">
                  <c:v>Nov '17</c:v>
                </c:pt>
                <c:pt idx="5">
                  <c:v>Dec '17</c:v>
                </c:pt>
                <c:pt idx="6">
                  <c:v>Jan '18</c:v>
                </c:pt>
                <c:pt idx="7">
                  <c:v>Feb '18</c:v>
                </c:pt>
              </c:strCache>
            </c:strRef>
          </c:cat>
          <c:val>
            <c:numRef>
              <c:f>'IHL Medical'!$B$14:$I$14</c:f>
              <c:numCache>
                <c:formatCode>General</c:formatCode>
                <c:ptCount val="8"/>
                <c:pt idx="0">
                  <c:v>11.782999999999999</c:v>
                </c:pt>
                <c:pt idx="1">
                  <c:v>6.4109999999999996</c:v>
                </c:pt>
                <c:pt idx="2">
                  <c:v>6.9290000000000003</c:v>
                </c:pt>
                <c:pt idx="3">
                  <c:v>23.254999999999999</c:v>
                </c:pt>
                <c:pt idx="4">
                  <c:v>27.873999999999999</c:v>
                </c:pt>
                <c:pt idx="5">
                  <c:v>28.771000000000001</c:v>
                </c:pt>
                <c:pt idx="6">
                  <c:v>25.951000000000001</c:v>
                </c:pt>
                <c:pt idx="7">
                  <c:v>37.738999999999997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'IHL Medical'!$A$22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'IHL Medical'!$B$3:$I$3</c:f>
              <c:strCache>
                <c:ptCount val="8"/>
                <c:pt idx="0">
                  <c:v>Jul '17</c:v>
                </c:pt>
                <c:pt idx="1">
                  <c:v>Aug '17</c:v>
                </c:pt>
                <c:pt idx="2">
                  <c:v>Sept '17</c:v>
                </c:pt>
                <c:pt idx="3">
                  <c:v>Oct '17</c:v>
                </c:pt>
                <c:pt idx="4">
                  <c:v>Nov '17</c:v>
                </c:pt>
                <c:pt idx="5">
                  <c:v>Dec '17</c:v>
                </c:pt>
                <c:pt idx="6">
                  <c:v>Jan '18</c:v>
                </c:pt>
                <c:pt idx="7">
                  <c:v>Feb '18</c:v>
                </c:pt>
              </c:strCache>
            </c:strRef>
          </c:cat>
          <c:val>
            <c:numRef>
              <c:f>'IHL Medical'!$B$22:$I$22</c:f>
              <c:numCache>
                <c:formatCode>General</c:formatCode>
                <c:ptCount val="8"/>
                <c:pt idx="0">
                  <c:v>27.798000000000002</c:v>
                </c:pt>
                <c:pt idx="1">
                  <c:v>22.43</c:v>
                </c:pt>
                <c:pt idx="2">
                  <c:v>24.463999999999999</c:v>
                </c:pt>
                <c:pt idx="3">
                  <c:v>61.369</c:v>
                </c:pt>
                <c:pt idx="4">
                  <c:v>74.369</c:v>
                </c:pt>
                <c:pt idx="5">
                  <c:v>78.927999999999997</c:v>
                </c:pt>
                <c:pt idx="6">
                  <c:v>82.585999999999999</c:v>
                </c:pt>
                <c:pt idx="7">
                  <c:v>88.832999999999998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20168"/>
        <c:axId val="408524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'Elliot Mobility 5 Travertine'!$A$5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'IHL Medical'!$B$3:$I$3</c15:sqref>
                        </c15:formulaRef>
                      </c:ext>
                    </c:extLst>
                    <c:strCache>
                      <c:ptCount val="8"/>
                      <c:pt idx="0">
                        <c:v>Jul '17</c:v>
                      </c:pt>
                      <c:pt idx="1">
                        <c:v>Aug '17</c:v>
                      </c:pt>
                      <c:pt idx="2">
                        <c:v>Sept '17</c:v>
                      </c:pt>
                      <c:pt idx="3">
                        <c:v>Oct '17</c:v>
                      </c:pt>
                      <c:pt idx="4">
                        <c:v>Nov '17</c:v>
                      </c:pt>
                      <c:pt idx="5">
                        <c:v>Dec '17</c:v>
                      </c:pt>
                      <c:pt idx="6">
                        <c:v>Jan '18</c:v>
                      </c:pt>
                      <c:pt idx="7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'Elliot Mobility 5 Travertine'!$B$5:$E$5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34.619999999999997</c:v>
                      </c:pt>
                      <c:pt idx="1">
                        <c:v>29</c:v>
                      </c:pt>
                      <c:pt idx="2">
                        <c:v>42.6</c:v>
                      </c:pt>
                      <c:pt idx="3">
                        <c:v>44.17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52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4480"/>
        <c:crosses val="autoZero"/>
        <c:auto val="1"/>
        <c:lblAlgn val="ctr"/>
        <c:lblOffset val="100"/>
        <c:noMultiLvlLbl val="0"/>
      </c:catAx>
      <c:valAx>
        <c:axId val="40852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0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'IHL Medical'!$A$76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'IHL Medical'!$B$3:$M$3</c:f>
              <c:strCache>
                <c:ptCount val="8"/>
                <c:pt idx="0">
                  <c:v>Jul '17</c:v>
                </c:pt>
                <c:pt idx="1">
                  <c:v>Aug '17</c:v>
                </c:pt>
                <c:pt idx="2">
                  <c:v>Sept '17</c:v>
                </c:pt>
                <c:pt idx="3">
                  <c:v>Oct '17</c:v>
                </c:pt>
                <c:pt idx="4">
                  <c:v>Nov '17</c:v>
                </c:pt>
                <c:pt idx="5">
                  <c:v>Dec '17</c:v>
                </c:pt>
                <c:pt idx="6">
                  <c:v>Jan '18</c:v>
                </c:pt>
                <c:pt idx="7">
                  <c:v>Feb '18</c:v>
                </c:pt>
              </c:strCache>
            </c:strRef>
          </c:cat>
          <c:val>
            <c:numRef>
              <c:f>'IHL Medical'!$B$76:$M$76</c:f>
            </c:numRef>
          </c:val>
          <c:smooth val="0"/>
        </c:ser>
        <c:ser>
          <c:idx val="0"/>
          <c:order val="1"/>
          <c:tx>
            <c:strRef>
              <c:f>'[1]IHL Medical'!$A$76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'[1]IHL Medical'!$B$3:$M$3</c:f>
              <c:strCache>
                <c:ptCount val="12"/>
                <c:pt idx="0">
                  <c:v>Jul '17</c:v>
                </c:pt>
                <c:pt idx="1">
                  <c:v>Aug '17</c:v>
                </c:pt>
                <c:pt idx="2">
                  <c:v>Sept '17</c:v>
                </c:pt>
                <c:pt idx="3">
                  <c:v>Oct '17</c:v>
                </c:pt>
                <c:pt idx="4">
                  <c:v>Nov '17</c:v>
                </c:pt>
                <c:pt idx="5">
                  <c:v>Dec '17</c:v>
                </c:pt>
                <c:pt idx="6">
                  <c:v>Jan '18</c:v>
                </c:pt>
                <c:pt idx="7">
                  <c:v>Feb '18</c:v>
                </c:pt>
                <c:pt idx="8">
                  <c:v>KVA / KWA</c:v>
                </c:pt>
                <c:pt idx="9">
                  <c:v>Annual Usage</c:v>
                </c:pt>
                <c:pt idx="10">
                  <c:v>Monthly Average</c:v>
                </c:pt>
                <c:pt idx="11">
                  <c:v>Daily Average</c:v>
                </c:pt>
              </c:strCache>
            </c:strRef>
          </c:cat>
          <c:val>
            <c:numRef>
              <c:f>'[1]IHL Medical'!$B$76:$M$76</c:f>
              <c:numCache>
                <c:formatCode>General</c:formatCode>
                <c:ptCount val="12"/>
                <c:pt idx="0">
                  <c:v>227.50246036085295</c:v>
                </c:pt>
                <c:pt idx="1">
                  <c:v>243.48496446145435</c:v>
                </c:pt>
                <c:pt idx="2">
                  <c:v>215.15746309458723</c:v>
                </c:pt>
                <c:pt idx="3">
                  <c:v>294.73920174958994</c:v>
                </c:pt>
                <c:pt idx="4">
                  <c:v>0</c:v>
                </c:pt>
                <c:pt idx="5">
                  <c:v>1829.9168944778569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18600"/>
        <c:axId val="408518992"/>
      </c:lineChart>
      <c:catAx>
        <c:axId val="40851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8992"/>
        <c:crosses val="autoZero"/>
        <c:auto val="1"/>
        <c:lblAlgn val="ctr"/>
        <c:lblOffset val="100"/>
        <c:noMultiLvlLbl val="0"/>
      </c:catAx>
      <c:valAx>
        <c:axId val="4085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8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Tevo!$A$8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Tevo!$B$3:$M$3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Tevo!$B$8:$M$8</c:f>
              <c:numCache>
                <c:formatCode>General</c:formatCode>
                <c:ptCount val="12"/>
                <c:pt idx="0">
                  <c:v>16.829000000000001</c:v>
                </c:pt>
                <c:pt idx="1">
                  <c:v>18.553999999999998</c:v>
                </c:pt>
                <c:pt idx="2">
                  <c:v>17.798999999999999</c:v>
                </c:pt>
                <c:pt idx="3">
                  <c:v>13.837999999999999</c:v>
                </c:pt>
                <c:pt idx="4">
                  <c:v>16.727</c:v>
                </c:pt>
                <c:pt idx="5">
                  <c:v>17.509</c:v>
                </c:pt>
                <c:pt idx="6">
                  <c:v>17.835000000000001</c:v>
                </c:pt>
                <c:pt idx="7">
                  <c:v>18.768999999999998</c:v>
                </c:pt>
                <c:pt idx="8">
                  <c:v>16.225000000000001</c:v>
                </c:pt>
                <c:pt idx="9">
                  <c:v>17.378</c:v>
                </c:pt>
                <c:pt idx="10">
                  <c:v>18.056999999999999</c:v>
                </c:pt>
                <c:pt idx="11">
                  <c:v>15.741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Tevo!$A$11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Tevo!$B$3:$M$3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Tevo!$B$11:$M$11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7.5529999999999999</c:v>
                </c:pt>
                <c:pt idx="2">
                  <c:v>3.91</c:v>
                </c:pt>
                <c:pt idx="3">
                  <c:v>5.3639999999999999</c:v>
                </c:pt>
                <c:pt idx="4">
                  <c:v>6.2290000000000001</c:v>
                </c:pt>
                <c:pt idx="5">
                  <c:v>7.2910000000000004</c:v>
                </c:pt>
                <c:pt idx="6">
                  <c:v>7.6740000000000004</c:v>
                </c:pt>
                <c:pt idx="7">
                  <c:v>8.1080000000000005</c:v>
                </c:pt>
                <c:pt idx="8">
                  <c:v>6.827</c:v>
                </c:pt>
                <c:pt idx="9">
                  <c:v>7.5490000000000004</c:v>
                </c:pt>
                <c:pt idx="10">
                  <c:v>7.9029999999999996</c:v>
                </c:pt>
                <c:pt idx="11">
                  <c:v>6.9290000000000003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Tevo!$A$14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Tevo!$B$3:$M$3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Tevo!$B$14:$M$14</c:f>
              <c:numCache>
                <c:formatCode>General</c:formatCode>
                <c:ptCount val="12"/>
                <c:pt idx="0">
                  <c:v>5.5190000000000001</c:v>
                </c:pt>
                <c:pt idx="1">
                  <c:v>9.4139999999999997</c:v>
                </c:pt>
                <c:pt idx="2">
                  <c:v>5.2370000000000001</c:v>
                </c:pt>
                <c:pt idx="3">
                  <c:v>5.1050000000000004</c:v>
                </c:pt>
                <c:pt idx="4">
                  <c:v>4.8719999999999999</c:v>
                </c:pt>
                <c:pt idx="5">
                  <c:v>5.0549999999999997</c:v>
                </c:pt>
                <c:pt idx="6">
                  <c:v>6.8719999999999999</c:v>
                </c:pt>
                <c:pt idx="7">
                  <c:v>6.3940000000000001</c:v>
                </c:pt>
                <c:pt idx="8">
                  <c:v>5.7519999999999998</c:v>
                </c:pt>
                <c:pt idx="9">
                  <c:v>5.4459999999999997</c:v>
                </c:pt>
                <c:pt idx="10">
                  <c:v>10.535</c:v>
                </c:pt>
                <c:pt idx="11">
                  <c:v>10.455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Tevo!$A$22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Tevo!$B$22:$M$22</c:f>
              <c:numCache>
                <c:formatCode>General</c:formatCode>
                <c:ptCount val="12"/>
                <c:pt idx="0">
                  <c:v>26.179000000000002</c:v>
                </c:pt>
                <c:pt idx="1">
                  <c:v>35.521000000000001</c:v>
                </c:pt>
                <c:pt idx="2">
                  <c:v>26.945999999999998</c:v>
                </c:pt>
                <c:pt idx="3">
                  <c:v>24.306999999999999</c:v>
                </c:pt>
                <c:pt idx="4">
                  <c:v>27.827999999999999</c:v>
                </c:pt>
                <c:pt idx="5">
                  <c:v>29.855</c:v>
                </c:pt>
                <c:pt idx="6">
                  <c:v>32.381</c:v>
                </c:pt>
                <c:pt idx="7">
                  <c:v>33.271000000000001</c:v>
                </c:pt>
                <c:pt idx="8">
                  <c:v>28.803999999999998</c:v>
                </c:pt>
                <c:pt idx="9">
                  <c:v>30.372999999999998</c:v>
                </c:pt>
                <c:pt idx="10">
                  <c:v>36.494999999999997</c:v>
                </c:pt>
                <c:pt idx="11">
                  <c:v>33.125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19776"/>
        <c:axId val="4085205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Tevo!$A$5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Tevo!$B$3:$M$3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Tevo!$B$5:$M$5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101.38</c:v>
                      </c:pt>
                      <c:pt idx="1">
                        <c:v>100.49</c:v>
                      </c:pt>
                      <c:pt idx="2">
                        <c:v>96</c:v>
                      </c:pt>
                      <c:pt idx="3">
                        <c:v>95.99</c:v>
                      </c:pt>
                      <c:pt idx="4">
                        <c:v>102.7</c:v>
                      </c:pt>
                      <c:pt idx="5">
                        <c:v>113</c:v>
                      </c:pt>
                      <c:pt idx="6">
                        <c:v>110.7</c:v>
                      </c:pt>
                      <c:pt idx="7">
                        <c:v>109.25</c:v>
                      </c:pt>
                      <c:pt idx="8">
                        <c:v>90.54</c:v>
                      </c:pt>
                      <c:pt idx="9">
                        <c:v>95.75</c:v>
                      </c:pt>
                      <c:pt idx="10">
                        <c:v>91.64</c:v>
                      </c:pt>
                      <c:pt idx="11">
                        <c:v>93.25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85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0560"/>
        <c:crosses val="autoZero"/>
        <c:auto val="1"/>
        <c:lblAlgn val="ctr"/>
        <c:lblOffset val="100"/>
        <c:noMultiLvlLbl val="0"/>
      </c:catAx>
      <c:valAx>
        <c:axId val="408520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1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[1]Tevo!$A$76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[1]Tevo!$B$3:$M$3</c15:sqref>
                  </c15:fullRef>
                </c:ext>
              </c:extLst>
              <c:f>([1]Tevo!$B$3:$C$3,[1]Tevo!$E$3:$M$3)</c:f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[1]Tevo!$B$76:$M$76</c15:sqref>
                  </c15:fullRef>
                </c:ext>
              </c:extLst>
              <c:f>([1]Tevo!$B$76:$C$76,[1]Tevo!$E$76:$M$76)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22912"/>
        <c:axId val="408523304"/>
      </c:lineChart>
      <c:catAx>
        <c:axId val="4085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3304"/>
        <c:crosses val="autoZero"/>
        <c:auto val="1"/>
        <c:lblAlgn val="ctr"/>
        <c:lblOffset val="100"/>
        <c:noMultiLvlLbl val="0"/>
      </c:catAx>
      <c:valAx>
        <c:axId val="4085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2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'Eli-Lilly'!$A$8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'Eli-Lilly'!$B$8:$M$8</c:f>
              <c:numCache>
                <c:formatCode>General</c:formatCode>
                <c:ptCount val="12"/>
                <c:pt idx="0">
                  <c:v>10.849</c:v>
                </c:pt>
                <c:pt idx="1">
                  <c:v>10.439</c:v>
                </c:pt>
                <c:pt idx="2">
                  <c:v>11.374000000000001</c:v>
                </c:pt>
                <c:pt idx="3">
                  <c:v>6.883</c:v>
                </c:pt>
                <c:pt idx="4">
                  <c:v>7.1859999999999999</c:v>
                </c:pt>
                <c:pt idx="5">
                  <c:v>6.5259999999999998</c:v>
                </c:pt>
                <c:pt idx="6">
                  <c:v>6.3810000000000002</c:v>
                </c:pt>
                <c:pt idx="7">
                  <c:v>7.1619999999999999</c:v>
                </c:pt>
                <c:pt idx="8">
                  <c:v>9.4130000000000003</c:v>
                </c:pt>
                <c:pt idx="9">
                  <c:v>8.8130000000000006</c:v>
                </c:pt>
                <c:pt idx="10">
                  <c:v>10.315</c:v>
                </c:pt>
                <c:pt idx="11">
                  <c:v>8.6479999999999997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'Eli-Lilly'!$A$5</c:f>
              <c:strCache>
                <c:ptCount val="1"/>
                <c:pt idx="0">
                  <c:v>Electricity Demand KVA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8747655130806937E-2"/>
                  <c:y val="-2.03750368734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020532983835736E-2"/>
                  <c:y val="-2.2314135140796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1344138203631131E-2"/>
                  <c:y val="-2.03750368734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1344138203631131E-2"/>
                  <c:y val="-2.23141351407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362175493417867E-2"/>
                  <c:y val="-2.4253233408189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2482946568904899E-2"/>
                  <c:y val="-2.03750368734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2.1344138203631131E-2"/>
                  <c:y val="-2.23141351407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2.1344138203631215E-2"/>
                  <c:y val="-2.2314135140796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1344138203631215E-2"/>
                  <c:y val="-2.037503687340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1.8747655130807103E-2"/>
                  <c:y val="-2.2314135140796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-2.2482946568904899E-2"/>
                  <c:y val="-2.42532334081896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2.362175493417867E-2"/>
                  <c:y val="-2.23141351407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'Eli-Lilly'!$B$5:$M$5</c:f>
              <c:numCache>
                <c:formatCode>General</c:formatCode>
                <c:ptCount val="12"/>
                <c:pt idx="0">
                  <c:v>77.5</c:v>
                </c:pt>
                <c:pt idx="1">
                  <c:v>74.569999999999993</c:v>
                </c:pt>
                <c:pt idx="2">
                  <c:v>69.97</c:v>
                </c:pt>
                <c:pt idx="3">
                  <c:v>72.180000000000007</c:v>
                </c:pt>
                <c:pt idx="4">
                  <c:v>55.95</c:v>
                </c:pt>
                <c:pt idx="5">
                  <c:v>45.15</c:v>
                </c:pt>
                <c:pt idx="6">
                  <c:v>47.74</c:v>
                </c:pt>
                <c:pt idx="7">
                  <c:v>55.48</c:v>
                </c:pt>
                <c:pt idx="8">
                  <c:v>68.13</c:v>
                </c:pt>
                <c:pt idx="9">
                  <c:v>64.099999999999994</c:v>
                </c:pt>
                <c:pt idx="10">
                  <c:v>81.44</c:v>
                </c:pt>
                <c:pt idx="11">
                  <c:v>80.53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'Eli-Lilly'!$A$11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3.91</c:v>
                </c:pt>
                <c:pt idx="2">
                  <c:v>3.91</c:v>
                </c:pt>
                <c:pt idx="3">
                  <c:v>2.3820000000000001</c:v>
                </c:pt>
                <c:pt idx="4">
                  <c:v>2.585</c:v>
                </c:pt>
                <c:pt idx="5">
                  <c:v>2.4780000000000002</c:v>
                </c:pt>
                <c:pt idx="6">
                  <c:v>2.577</c:v>
                </c:pt>
                <c:pt idx="7">
                  <c:v>2.7509999999999999</c:v>
                </c:pt>
                <c:pt idx="8">
                  <c:v>3.13</c:v>
                </c:pt>
                <c:pt idx="9">
                  <c:v>3.1720000000000002</c:v>
                </c:pt>
                <c:pt idx="10">
                  <c:v>3.6160000000000001</c:v>
                </c:pt>
                <c:pt idx="11">
                  <c:v>3.0070000000000001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'Eli-Lilly'!$A$14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'Eli-Lilly'!$B$14:$M$14</c:f>
              <c:numCache>
                <c:formatCode>General</c:formatCode>
                <c:ptCount val="12"/>
                <c:pt idx="0">
                  <c:v>8.8789999999999996</c:v>
                </c:pt>
                <c:pt idx="1">
                  <c:v>8.0809999999999995</c:v>
                </c:pt>
                <c:pt idx="2">
                  <c:v>7.4489999999999998</c:v>
                </c:pt>
                <c:pt idx="3">
                  <c:v>5.7050000000000001</c:v>
                </c:pt>
                <c:pt idx="4">
                  <c:v>3.944</c:v>
                </c:pt>
                <c:pt idx="5">
                  <c:v>3.2389999999999999</c:v>
                </c:pt>
                <c:pt idx="6">
                  <c:v>4.0209999999999999</c:v>
                </c:pt>
                <c:pt idx="7">
                  <c:v>3.806</c:v>
                </c:pt>
                <c:pt idx="8">
                  <c:v>6.1950000000000003</c:v>
                </c:pt>
                <c:pt idx="9">
                  <c:v>5.516</c:v>
                </c:pt>
                <c:pt idx="10">
                  <c:v>5.8869999999999996</c:v>
                </c:pt>
                <c:pt idx="11">
                  <c:v>8.9719999999999995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7751984"/>
        <c:axId val="407746496"/>
      </c:lineChart>
      <c:catAx>
        <c:axId val="407751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46496"/>
        <c:crosses val="autoZero"/>
        <c:auto val="1"/>
        <c:lblAlgn val="ctr"/>
        <c:lblOffset val="100"/>
        <c:noMultiLvlLbl val="0"/>
      </c:catAx>
      <c:valAx>
        <c:axId val="40774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5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'Eli-Lilly'!$A$76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'Eli-Lilly'!$B$76:$M$76</c:f>
            </c:numRef>
          </c:val>
          <c:smooth val="0"/>
        </c:ser>
        <c:ser>
          <c:idx val="0"/>
          <c:order val="1"/>
          <c:tx>
            <c:strRef>
              <c:f>'[1]Eli-Lilly'!$A$76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'[1]Eli-Lilly'!$B$3:$M$3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'[1]Eli-Lilly'!$B$76:$M$76</c:f>
              <c:numCache>
                <c:formatCode>General</c:formatCode>
                <c:ptCount val="12"/>
                <c:pt idx="0">
                  <c:v>25.699835975943142</c:v>
                </c:pt>
                <c:pt idx="1">
                  <c:v>25.899945325314381</c:v>
                </c:pt>
                <c:pt idx="2">
                  <c:v>31.100054674685623</c:v>
                </c:pt>
                <c:pt idx="3">
                  <c:v>19.200109349371242</c:v>
                </c:pt>
                <c:pt idx="4">
                  <c:v>46.100054674685623</c:v>
                </c:pt>
                <c:pt idx="5">
                  <c:v>76.400218698742478</c:v>
                </c:pt>
                <c:pt idx="6">
                  <c:v>57.800099206349209</c:v>
                </c:pt>
                <c:pt idx="7">
                  <c:v>134.8998015873016</c:v>
                </c:pt>
                <c:pt idx="8">
                  <c:v>187.80009920634922</c:v>
                </c:pt>
                <c:pt idx="9">
                  <c:v>169.89980158730157</c:v>
                </c:pt>
                <c:pt idx="10">
                  <c:v>149.3998015873016</c:v>
                </c:pt>
                <c:pt idx="11">
                  <c:v>142.3998015873016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05400"/>
        <c:axId val="378603048"/>
      </c:lineChart>
      <c:catAx>
        <c:axId val="37860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3048"/>
        <c:crosses val="autoZero"/>
        <c:auto val="1"/>
        <c:lblAlgn val="ctr"/>
        <c:lblOffset val="100"/>
        <c:noMultiLvlLbl val="0"/>
      </c:catAx>
      <c:valAx>
        <c:axId val="37860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5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'Saint - Gobain'!$A$8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'Saint - Gobain'!$B$3:$M$3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'Saint - Gobain'!$B$8:$M$8</c:f>
              <c:numCache>
                <c:formatCode>General</c:formatCode>
                <c:ptCount val="12"/>
                <c:pt idx="0">
                  <c:v>24.626000000000001</c:v>
                </c:pt>
                <c:pt idx="1">
                  <c:v>24.707999999999998</c:v>
                </c:pt>
                <c:pt idx="2">
                  <c:v>26.216000000000001</c:v>
                </c:pt>
                <c:pt idx="3">
                  <c:v>17.939</c:v>
                </c:pt>
                <c:pt idx="4">
                  <c:v>20.433</c:v>
                </c:pt>
                <c:pt idx="5">
                  <c:v>20.218</c:v>
                </c:pt>
                <c:pt idx="6">
                  <c:v>19.388000000000002</c:v>
                </c:pt>
                <c:pt idx="7">
                  <c:v>21.399000000000001</c:v>
                </c:pt>
                <c:pt idx="8">
                  <c:v>22.414999999999999</c:v>
                </c:pt>
                <c:pt idx="9">
                  <c:v>23.731000000000002</c:v>
                </c:pt>
                <c:pt idx="10">
                  <c:v>26.125</c:v>
                </c:pt>
                <c:pt idx="11">
                  <c:v>18.263000000000002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'Saint - Gobain'!$A$11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'Saint - Gobain'!$B$3:$M$3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'Saint - Gobain'!$B$11:$M$11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10.388999999999999</c:v>
                </c:pt>
                <c:pt idx="2">
                  <c:v>3.91</c:v>
                </c:pt>
                <c:pt idx="3">
                  <c:v>7.2649999999999997</c:v>
                </c:pt>
                <c:pt idx="4">
                  <c:v>8.89</c:v>
                </c:pt>
                <c:pt idx="5">
                  <c:v>9.6920000000000002</c:v>
                </c:pt>
                <c:pt idx="6">
                  <c:v>9.4120000000000008</c:v>
                </c:pt>
                <c:pt idx="7">
                  <c:v>10.247999999999999</c:v>
                </c:pt>
                <c:pt idx="8">
                  <c:v>9.0980000000000008</c:v>
                </c:pt>
                <c:pt idx="9">
                  <c:v>10.212</c:v>
                </c:pt>
                <c:pt idx="10">
                  <c:v>10.343</c:v>
                </c:pt>
                <c:pt idx="11">
                  <c:v>7.6849999999999996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'Saint - Gobain'!$A$14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'Saint - Gobain'!$B$3:$M$3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'Saint - Gobain'!$B$14:$M$14</c:f>
              <c:numCache>
                <c:formatCode>General</c:formatCode>
                <c:ptCount val="12"/>
                <c:pt idx="0">
                  <c:v>10.071</c:v>
                </c:pt>
                <c:pt idx="1">
                  <c:v>8.5259999999999998</c:v>
                </c:pt>
                <c:pt idx="2">
                  <c:v>9.6850000000000005</c:v>
                </c:pt>
                <c:pt idx="3">
                  <c:v>9.1210000000000004</c:v>
                </c:pt>
                <c:pt idx="4">
                  <c:v>7.7949999999999999</c:v>
                </c:pt>
                <c:pt idx="5">
                  <c:v>7.4729999999999999</c:v>
                </c:pt>
                <c:pt idx="6">
                  <c:v>8.8829999999999991</c:v>
                </c:pt>
                <c:pt idx="7">
                  <c:v>9.8219999999999992</c:v>
                </c:pt>
                <c:pt idx="8">
                  <c:v>10.218999999999999</c:v>
                </c:pt>
                <c:pt idx="9">
                  <c:v>9.4209999999999994</c:v>
                </c:pt>
                <c:pt idx="10">
                  <c:v>9.8379999999999992</c:v>
                </c:pt>
                <c:pt idx="11">
                  <c:v>9.9489999999999998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'Saint - Gobain'!$A$22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'Saint - Gobain'!$B$3:$M$3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'Saint - Gobain'!$B$22:$M$22</c:f>
              <c:numCache>
                <c:formatCode>General</c:formatCode>
                <c:ptCount val="12"/>
                <c:pt idx="0">
                  <c:v>38.527999999999999</c:v>
                </c:pt>
                <c:pt idx="1">
                  <c:v>43.62299999999999</c:v>
                </c:pt>
                <c:pt idx="2">
                  <c:v>39.811</c:v>
                </c:pt>
                <c:pt idx="3">
                  <c:v>34.325000000000003</c:v>
                </c:pt>
                <c:pt idx="4">
                  <c:v>37.118000000000002</c:v>
                </c:pt>
                <c:pt idx="5">
                  <c:v>37.383000000000003</c:v>
                </c:pt>
                <c:pt idx="6">
                  <c:v>37.683000000000007</c:v>
                </c:pt>
                <c:pt idx="7">
                  <c:v>41.468999999999994</c:v>
                </c:pt>
                <c:pt idx="8">
                  <c:v>41.731999999999999</c:v>
                </c:pt>
                <c:pt idx="9">
                  <c:v>43.363999999999997</c:v>
                </c:pt>
                <c:pt idx="10">
                  <c:v>46.306000000000004</c:v>
                </c:pt>
                <c:pt idx="11">
                  <c:v>35.896999999999998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07360"/>
        <c:axId val="3786010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'Saint - Gobain'!$A$5</c15:sqref>
                        </c15:formulaRef>
                      </c:ext>
                    </c:extLst>
                    <c:strCache>
                      <c:ptCount val="1"/>
                      <c:pt idx="0">
                        <c:v>Electricity Demand KVA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'Saint - Gobain'!$B$3:$M$3</c15:sqref>
                        </c15:formulaRef>
                      </c:ext>
                    </c:extLst>
                    <c:strCache>
                      <c:ptCount val="12"/>
                      <c:pt idx="0">
                        <c:v>Mar '17</c:v>
                      </c:pt>
                      <c:pt idx="1">
                        <c:v>Apr '17</c:v>
                      </c:pt>
                      <c:pt idx="2">
                        <c:v>May '17</c:v>
                      </c:pt>
                      <c:pt idx="3">
                        <c:v>Jun '17</c:v>
                      </c:pt>
                      <c:pt idx="4">
                        <c:v>Jul '17</c:v>
                      </c:pt>
                      <c:pt idx="5">
                        <c:v>Aug '17</c:v>
                      </c:pt>
                      <c:pt idx="6">
                        <c:v>Sept '17</c:v>
                      </c:pt>
                      <c:pt idx="7">
                        <c:v>Oct '17</c:v>
                      </c:pt>
                      <c:pt idx="8">
                        <c:v>Nov '17</c:v>
                      </c:pt>
                      <c:pt idx="9">
                        <c:v>Dec '17</c:v>
                      </c:pt>
                      <c:pt idx="10">
                        <c:v>Jan '18</c:v>
                      </c:pt>
                      <c:pt idx="11">
                        <c:v>Feb '18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'Saint - Gobain'!$B$5:$M$5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190.42</c:v>
                      </c:pt>
                      <c:pt idx="1">
                        <c:v>196.2</c:v>
                      </c:pt>
                      <c:pt idx="2">
                        <c:v>169.13</c:v>
                      </c:pt>
                      <c:pt idx="3">
                        <c:v>178.48</c:v>
                      </c:pt>
                      <c:pt idx="4">
                        <c:v>150.13</c:v>
                      </c:pt>
                      <c:pt idx="5">
                        <c:v>163.05000000000001</c:v>
                      </c:pt>
                      <c:pt idx="6">
                        <c:v>158.76</c:v>
                      </c:pt>
                      <c:pt idx="7">
                        <c:v>163.01</c:v>
                      </c:pt>
                      <c:pt idx="8">
                        <c:v>159.72999999999999</c:v>
                      </c:pt>
                      <c:pt idx="9">
                        <c:v>164.57</c:v>
                      </c:pt>
                      <c:pt idx="10">
                        <c:v>183.85</c:v>
                      </c:pt>
                      <c:pt idx="11">
                        <c:v>179.65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86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1088"/>
        <c:crosses val="autoZero"/>
        <c:auto val="1"/>
        <c:lblAlgn val="ctr"/>
        <c:lblOffset val="100"/>
        <c:noMultiLvlLbl val="0"/>
      </c:catAx>
      <c:valAx>
        <c:axId val="378601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'Saint - Gobain'!$A$76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'Saint - Gobain'!$B$3:$M$3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'Saint - Gobain'!$B$76:$M$76</c:f>
            </c:numRef>
          </c:val>
          <c:smooth val="0"/>
        </c:ser>
        <c:ser>
          <c:idx val="0"/>
          <c:order val="1"/>
          <c:tx>
            <c:strRef>
              <c:f>'[1]BPB Gypsum'!$A$76</c:f>
              <c:strCache>
                <c:ptCount val="1"/>
                <c:pt idx="0">
                  <c:v>Water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'[1]BPB Gypsum'!$B$3:$M$3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'[1]BPB Gypsum'!$B$76:$M$76</c:f>
              <c:numCache>
                <c:formatCode>General</c:formatCode>
                <c:ptCount val="12"/>
                <c:pt idx="0">
                  <c:v>167.30016402405687</c:v>
                </c:pt>
                <c:pt idx="1">
                  <c:v>192.40021869874249</c:v>
                </c:pt>
                <c:pt idx="2">
                  <c:v>177.40021869874249</c:v>
                </c:pt>
                <c:pt idx="3">
                  <c:v>143.89994532531438</c:v>
                </c:pt>
                <c:pt idx="4">
                  <c:v>191.20010934937125</c:v>
                </c:pt>
                <c:pt idx="5">
                  <c:v>183.30016402405687</c:v>
                </c:pt>
                <c:pt idx="6">
                  <c:v>213</c:v>
                </c:pt>
                <c:pt idx="7">
                  <c:v>216.0049603174603</c:v>
                </c:pt>
                <c:pt idx="8">
                  <c:v>314.10019841269843</c:v>
                </c:pt>
                <c:pt idx="9">
                  <c:v>239.71031746031747</c:v>
                </c:pt>
                <c:pt idx="10">
                  <c:v>190.6001984126984</c:v>
                </c:pt>
                <c:pt idx="11">
                  <c:v>196.3998015873016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32864"/>
        <c:axId val="379533256"/>
      </c:lineChart>
      <c:catAx>
        <c:axId val="3795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256"/>
        <c:crosses val="autoZero"/>
        <c:auto val="1"/>
        <c:lblAlgn val="ctr"/>
        <c:lblOffset val="100"/>
        <c:noMultiLvlLbl val="0"/>
      </c:catAx>
      <c:valAx>
        <c:axId val="37953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Energy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Digistics!$A$8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Digistics!$B$3:$M$3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Digistics!$B$8:$M$8</c:f>
              <c:numCache>
                <c:formatCode>General</c:formatCode>
                <c:ptCount val="12"/>
                <c:pt idx="0">
                  <c:v>84.494</c:v>
                </c:pt>
                <c:pt idx="1">
                  <c:v>81.251999999999995</c:v>
                </c:pt>
                <c:pt idx="2">
                  <c:v>83.263999999999996</c:v>
                </c:pt>
                <c:pt idx="3">
                  <c:v>67.281999999999996</c:v>
                </c:pt>
                <c:pt idx="4">
                  <c:v>72.210999999999999</c:v>
                </c:pt>
                <c:pt idx="5">
                  <c:v>76.731999999999999</c:v>
                </c:pt>
                <c:pt idx="6">
                  <c:v>75.364999999999995</c:v>
                </c:pt>
                <c:pt idx="7">
                  <c:v>82.162000000000006</c:v>
                </c:pt>
                <c:pt idx="8">
                  <c:v>79.200999999999993</c:v>
                </c:pt>
                <c:pt idx="9">
                  <c:v>80.616</c:v>
                </c:pt>
                <c:pt idx="10">
                  <c:v>85.33</c:v>
                </c:pt>
                <c:pt idx="11">
                  <c:v>80.302000000000007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Digistics!$A$11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Digistics!$B$3:$M$3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Digistics!$B$11:$M$11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32.652000000000001</c:v>
                </c:pt>
                <c:pt idx="2">
                  <c:v>3.91</c:v>
                </c:pt>
                <c:pt idx="3">
                  <c:v>24.366</c:v>
                </c:pt>
                <c:pt idx="4">
                  <c:v>27.712</c:v>
                </c:pt>
                <c:pt idx="5">
                  <c:v>29.568999999999999</c:v>
                </c:pt>
                <c:pt idx="6">
                  <c:v>29.83</c:v>
                </c:pt>
                <c:pt idx="7">
                  <c:v>32.555999999999997</c:v>
                </c:pt>
                <c:pt idx="8">
                  <c:v>29.395</c:v>
                </c:pt>
                <c:pt idx="9">
                  <c:v>32.609000000000002</c:v>
                </c:pt>
                <c:pt idx="10">
                  <c:v>34.71</c:v>
                </c:pt>
                <c:pt idx="11">
                  <c:v>31.239000000000001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Digistics!$A$14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Digistics!$B$3:$M$3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Digistics!$B$14:$M$14</c:f>
              <c:numCache>
                <c:formatCode>General</c:formatCode>
                <c:ptCount val="12"/>
                <c:pt idx="0">
                  <c:v>116.432</c:v>
                </c:pt>
                <c:pt idx="1">
                  <c:v>104.28400000000001</c:v>
                </c:pt>
                <c:pt idx="2">
                  <c:v>105.277</c:v>
                </c:pt>
                <c:pt idx="3">
                  <c:v>111.828</c:v>
                </c:pt>
                <c:pt idx="4">
                  <c:v>91.754999999999995</c:v>
                </c:pt>
                <c:pt idx="5">
                  <c:v>89.575000000000003</c:v>
                </c:pt>
                <c:pt idx="6">
                  <c:v>106.00700000000001</c:v>
                </c:pt>
                <c:pt idx="7">
                  <c:v>104.044</c:v>
                </c:pt>
                <c:pt idx="8">
                  <c:v>102.599</c:v>
                </c:pt>
                <c:pt idx="9">
                  <c:v>107.664</c:v>
                </c:pt>
                <c:pt idx="10">
                  <c:v>107.395</c:v>
                </c:pt>
                <c:pt idx="11">
                  <c:v>129.029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Digistics!$A$22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Digistics!$B$22:$M$22</c:f>
              <c:numCache>
                <c:formatCode>General</c:formatCode>
                <c:ptCount val="12"/>
                <c:pt idx="0">
                  <c:v>204.75700000000001</c:v>
                </c:pt>
                <c:pt idx="1">
                  <c:v>218.18799999999999</c:v>
                </c:pt>
                <c:pt idx="2">
                  <c:v>192.45099999999999</c:v>
                </c:pt>
                <c:pt idx="3">
                  <c:v>203.476</c:v>
                </c:pt>
                <c:pt idx="4">
                  <c:v>191.678</c:v>
                </c:pt>
                <c:pt idx="5">
                  <c:v>195.876</c:v>
                </c:pt>
                <c:pt idx="6">
                  <c:v>211.202</c:v>
                </c:pt>
                <c:pt idx="7">
                  <c:v>218.762</c:v>
                </c:pt>
                <c:pt idx="8">
                  <c:v>211.19499999999999</c:v>
                </c:pt>
                <c:pt idx="9">
                  <c:v>220.88900000000001</c:v>
                </c:pt>
                <c:pt idx="10">
                  <c:v>227.435</c:v>
                </c:pt>
                <c:pt idx="11">
                  <c:v>240.57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31688"/>
        <c:axId val="379536784"/>
      </c:lineChart>
      <c:catAx>
        <c:axId val="3795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6784"/>
        <c:crosses val="autoZero"/>
        <c:auto val="1"/>
        <c:lblAlgn val="ctr"/>
        <c:lblOffset val="100"/>
        <c:noMultiLvlLbl val="0"/>
      </c:catAx>
      <c:valAx>
        <c:axId val="37953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1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Digistics!$A$81</c:f>
              <c:strCache>
                <c:ptCount val="1"/>
                <c:pt idx="0">
                  <c:v>Water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Digistics!$B$3:$M$3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Digistics!$B$81:$M$81</c:f>
            </c:numRef>
          </c:val>
          <c:smooth val="0"/>
        </c:ser>
        <c:ser>
          <c:idx val="0"/>
          <c:order val="1"/>
          <c:tx>
            <c:strRef>
              <c:f>[1]Digistics!$A$76</c:f>
              <c:strCache>
                <c:ptCount val="1"/>
                <c:pt idx="0">
                  <c:v>Water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[1]Digistics!$B$3:$M$3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[1]Digistics!$B$76:$M$76</c:f>
              <c:numCache>
                <c:formatCode>General</c:formatCode>
                <c:ptCount val="12"/>
                <c:pt idx="0">
                  <c:v>1088</c:v>
                </c:pt>
                <c:pt idx="1">
                  <c:v>961.59978130125751</c:v>
                </c:pt>
                <c:pt idx="2">
                  <c:v>878.69983597594319</c:v>
                </c:pt>
                <c:pt idx="3">
                  <c:v>901.50027337342806</c:v>
                </c:pt>
                <c:pt idx="4">
                  <c:v>1091.8999453253143</c:v>
                </c:pt>
                <c:pt idx="5">
                  <c:v>641.50027337342817</c:v>
                </c:pt>
                <c:pt idx="6">
                  <c:v>671.10019841269832</c:v>
                </c:pt>
                <c:pt idx="7">
                  <c:v>645.69990079365073</c:v>
                </c:pt>
                <c:pt idx="8">
                  <c:v>979.19990079365073</c:v>
                </c:pt>
                <c:pt idx="9">
                  <c:v>960.80009920634916</c:v>
                </c:pt>
                <c:pt idx="10">
                  <c:v>663.19990079365084</c:v>
                </c:pt>
                <c:pt idx="11">
                  <c:v>1410.5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37176"/>
        <c:axId val="379536000"/>
      </c:lineChart>
      <c:catAx>
        <c:axId val="37953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6000"/>
        <c:crosses val="autoZero"/>
        <c:auto val="1"/>
        <c:lblAlgn val="ctr"/>
        <c:lblOffset val="100"/>
        <c:noMultiLvlLbl val="0"/>
      </c:catAx>
      <c:valAx>
        <c:axId val="37953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 Consumption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Deposita!$A$8</c:f>
              <c:strCache>
                <c:ptCount val="1"/>
                <c:pt idx="0">
                  <c:v>Standard Consumption KWH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Deposita!$B$3:$M$3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Deposita!$B$8:$M$8</c:f>
              <c:numCache>
                <c:formatCode>General</c:formatCode>
                <c:ptCount val="12"/>
                <c:pt idx="0">
                  <c:v>19.399999999999999</c:v>
                </c:pt>
                <c:pt idx="1">
                  <c:v>19.518000000000001</c:v>
                </c:pt>
                <c:pt idx="2">
                  <c:v>20.817</c:v>
                </c:pt>
                <c:pt idx="3">
                  <c:v>14.747</c:v>
                </c:pt>
                <c:pt idx="4">
                  <c:v>15.638</c:v>
                </c:pt>
                <c:pt idx="5">
                  <c:v>15.375999999999999</c:v>
                </c:pt>
                <c:pt idx="6">
                  <c:v>14.973000000000001</c:v>
                </c:pt>
                <c:pt idx="7">
                  <c:v>16.675999999999998</c:v>
                </c:pt>
                <c:pt idx="8">
                  <c:v>17.436</c:v>
                </c:pt>
                <c:pt idx="9">
                  <c:v>18.77</c:v>
                </c:pt>
                <c:pt idx="10">
                  <c:v>20.501000000000001</c:v>
                </c:pt>
                <c:pt idx="11">
                  <c:v>17.309000000000001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Deposita!$A$11</c:f>
              <c:strCache>
                <c:ptCount val="1"/>
                <c:pt idx="0">
                  <c:v>Peak Consumption KWH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Deposita!$B$3:$M$3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Deposita!$B$11:$M$11</c:f>
              <c:numCache>
                <c:formatCode>General</c:formatCode>
                <c:ptCount val="12"/>
                <c:pt idx="0">
                  <c:v>3.831</c:v>
                </c:pt>
                <c:pt idx="1">
                  <c:v>7.1589999999999998</c:v>
                </c:pt>
                <c:pt idx="2">
                  <c:v>3.91</c:v>
                </c:pt>
                <c:pt idx="3">
                  <c:v>5.08</c:v>
                </c:pt>
                <c:pt idx="4">
                  <c:v>5.9130000000000003</c:v>
                </c:pt>
                <c:pt idx="5">
                  <c:v>6.4690000000000003</c:v>
                </c:pt>
                <c:pt idx="6">
                  <c:v>6.3810000000000002</c:v>
                </c:pt>
                <c:pt idx="7">
                  <c:v>6.9240000000000004</c:v>
                </c:pt>
                <c:pt idx="8">
                  <c:v>6.1470000000000002</c:v>
                </c:pt>
                <c:pt idx="9">
                  <c:v>7.0019999999999998</c:v>
                </c:pt>
                <c:pt idx="10">
                  <c:v>7.5549999999999997</c:v>
                </c:pt>
                <c:pt idx="11">
                  <c:v>6.4909999999999997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Deposita!$A$14</c:f>
              <c:strCache>
                <c:ptCount val="1"/>
                <c:pt idx="0">
                  <c:v>Off Peak Consumption KWH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Deposita!$B$3:$M$3</c:f>
              <c:strCache>
                <c:ptCount val="12"/>
                <c:pt idx="0">
                  <c:v>Mar '17</c:v>
                </c:pt>
                <c:pt idx="1">
                  <c:v>Apr '17</c:v>
                </c:pt>
                <c:pt idx="2">
                  <c:v>May '17</c:v>
                </c:pt>
                <c:pt idx="3">
                  <c:v>Jun '17</c:v>
                </c:pt>
                <c:pt idx="4">
                  <c:v>Jul '17</c:v>
                </c:pt>
                <c:pt idx="5">
                  <c:v>Aug '17</c:v>
                </c:pt>
                <c:pt idx="6">
                  <c:v>Sept '17</c:v>
                </c:pt>
                <c:pt idx="7">
                  <c:v>Oct '17</c:v>
                </c:pt>
                <c:pt idx="8">
                  <c:v>Nov '17</c:v>
                </c:pt>
                <c:pt idx="9">
                  <c:v>Dec '17</c:v>
                </c:pt>
                <c:pt idx="10">
                  <c:v>Jan '18</c:v>
                </c:pt>
                <c:pt idx="11">
                  <c:v>Feb '18</c:v>
                </c:pt>
              </c:strCache>
            </c:strRef>
          </c:cat>
          <c:val>
            <c:numRef>
              <c:f>Deposita!$B$14:$M$14</c:f>
              <c:numCache>
                <c:formatCode>General</c:formatCode>
                <c:ptCount val="12"/>
                <c:pt idx="0">
                  <c:v>11.749000000000001</c:v>
                </c:pt>
                <c:pt idx="1">
                  <c:v>12.192</c:v>
                </c:pt>
                <c:pt idx="2">
                  <c:v>11.661</c:v>
                </c:pt>
                <c:pt idx="3">
                  <c:v>12.991</c:v>
                </c:pt>
                <c:pt idx="4">
                  <c:v>10.37</c:v>
                </c:pt>
                <c:pt idx="5">
                  <c:v>10.426</c:v>
                </c:pt>
                <c:pt idx="6">
                  <c:v>11.877000000000001</c:v>
                </c:pt>
                <c:pt idx="7">
                  <c:v>10.992000000000001</c:v>
                </c:pt>
                <c:pt idx="8">
                  <c:v>11.503</c:v>
                </c:pt>
                <c:pt idx="9">
                  <c:v>12.148</c:v>
                </c:pt>
                <c:pt idx="10">
                  <c:v>12.6</c:v>
                </c:pt>
                <c:pt idx="11">
                  <c:v>14.885999999999999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Deposita!$A$22</c:f>
              <c:strCache>
                <c:ptCount val="1"/>
                <c:pt idx="0">
                  <c:v>Total KWH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Deposita!$B$22:$M$22</c:f>
              <c:numCache>
                <c:formatCode>General</c:formatCode>
                <c:ptCount val="12"/>
                <c:pt idx="0">
                  <c:v>34.979999999999997</c:v>
                </c:pt>
                <c:pt idx="1">
                  <c:v>38.869</c:v>
                </c:pt>
                <c:pt idx="2">
                  <c:v>36.387999999999998</c:v>
                </c:pt>
                <c:pt idx="3">
                  <c:v>32.817999999999998</c:v>
                </c:pt>
                <c:pt idx="4">
                  <c:v>31.920999999999999</c:v>
                </c:pt>
                <c:pt idx="5">
                  <c:v>32.271000000000001</c:v>
                </c:pt>
                <c:pt idx="6">
                  <c:v>33.231000000000002</c:v>
                </c:pt>
                <c:pt idx="7">
                  <c:v>34.591999999999999</c:v>
                </c:pt>
                <c:pt idx="8">
                  <c:v>35.085999999999999</c:v>
                </c:pt>
                <c:pt idx="9">
                  <c:v>37.92</c:v>
                </c:pt>
                <c:pt idx="10">
                  <c:v>40.655999999999999</c:v>
                </c:pt>
                <c:pt idx="11">
                  <c:v>38.686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37568"/>
        <c:axId val="379533648"/>
      </c:lineChart>
      <c:catAx>
        <c:axId val="3795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3648"/>
        <c:crosses val="autoZero"/>
        <c:auto val="1"/>
        <c:lblAlgn val="ctr"/>
        <c:lblOffset val="100"/>
        <c:noMultiLvlLbl val="0"/>
      </c:catAx>
      <c:valAx>
        <c:axId val="37953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3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844262</xdr:colOff>
      <xdr:row>0</xdr:row>
      <xdr:rowOff>0</xdr:rowOff>
    </xdr:from>
    <xdr:to>
      <xdr:col>17</xdr:col>
      <xdr:colOff>154460</xdr:colOff>
      <xdr:row>40</xdr:row>
      <xdr:rowOff>77229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865909</xdr:colOff>
      <xdr:row>41</xdr:row>
      <xdr:rowOff>216477</xdr:rowOff>
    </xdr:from>
    <xdr:to>
      <xdr:col>17</xdr:col>
      <xdr:colOff>194828</xdr:colOff>
      <xdr:row>90</xdr:row>
      <xdr:rowOff>77230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30042</xdr:colOff>
      <xdr:row>52</xdr:row>
      <xdr:rowOff>159865</xdr:rowOff>
    </xdr:from>
    <xdr:to>
      <xdr:col>11</xdr:col>
      <xdr:colOff>852462</xdr:colOff>
      <xdr:row>86</xdr:row>
      <xdr:rowOff>115042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107540</xdr:colOff>
      <xdr:row>88</xdr:row>
      <xdr:rowOff>138267</xdr:rowOff>
    </xdr:from>
    <xdr:to>
      <xdr:col>9</xdr:col>
      <xdr:colOff>419781</xdr:colOff>
      <xdr:row>104</xdr:row>
      <xdr:rowOff>9235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3992</xdr:colOff>
      <xdr:row>53</xdr:row>
      <xdr:rowOff>4899</xdr:rowOff>
    </xdr:from>
    <xdr:to>
      <xdr:col>11</xdr:col>
      <xdr:colOff>803701</xdr:colOff>
      <xdr:row>86</xdr:row>
      <xdr:rowOff>182506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20707</xdr:colOff>
      <xdr:row>89</xdr:row>
      <xdr:rowOff>62120</xdr:rowOff>
    </xdr:from>
    <xdr:to>
      <xdr:col>8</xdr:col>
      <xdr:colOff>290199</xdr:colOff>
      <xdr:row>104</xdr:row>
      <xdr:rowOff>132806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8052</xdr:colOff>
      <xdr:row>53</xdr:row>
      <xdr:rowOff>54434</xdr:rowOff>
    </xdr:from>
    <xdr:to>
      <xdr:col>11</xdr:col>
      <xdr:colOff>828062</xdr:colOff>
      <xdr:row>87</xdr:row>
      <xdr:rowOff>24975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522941</xdr:colOff>
      <xdr:row>89</xdr:row>
      <xdr:rowOff>37352</xdr:rowOff>
    </xdr:from>
    <xdr:to>
      <xdr:col>9</xdr:col>
      <xdr:colOff>827350</xdr:colOff>
      <xdr:row>104</xdr:row>
      <xdr:rowOff>108038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28087</xdr:colOff>
      <xdr:row>52</xdr:row>
      <xdr:rowOff>181094</xdr:rowOff>
    </xdr:from>
    <xdr:to>
      <xdr:col>11</xdr:col>
      <xdr:colOff>827044</xdr:colOff>
      <xdr:row>86</xdr:row>
      <xdr:rowOff>151635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103909</xdr:colOff>
      <xdr:row>89</xdr:row>
      <xdr:rowOff>34635</xdr:rowOff>
    </xdr:from>
    <xdr:to>
      <xdr:col>9</xdr:col>
      <xdr:colOff>365871</xdr:colOff>
      <xdr:row>104</xdr:row>
      <xdr:rowOff>105321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45405</xdr:colOff>
      <xdr:row>54</xdr:row>
      <xdr:rowOff>85843</xdr:rowOff>
    </xdr:from>
    <xdr:to>
      <xdr:col>11</xdr:col>
      <xdr:colOff>864566</xdr:colOff>
      <xdr:row>88</xdr:row>
      <xdr:rowOff>41952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360795</xdr:colOff>
      <xdr:row>90</xdr:row>
      <xdr:rowOff>43294</xdr:rowOff>
    </xdr:from>
    <xdr:to>
      <xdr:col>9</xdr:col>
      <xdr:colOff>651620</xdr:colOff>
      <xdr:row>105</xdr:row>
      <xdr:rowOff>113980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59837</xdr:colOff>
      <xdr:row>54</xdr:row>
      <xdr:rowOff>42549</xdr:rowOff>
    </xdr:from>
    <xdr:to>
      <xdr:col>11</xdr:col>
      <xdr:colOff>878998</xdr:colOff>
      <xdr:row>87</xdr:row>
      <xdr:rowOff>200703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331066</xdr:colOff>
      <xdr:row>90</xdr:row>
      <xdr:rowOff>52820</xdr:rowOff>
    </xdr:from>
    <xdr:to>
      <xdr:col>9</xdr:col>
      <xdr:colOff>623335</xdr:colOff>
      <xdr:row>105</xdr:row>
      <xdr:rowOff>123506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60767</xdr:colOff>
      <xdr:row>53</xdr:row>
      <xdr:rowOff>67687</xdr:rowOff>
    </xdr:from>
    <xdr:to>
      <xdr:col>19</xdr:col>
      <xdr:colOff>15362</xdr:colOff>
      <xdr:row>87</xdr:row>
      <xdr:rowOff>22865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82960</xdr:rowOff>
    </xdr:from>
    <xdr:to>
      <xdr:col>19</xdr:col>
      <xdr:colOff>22122</xdr:colOff>
      <xdr:row>104</xdr:row>
      <xdr:rowOff>153339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319609</xdr:colOff>
      <xdr:row>53</xdr:row>
      <xdr:rowOff>201298</xdr:rowOff>
    </xdr:from>
    <xdr:to>
      <xdr:col>25</xdr:col>
      <xdr:colOff>27521</xdr:colOff>
      <xdr:row>87</xdr:row>
      <xdr:rowOff>157407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90</xdr:row>
      <xdr:rowOff>66675</xdr:rowOff>
    </xdr:from>
    <xdr:to>
      <xdr:col>8</xdr:col>
      <xdr:colOff>597069</xdr:colOff>
      <xdr:row>105</xdr:row>
      <xdr:rowOff>137361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88463</xdr:colOff>
      <xdr:row>56</xdr:row>
      <xdr:rowOff>56462</xdr:rowOff>
    </xdr:from>
    <xdr:to>
      <xdr:col>11</xdr:col>
      <xdr:colOff>904738</xdr:colOff>
      <xdr:row>90</xdr:row>
      <xdr:rowOff>17479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632173</xdr:colOff>
      <xdr:row>91</xdr:row>
      <xdr:rowOff>47624</xdr:rowOff>
    </xdr:from>
    <xdr:to>
      <xdr:col>9</xdr:col>
      <xdr:colOff>924442</xdr:colOff>
      <xdr:row>106</xdr:row>
      <xdr:rowOff>118311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45405</xdr:colOff>
      <xdr:row>38</xdr:row>
      <xdr:rowOff>129139</xdr:rowOff>
    </xdr:from>
    <xdr:to>
      <xdr:col>9</xdr:col>
      <xdr:colOff>1052180</xdr:colOff>
      <xdr:row>71</xdr:row>
      <xdr:rowOff>99680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83505</xdr:colOff>
      <xdr:row>53</xdr:row>
      <xdr:rowOff>14839</xdr:rowOff>
    </xdr:from>
    <xdr:to>
      <xdr:col>11</xdr:col>
      <xdr:colOff>728330</xdr:colOff>
      <xdr:row>86</xdr:row>
      <xdr:rowOff>194930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89</xdr:row>
      <xdr:rowOff>38100</xdr:rowOff>
    </xdr:from>
    <xdr:to>
      <xdr:col>9</xdr:col>
      <xdr:colOff>771554</xdr:colOff>
      <xdr:row>104</xdr:row>
      <xdr:rowOff>126057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53</xdr:row>
      <xdr:rowOff>38100</xdr:rowOff>
    </xdr:from>
    <xdr:to>
      <xdr:col>11</xdr:col>
      <xdr:colOff>648314</xdr:colOff>
      <xdr:row>86</xdr:row>
      <xdr:rowOff>157970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734927</xdr:colOff>
      <xdr:row>88</xdr:row>
      <xdr:rowOff>83218</xdr:rowOff>
    </xdr:from>
    <xdr:to>
      <xdr:col>9</xdr:col>
      <xdr:colOff>900363</xdr:colOff>
      <xdr:row>103</xdr:row>
      <xdr:rowOff>149058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77693</xdr:colOff>
      <xdr:row>53</xdr:row>
      <xdr:rowOff>177572</xdr:rowOff>
    </xdr:from>
    <xdr:to>
      <xdr:col>11</xdr:col>
      <xdr:colOff>890739</xdr:colOff>
      <xdr:row>92</xdr:row>
      <xdr:rowOff>131968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93908</xdr:colOff>
      <xdr:row>94</xdr:row>
      <xdr:rowOff>64574</xdr:rowOff>
    </xdr:from>
    <xdr:to>
      <xdr:col>11</xdr:col>
      <xdr:colOff>1006928</xdr:colOff>
      <xdr:row>118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120603</xdr:colOff>
      <xdr:row>54</xdr:row>
      <xdr:rowOff>19476</xdr:rowOff>
    </xdr:from>
    <xdr:to>
      <xdr:col>11</xdr:col>
      <xdr:colOff>928941</xdr:colOff>
      <xdr:row>87</xdr:row>
      <xdr:rowOff>170701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90</xdr:row>
      <xdr:rowOff>11530</xdr:rowOff>
    </xdr:from>
    <xdr:to>
      <xdr:col>9</xdr:col>
      <xdr:colOff>660569</xdr:colOff>
      <xdr:row>105</xdr:row>
      <xdr:rowOff>82718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64081</xdr:colOff>
      <xdr:row>53</xdr:row>
      <xdr:rowOff>35757</xdr:rowOff>
    </xdr:from>
    <xdr:to>
      <xdr:col>11</xdr:col>
      <xdr:colOff>884091</xdr:colOff>
      <xdr:row>87</xdr:row>
      <xdr:rowOff>6298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392206</xdr:colOff>
      <xdr:row>89</xdr:row>
      <xdr:rowOff>74707</xdr:rowOff>
    </xdr:from>
    <xdr:to>
      <xdr:col>9</xdr:col>
      <xdr:colOff>696615</xdr:colOff>
      <xdr:row>104</xdr:row>
      <xdr:rowOff>145393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73420</xdr:colOff>
      <xdr:row>53</xdr:row>
      <xdr:rowOff>45095</xdr:rowOff>
    </xdr:from>
    <xdr:to>
      <xdr:col>11</xdr:col>
      <xdr:colOff>898099</xdr:colOff>
      <xdr:row>87</xdr:row>
      <xdr:rowOff>1628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70037</xdr:colOff>
      <xdr:row>89</xdr:row>
      <xdr:rowOff>84043</xdr:rowOff>
    </xdr:from>
    <xdr:to>
      <xdr:col>9</xdr:col>
      <xdr:colOff>379115</xdr:colOff>
      <xdr:row>104</xdr:row>
      <xdr:rowOff>154729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28015</xdr:colOff>
      <xdr:row>53</xdr:row>
      <xdr:rowOff>45096</xdr:rowOff>
    </xdr:from>
    <xdr:to>
      <xdr:col>11</xdr:col>
      <xdr:colOff>852694</xdr:colOff>
      <xdr:row>87</xdr:row>
      <xdr:rowOff>1629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910478</xdr:colOff>
      <xdr:row>88</xdr:row>
      <xdr:rowOff>179856</xdr:rowOff>
    </xdr:from>
    <xdr:to>
      <xdr:col>9</xdr:col>
      <xdr:colOff>154997</xdr:colOff>
      <xdr:row>104</xdr:row>
      <xdr:rowOff>54439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28087</xdr:colOff>
      <xdr:row>55</xdr:row>
      <xdr:rowOff>7911</xdr:rowOff>
    </xdr:from>
    <xdr:to>
      <xdr:col>11</xdr:col>
      <xdr:colOff>827044</xdr:colOff>
      <xdr:row>88</xdr:row>
      <xdr:rowOff>186270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1056409</xdr:colOff>
      <xdr:row>90</xdr:row>
      <xdr:rowOff>17318</xdr:rowOff>
    </xdr:from>
    <xdr:to>
      <xdr:col>9</xdr:col>
      <xdr:colOff>244644</xdr:colOff>
      <xdr:row>105</xdr:row>
      <xdr:rowOff>88004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\N1%20Business%20-%20Utility%20bills%20per%20tenant\N1%20Business%20Park%20Data%20Shee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"/>
      <sheetName val="Data Sheet"/>
      <sheetName val=" % Usage per (M²)   "/>
      <sheetName val="BPB Gypsum"/>
      <sheetName val="Eli-Lilly"/>
      <sheetName val="Digistics"/>
      <sheetName val="Deposita"/>
      <sheetName val="Landis and Gyr"/>
      <sheetName val="Premium Ideas - Morvest"/>
      <sheetName val="Zodiac"/>
      <sheetName val="UTI"/>
      <sheetName val="CSD Targus"/>
      <sheetName val="UTI 2"/>
      <sheetName val="Alaris"/>
      <sheetName val="Elliot Mobility 2 Travertine"/>
      <sheetName val="Shoprite"/>
      <sheetName val="Mazda"/>
      <sheetName val="Elliot Mobility 5 Travertine"/>
      <sheetName val="IHL Medical"/>
      <sheetName val="Tevo"/>
      <sheetName val="Sheet1"/>
      <sheetName val="Master"/>
    </sheetNames>
    <sheetDataSet>
      <sheetData sheetId="0" refreshError="1"/>
      <sheetData sheetId="1" refreshError="1">
        <row r="1">
          <cell r="N1" t="str">
            <v>Water Consumption</v>
          </cell>
        </row>
        <row r="3">
          <cell r="B3" t="str">
            <v>BPB Gypsum (Pty) Ltd</v>
          </cell>
          <cell r="N3">
            <v>2425.3162963107607</v>
          </cell>
        </row>
        <row r="4">
          <cell r="B4" t="str">
            <v>Eli Lilly South Africa (Pty) Ltd</v>
          </cell>
          <cell r="N4">
            <v>2107.4994109453514</v>
          </cell>
        </row>
        <row r="5">
          <cell r="B5" t="str">
            <v>Digistics (Pty) Ltd</v>
          </cell>
          <cell r="N5">
            <v>20699.400218698742</v>
          </cell>
        </row>
        <row r="6">
          <cell r="B6" t="str">
            <v>Deposita Systems (Pty) Ltd</v>
          </cell>
          <cell r="N6">
            <v>4750.8997874847046</v>
          </cell>
        </row>
        <row r="7">
          <cell r="B7" t="str">
            <v>Landis and Gyr (Pty) Ltd</v>
          </cell>
          <cell r="N7">
            <v>6071.4006640153784</v>
          </cell>
        </row>
        <row r="8">
          <cell r="B8" t="str">
            <v>Premium Ideas SA (Pty) Ltd / Morvest</v>
          </cell>
          <cell r="N8">
            <v>8248.5348198555894</v>
          </cell>
        </row>
        <row r="10">
          <cell r="B10" t="str">
            <v>Zodiac Pool Care South Africa (Pty) Ltd</v>
          </cell>
          <cell r="N10">
            <v>2995.3055978633483</v>
          </cell>
        </row>
        <row r="11">
          <cell r="B11" t="str">
            <v>Uti Material Handling (Pty) Ltd</v>
          </cell>
          <cell r="N11">
            <v>3263.410826021679</v>
          </cell>
        </row>
        <row r="12">
          <cell r="B12" t="str">
            <v>CSD Targus Distribution (Pty) Ltd</v>
          </cell>
          <cell r="N12">
            <v>2303.3995141112764</v>
          </cell>
        </row>
        <row r="13">
          <cell r="B13" t="str">
            <v>Uti Material Handling (Pty) Ltd</v>
          </cell>
          <cell r="N13">
            <v>0</v>
          </cell>
        </row>
        <row r="14">
          <cell r="B14" t="str">
            <v>Alaris Antennas (formerly known as Poynting)</v>
          </cell>
          <cell r="N14">
            <v>2823.4700802546276</v>
          </cell>
        </row>
        <row r="15">
          <cell r="B15" t="str">
            <v>Elliot Mobility (Pty) Ltd</v>
          </cell>
          <cell r="N15">
            <v>11002.02460360853</v>
          </cell>
        </row>
        <row r="16">
          <cell r="B16" t="str">
            <v>Shoprite Checkers (Pty) Ltd T/A Checkers Food Service</v>
          </cell>
          <cell r="N16">
            <v>4619.0994797226349</v>
          </cell>
        </row>
        <row r="17">
          <cell r="B17" t="str">
            <v>Mazda Southern Africa (Pty) Ltd</v>
          </cell>
          <cell r="N17">
            <v>2214.9688636343908</v>
          </cell>
        </row>
        <row r="18">
          <cell r="B18" t="str">
            <v>Elliot Mobility (Pty) Ltd</v>
          </cell>
          <cell r="N18">
            <v>3171.1010000019787</v>
          </cell>
        </row>
        <row r="19">
          <cell r="B19" t="str">
            <v>Tevo (Pty) Ltd</v>
          </cell>
          <cell r="N19">
            <v>3944.3001640240564</v>
          </cell>
        </row>
        <row r="20">
          <cell r="B20" t="str">
            <v>IHL Medical</v>
          </cell>
          <cell r="N20">
            <v>2583.2985237834882</v>
          </cell>
        </row>
      </sheetData>
      <sheetData sheetId="2" refreshError="1"/>
      <sheetData sheetId="3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167.30016402405687</v>
          </cell>
          <cell r="C76">
            <v>192.40021869874249</v>
          </cell>
          <cell r="D76">
            <v>177.40021869874249</v>
          </cell>
          <cell r="E76">
            <v>143.89994532531438</v>
          </cell>
          <cell r="F76">
            <v>191.20010934937125</v>
          </cell>
          <cell r="G76">
            <v>183.30016402405687</v>
          </cell>
          <cell r="H76">
            <v>213</v>
          </cell>
          <cell r="I76">
            <v>216.0049603174603</v>
          </cell>
          <cell r="J76">
            <v>314.10019841269843</v>
          </cell>
          <cell r="K76">
            <v>239.71031746031747</v>
          </cell>
          <cell r="L76">
            <v>190.6001984126984</v>
          </cell>
          <cell r="M76">
            <v>196.3998015873016</v>
          </cell>
          <cell r="O76">
            <v>2425.3162963107607</v>
          </cell>
          <cell r="P76">
            <v>202.10969135923006</v>
          </cell>
          <cell r="Q76">
            <v>6.7369897119743349</v>
          </cell>
          <cell r="R76">
            <v>0.28070790466559731</v>
          </cell>
        </row>
      </sheetData>
      <sheetData sheetId="4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25.699835975943142</v>
          </cell>
          <cell r="C76">
            <v>25.899945325314381</v>
          </cell>
          <cell r="D76">
            <v>31.100054674685623</v>
          </cell>
          <cell r="E76">
            <v>19.200109349371242</v>
          </cell>
          <cell r="F76">
            <v>46.100054674685623</v>
          </cell>
          <cell r="G76">
            <v>76.400218698742478</v>
          </cell>
          <cell r="H76">
            <v>57.800099206349209</v>
          </cell>
          <cell r="I76">
            <v>134.8998015873016</v>
          </cell>
          <cell r="J76">
            <v>187.80009920634922</v>
          </cell>
          <cell r="K76">
            <v>169.89980158730157</v>
          </cell>
          <cell r="L76">
            <v>149.3998015873016</v>
          </cell>
          <cell r="M76">
            <v>142.3998015873016</v>
          </cell>
          <cell r="O76">
            <v>2107.4994109453514</v>
          </cell>
          <cell r="P76">
            <v>2107.4994109453514</v>
          </cell>
          <cell r="Q76">
            <v>175.62495091211261</v>
          </cell>
          <cell r="R76">
            <v>5.8541650304037534</v>
          </cell>
        </row>
      </sheetData>
      <sheetData sheetId="5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1088</v>
          </cell>
          <cell r="C76">
            <v>961.59978130125751</v>
          </cell>
          <cell r="D76">
            <v>878.69983597594319</v>
          </cell>
          <cell r="E76">
            <v>901.50027337342806</v>
          </cell>
          <cell r="F76">
            <v>1091.8999453253143</v>
          </cell>
          <cell r="G76">
            <v>641.50027337342817</v>
          </cell>
          <cell r="H76">
            <v>671.10019841269832</v>
          </cell>
          <cell r="I76">
            <v>645.69990079365073</v>
          </cell>
          <cell r="J76">
            <v>979.19990079365073</v>
          </cell>
          <cell r="K76">
            <v>960.80009920634916</v>
          </cell>
          <cell r="L76">
            <v>663.19990079365084</v>
          </cell>
          <cell r="M76">
            <v>1410.5</v>
          </cell>
          <cell r="O76">
            <v>20699.400218698742</v>
          </cell>
          <cell r="P76">
            <v>20699.400218698742</v>
          </cell>
          <cell r="Q76">
            <v>1724.9500182248951</v>
          </cell>
          <cell r="R76">
            <v>57.498333940829838</v>
          </cell>
        </row>
      </sheetData>
      <sheetData sheetId="6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179.30016402405687</v>
          </cell>
          <cell r="C76">
            <v>173.30016402405687</v>
          </cell>
          <cell r="D76">
            <v>183.79989065062875</v>
          </cell>
          <cell r="E76">
            <v>166.59978130125754</v>
          </cell>
          <cell r="F76">
            <v>186.30016402405687</v>
          </cell>
          <cell r="G76">
            <v>192.20010934937125</v>
          </cell>
          <cell r="H76">
            <v>204.69990079365078</v>
          </cell>
          <cell r="I76">
            <v>269.5</v>
          </cell>
          <cell r="J76">
            <v>244.8998015873016</v>
          </cell>
          <cell r="K76">
            <v>210.6001984126984</v>
          </cell>
          <cell r="L76">
            <v>175.19990079365081</v>
          </cell>
          <cell r="M76">
            <v>278.69990079365078</v>
          </cell>
          <cell r="P76">
            <v>4750.8997874847046</v>
          </cell>
          <cell r="Q76">
            <v>395.9083156237254</v>
          </cell>
          <cell r="R76">
            <v>13.19694385412418</v>
          </cell>
          <cell r="S76">
            <v>0.54987266058850748</v>
          </cell>
        </row>
      </sheetData>
      <sheetData sheetId="7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723.99890650628765</v>
          </cell>
          <cell r="C76">
            <v>455.50027337342817</v>
          </cell>
          <cell r="D76">
            <v>263.00000000000006</v>
          </cell>
          <cell r="E76">
            <v>182.40021869874249</v>
          </cell>
          <cell r="F76">
            <v>235</v>
          </cell>
          <cell r="G76">
            <v>218.79989065062875</v>
          </cell>
          <cell r="H76">
            <v>204.60069444444446</v>
          </cell>
          <cell r="I76">
            <v>269.5</v>
          </cell>
          <cell r="J76">
            <v>273.60019841269838</v>
          </cell>
          <cell r="K76">
            <v>217.69990079365078</v>
          </cell>
          <cell r="L76">
            <v>156.8998015873016</v>
          </cell>
          <cell r="M76">
            <v>196.69990079365078</v>
          </cell>
          <cell r="P76">
            <v>6071.4006640153784</v>
          </cell>
          <cell r="Q76">
            <v>505.95005533461489</v>
          </cell>
          <cell r="R76">
            <v>16.865001844487164</v>
          </cell>
          <cell r="S76">
            <v>0.70270841018696517</v>
          </cell>
        </row>
      </sheetData>
      <sheetData sheetId="8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348.40021869874249</v>
          </cell>
          <cell r="C76">
            <v>320.50027337342812</v>
          </cell>
          <cell r="D76">
            <v>365.40021869874249</v>
          </cell>
          <cell r="E76">
            <v>281.10005467468562</v>
          </cell>
          <cell r="F76">
            <v>359.76708583925648</v>
          </cell>
          <cell r="G76">
            <v>343.30016402405687</v>
          </cell>
          <cell r="H76">
            <v>404.39980158730157</v>
          </cell>
          <cell r="I76">
            <v>476.69990079365078</v>
          </cell>
          <cell r="J76">
            <v>397.89980158730157</v>
          </cell>
          <cell r="K76">
            <v>355</v>
          </cell>
          <cell r="L76">
            <v>272.30009920634922</v>
          </cell>
          <cell r="M76">
            <v>373.69990079365078</v>
          </cell>
          <cell r="P76">
            <v>8248.5348198555894</v>
          </cell>
          <cell r="Q76">
            <v>687.37790165463241</v>
          </cell>
          <cell r="R76">
            <v>22.912596721821082</v>
          </cell>
          <cell r="S76">
            <v>0.95469153007587837</v>
          </cell>
        </row>
      </sheetData>
      <sheetData sheetId="9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87.899945325314391</v>
          </cell>
          <cell r="C76">
            <v>102.69983597594315</v>
          </cell>
          <cell r="D76">
            <v>106.59978130125752</v>
          </cell>
          <cell r="E76">
            <v>94.599781301257522</v>
          </cell>
          <cell r="F76">
            <v>131.89994532531438</v>
          </cell>
          <cell r="G76">
            <v>138.20010934937125</v>
          </cell>
          <cell r="H76">
            <v>153.80307539682539</v>
          </cell>
          <cell r="I76">
            <v>163.80009920634922</v>
          </cell>
          <cell r="J76">
            <v>143.1001984126984</v>
          </cell>
          <cell r="K76">
            <v>152.30009920634919</v>
          </cell>
          <cell r="L76">
            <v>107.8998015873016</v>
          </cell>
          <cell r="M76">
            <v>158.80009920634919</v>
          </cell>
          <cell r="P76">
            <v>2995.3055978633483</v>
          </cell>
          <cell r="Q76">
            <v>249.60879982194569</v>
          </cell>
          <cell r="R76">
            <v>8.3202933273981898</v>
          </cell>
          <cell r="S76">
            <v>0.34667888864159124</v>
          </cell>
        </row>
      </sheetData>
      <sheetData sheetId="10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74.100054674685623</v>
          </cell>
          <cell r="C76">
            <v>95.467468562055771</v>
          </cell>
          <cell r="D76">
            <v>118.89994532531438</v>
          </cell>
          <cell r="E76">
            <v>102.40021869874249</v>
          </cell>
          <cell r="F76">
            <v>159.10005467468562</v>
          </cell>
          <cell r="G76">
            <v>176</v>
          </cell>
          <cell r="H76">
            <v>159.69990079365081</v>
          </cell>
          <cell r="I76">
            <v>237.1001984126984</v>
          </cell>
          <cell r="J76">
            <v>152.19990079365078</v>
          </cell>
          <cell r="K76">
            <v>134.19990079365078</v>
          </cell>
          <cell r="L76">
            <v>147.69990079365081</v>
          </cell>
          <cell r="M76">
            <v>111.88789682539682</v>
          </cell>
          <cell r="P76">
            <v>3263.410826021679</v>
          </cell>
          <cell r="Q76">
            <v>271.95090216847325</v>
          </cell>
          <cell r="R76">
            <v>9.0650300722824415</v>
          </cell>
          <cell r="S76">
            <v>0.37770958634510171</v>
          </cell>
        </row>
      </sheetData>
      <sheetData sheetId="11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323.40021869874249</v>
          </cell>
          <cell r="C76">
            <v>301.69983597594319</v>
          </cell>
          <cell r="D76">
            <v>152.89994532531438</v>
          </cell>
          <cell r="E76">
            <v>51.100054674685623</v>
          </cell>
          <cell r="F76">
            <v>58.10005467468563</v>
          </cell>
          <cell r="G76">
            <v>51.100054674685623</v>
          </cell>
          <cell r="H76">
            <v>50.199900793650791</v>
          </cell>
          <cell r="I76">
            <v>62.5</v>
          </cell>
          <cell r="J76">
            <v>73.699900793650798</v>
          </cell>
          <cell r="K76">
            <v>72.899801587301596</v>
          </cell>
          <cell r="L76">
            <v>58.499999999999993</v>
          </cell>
          <cell r="M76">
            <v>57.300099206349209</v>
          </cell>
          <cell r="P76">
            <v>2303.3995141112764</v>
          </cell>
          <cell r="Q76">
            <v>191.94995950927304</v>
          </cell>
          <cell r="R76">
            <v>6.3983319836424348</v>
          </cell>
          <cell r="S76">
            <v>0.26659716598510147</v>
          </cell>
        </row>
      </sheetData>
      <sheetData sheetId="12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</sheetData>
      <sheetData sheetId="13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103.40021869874249</v>
          </cell>
          <cell r="C76">
            <v>112.30016402405685</v>
          </cell>
          <cell r="D76">
            <v>114.20010934937123</v>
          </cell>
          <cell r="E76">
            <v>108</v>
          </cell>
          <cell r="F76">
            <v>102</v>
          </cell>
          <cell r="G76">
            <v>130.69983597594313</v>
          </cell>
          <cell r="H76">
            <v>132.19990079365078</v>
          </cell>
          <cell r="I76">
            <v>137.30009920634919</v>
          </cell>
          <cell r="J76">
            <v>145.5</v>
          </cell>
          <cell r="K76">
            <v>127.8000992063492</v>
          </cell>
          <cell r="L76">
            <v>95.334821428571431</v>
          </cell>
          <cell r="M76">
            <v>154.69990079365078</v>
          </cell>
          <cell r="P76">
            <v>2823.4700802546276</v>
          </cell>
          <cell r="Q76">
            <v>235.2891733545523</v>
          </cell>
          <cell r="R76">
            <v>7.8429724451517435</v>
          </cell>
          <cell r="S76">
            <v>0.32679051854798929</v>
          </cell>
        </row>
      </sheetData>
      <sheetData sheetId="14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566.59978130125762</v>
          </cell>
          <cell r="C76">
            <v>495</v>
          </cell>
          <cell r="D76">
            <v>548.69983597594307</v>
          </cell>
          <cell r="E76">
            <v>530.20010934937125</v>
          </cell>
          <cell r="F76">
            <v>596.41224712957899</v>
          </cell>
          <cell r="G76">
            <v>471.40021869874249</v>
          </cell>
          <cell r="H76">
            <v>340.30009920634922</v>
          </cell>
          <cell r="I76">
            <v>305.30009920634922</v>
          </cell>
          <cell r="J76">
            <v>306.19990079365078</v>
          </cell>
          <cell r="K76">
            <v>363.30009920634922</v>
          </cell>
          <cell r="L76">
            <v>406.50000000000006</v>
          </cell>
          <cell r="M76">
            <v>854.39980158730157</v>
          </cell>
          <cell r="P76">
            <v>11002.02460360853</v>
          </cell>
          <cell r="Q76">
            <v>916.83538363404421</v>
          </cell>
          <cell r="R76">
            <v>30.561179454468139</v>
          </cell>
          <cell r="S76">
            <v>1.2733824772695057</v>
          </cell>
        </row>
      </sheetData>
      <sheetData sheetId="15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157.30016402405687</v>
          </cell>
          <cell r="C76">
            <v>211</v>
          </cell>
          <cell r="D76">
            <v>230.50027337342814</v>
          </cell>
          <cell r="E76">
            <v>204</v>
          </cell>
          <cell r="F76">
            <v>131</v>
          </cell>
          <cell r="G76">
            <v>136.59978130125751</v>
          </cell>
          <cell r="H76">
            <v>226.10019841269843</v>
          </cell>
          <cell r="I76">
            <v>319.89980158730162</v>
          </cell>
          <cell r="J76">
            <v>230.5</v>
          </cell>
          <cell r="K76">
            <v>207.69990079365078</v>
          </cell>
          <cell r="L76">
            <v>132.8998015873016</v>
          </cell>
          <cell r="M76">
            <v>200.69990079365081</v>
          </cell>
          <cell r="P76">
            <v>4619.0994797226349</v>
          </cell>
          <cell r="Q76">
            <v>384.92495664355289</v>
          </cell>
          <cell r="R76">
            <v>12.83083188811843</v>
          </cell>
          <cell r="S76">
            <v>0.53461799533826793</v>
          </cell>
        </row>
      </sheetData>
      <sheetData sheetId="16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64.96719518862767</v>
          </cell>
          <cell r="C76">
            <v>65.500273373428101</v>
          </cell>
          <cell r="D76">
            <v>75.599781301257522</v>
          </cell>
          <cell r="E76">
            <v>62.200109349371246</v>
          </cell>
          <cell r="F76">
            <v>9.0000000000000018</v>
          </cell>
          <cell r="G76">
            <v>1.5002733734281029</v>
          </cell>
          <cell r="H76">
            <v>136.69990079365078</v>
          </cell>
          <cell r="I76">
            <v>111.1999007936508</v>
          </cell>
          <cell r="J76">
            <v>125.99999999999999</v>
          </cell>
          <cell r="K76">
            <v>113.30059523809523</v>
          </cell>
          <cell r="L76">
            <v>132.19990079365078</v>
          </cell>
          <cell r="M76">
            <v>241.80009920634919</v>
          </cell>
          <cell r="P76">
            <v>2214.9688636343908</v>
          </cell>
          <cell r="Q76">
            <v>184.58073863619924</v>
          </cell>
          <cell r="R76">
            <v>6.1526912878733082</v>
          </cell>
          <cell r="S76">
            <v>0.25636213699472116</v>
          </cell>
        </row>
      </sheetData>
      <sheetData sheetId="17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KVA / KWA</v>
          </cell>
          <cell r="G3" t="str">
            <v>Annual Usage</v>
          </cell>
          <cell r="H3" t="str">
            <v>Monthly Average</v>
          </cell>
          <cell r="I3" t="str">
            <v>Daily Average</v>
          </cell>
          <cell r="J3" t="str">
            <v>Hourly Average</v>
          </cell>
          <cell r="K3" t="str">
            <v>Converted</v>
          </cell>
        </row>
        <row r="76">
          <cell r="A76" t="str">
            <v>Water</v>
          </cell>
          <cell r="B76">
            <v>64.699835975943131</v>
          </cell>
          <cell r="C76">
            <v>42.799890650628761</v>
          </cell>
          <cell r="D76">
            <v>362.30016402405687</v>
          </cell>
          <cell r="E76">
            <v>308.69983597594313</v>
          </cell>
          <cell r="F76">
            <v>0</v>
          </cell>
          <cell r="G76">
            <v>778.49972662657183</v>
          </cell>
          <cell r="H76">
            <v>58.857308201058196</v>
          </cell>
          <cell r="I76">
            <v>1.9619102733686067</v>
          </cell>
          <cell r="J76">
            <v>8.1746261390358607E-2</v>
          </cell>
          <cell r="K76">
            <v>0</v>
          </cell>
          <cell r="L76">
            <v>0</v>
          </cell>
          <cell r="M76">
            <v>0</v>
          </cell>
          <cell r="P76">
            <v>3171.1010000019787</v>
          </cell>
          <cell r="Q76">
            <v>264.25841666683158</v>
          </cell>
          <cell r="R76">
            <v>8.8086138888943868</v>
          </cell>
          <cell r="S76">
            <v>0.36702557870393276</v>
          </cell>
        </row>
      </sheetData>
      <sheetData sheetId="18" refreshError="1">
        <row r="3">
          <cell r="B3" t="str">
            <v>Jul '17</v>
          </cell>
          <cell r="C3" t="str">
            <v>Aug '17</v>
          </cell>
          <cell r="D3" t="str">
            <v>Sept '17</v>
          </cell>
          <cell r="E3" t="str">
            <v>Oct '17</v>
          </cell>
          <cell r="F3" t="str">
            <v>Nov '17</v>
          </cell>
          <cell r="G3" t="str">
            <v>Dec '17</v>
          </cell>
          <cell r="H3" t="str">
            <v>Jan '18</v>
          </cell>
          <cell r="I3" t="str">
            <v>Feb '18</v>
          </cell>
          <cell r="J3" t="str">
            <v>KVA / KWA</v>
          </cell>
          <cell r="K3" t="str">
            <v>Annual Usage</v>
          </cell>
          <cell r="L3" t="str">
            <v>Monthly Average</v>
          </cell>
          <cell r="M3" t="str">
            <v>Daily Average</v>
          </cell>
        </row>
        <row r="76">
          <cell r="A76" t="str">
            <v>Water</v>
          </cell>
          <cell r="B76">
            <v>227.50246036085295</v>
          </cell>
          <cell r="C76">
            <v>243.48496446145435</v>
          </cell>
          <cell r="D76">
            <v>215.15746309458723</v>
          </cell>
          <cell r="E76">
            <v>294.73920174958994</v>
          </cell>
          <cell r="F76">
            <v>0</v>
          </cell>
          <cell r="G76">
            <v>1829.9168944778569</v>
          </cell>
          <cell r="P76">
            <v>2583.2985237834882</v>
          </cell>
          <cell r="Q76">
            <v>215.27487698195736</v>
          </cell>
          <cell r="R76">
            <v>7.1758292327319122</v>
          </cell>
          <cell r="S76">
            <v>0.29899288469716301</v>
          </cell>
        </row>
      </sheetData>
      <sheetData sheetId="19" refreshError="1">
        <row r="3">
          <cell r="B3" t="str">
            <v>Mar '17</v>
          </cell>
          <cell r="C3" t="str">
            <v>Apr '17</v>
          </cell>
          <cell r="D3" t="str">
            <v>May '17</v>
          </cell>
          <cell r="E3" t="str">
            <v>Jun '17</v>
          </cell>
          <cell r="F3" t="str">
            <v>Jul '17</v>
          </cell>
          <cell r="G3" t="str">
            <v>Aug '17</v>
          </cell>
          <cell r="H3" t="str">
            <v>Sept '17</v>
          </cell>
          <cell r="I3" t="str">
            <v>Oct '17</v>
          </cell>
          <cell r="J3" t="str">
            <v>Nov '17</v>
          </cell>
          <cell r="K3" t="str">
            <v>Dec '17</v>
          </cell>
          <cell r="L3" t="str">
            <v>Jan '18</v>
          </cell>
          <cell r="M3" t="str">
            <v>Feb '18</v>
          </cell>
        </row>
        <row r="76">
          <cell r="A76" t="str">
            <v>Water</v>
          </cell>
          <cell r="B76">
            <v>160.89994532531441</v>
          </cell>
          <cell r="C76">
            <v>153.10005467468562</v>
          </cell>
          <cell r="D76">
            <v>191.20010934937125</v>
          </cell>
          <cell r="E76">
            <v>159.10005467468562</v>
          </cell>
          <cell r="F76">
            <v>181</v>
          </cell>
          <cell r="G76">
            <v>176.79989065062878</v>
          </cell>
          <cell r="H76">
            <v>210.89980158730157</v>
          </cell>
          <cell r="I76">
            <v>29.999999999999996</v>
          </cell>
          <cell r="J76">
            <v>206.10019841269838</v>
          </cell>
          <cell r="K76">
            <v>209.80009920634919</v>
          </cell>
          <cell r="L76">
            <v>191.39980158730157</v>
          </cell>
          <cell r="M76">
            <v>182.30009920634922</v>
          </cell>
          <cell r="P76">
            <v>3944.3001640240564</v>
          </cell>
          <cell r="Q76">
            <v>328.69168033533805</v>
          </cell>
          <cell r="R76">
            <v>10.956389344511269</v>
          </cell>
          <cell r="S76">
            <v>0.45651622268796954</v>
          </cell>
        </row>
      </sheetData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zoomScale="71" zoomScaleNormal="71" workbookViewId="0">
      <selection activeCell="E1" sqref="E1"/>
    </sheetView>
  </sheetViews>
  <sheetFormatPr defaultRowHeight="18.75" x14ac:dyDescent="0.3"/>
  <cols>
    <col min="1" max="1" width="24.28515625" style="241" customWidth="1"/>
    <col min="2" max="2" width="57.28515625" style="241" customWidth="1"/>
    <col min="3" max="13" width="24.7109375" style="241" customWidth="1"/>
    <col min="14" max="16384" width="9.140625" style="241"/>
  </cols>
  <sheetData>
    <row r="1" spans="1:13" ht="19.5" thickBot="1" x14ac:dyDescent="0.35">
      <c r="A1" s="82" t="s">
        <v>13</v>
      </c>
      <c r="B1" s="83" t="s">
        <v>14</v>
      </c>
      <c r="C1" s="84"/>
      <c r="D1" s="297" t="s">
        <v>15</v>
      </c>
    </row>
    <row r="2" spans="1:13" x14ac:dyDescent="0.3">
      <c r="A2" s="298" t="s">
        <v>16</v>
      </c>
      <c r="B2" s="298" t="s">
        <v>86</v>
      </c>
      <c r="C2" s="298"/>
      <c r="D2" s="299">
        <v>7905</v>
      </c>
    </row>
    <row r="3" spans="1:13" x14ac:dyDescent="0.3">
      <c r="A3" s="300" t="s">
        <v>17</v>
      </c>
      <c r="B3" s="300" t="s">
        <v>18</v>
      </c>
      <c r="C3" s="300"/>
      <c r="D3" s="301">
        <v>2092</v>
      </c>
      <c r="E3" s="245"/>
      <c r="F3" s="245"/>
      <c r="G3" s="245"/>
      <c r="H3" s="245"/>
      <c r="I3" s="245"/>
      <c r="J3" s="245"/>
      <c r="K3" s="245"/>
      <c r="L3" s="245"/>
      <c r="M3" s="245"/>
    </row>
    <row r="4" spans="1:13" x14ac:dyDescent="0.3">
      <c r="A4" s="302" t="s">
        <v>19</v>
      </c>
      <c r="B4" s="302" t="s">
        <v>20</v>
      </c>
      <c r="C4" s="302"/>
      <c r="D4" s="299">
        <v>7821</v>
      </c>
    </row>
    <row r="5" spans="1:13" x14ac:dyDescent="0.3">
      <c r="A5" s="302" t="s">
        <v>21</v>
      </c>
      <c r="B5" s="302" t="s">
        <v>22</v>
      </c>
      <c r="C5" s="302"/>
      <c r="D5" s="299">
        <v>4320</v>
      </c>
    </row>
    <row r="6" spans="1:13" x14ac:dyDescent="0.3">
      <c r="A6" s="302" t="s">
        <v>23</v>
      </c>
      <c r="B6" s="302" t="s">
        <v>24</v>
      </c>
      <c r="C6" s="302"/>
      <c r="D6" s="299">
        <v>4600</v>
      </c>
    </row>
    <row r="7" spans="1:13" x14ac:dyDescent="0.3">
      <c r="A7" s="302" t="s">
        <v>25</v>
      </c>
      <c r="B7" s="302" t="s">
        <v>80</v>
      </c>
      <c r="C7" s="302"/>
      <c r="D7" s="299">
        <v>5129</v>
      </c>
    </row>
    <row r="8" spans="1:13" x14ac:dyDescent="0.3">
      <c r="A8" s="302" t="s">
        <v>25</v>
      </c>
      <c r="B8" s="302" t="s">
        <v>80</v>
      </c>
      <c r="C8" s="302"/>
      <c r="D8" s="299">
        <v>3483</v>
      </c>
    </row>
    <row r="9" spans="1:13" x14ac:dyDescent="0.3">
      <c r="A9" s="302" t="s">
        <v>26</v>
      </c>
      <c r="B9" s="302" t="s">
        <v>27</v>
      </c>
      <c r="C9" s="302"/>
      <c r="D9" s="299">
        <v>7312</v>
      </c>
    </row>
    <row r="10" spans="1:13" x14ac:dyDescent="0.3">
      <c r="A10" s="302" t="s">
        <v>28</v>
      </c>
      <c r="B10" s="302" t="s">
        <v>29</v>
      </c>
      <c r="C10" s="302"/>
      <c r="D10" s="299">
        <v>9562</v>
      </c>
    </row>
    <row r="11" spans="1:13" x14ac:dyDescent="0.3">
      <c r="A11" s="302" t="s">
        <v>30</v>
      </c>
      <c r="B11" s="302" t="s">
        <v>31</v>
      </c>
      <c r="C11" s="302"/>
      <c r="D11" s="299">
        <v>1883</v>
      </c>
    </row>
    <row r="12" spans="1:13" x14ac:dyDescent="0.3">
      <c r="A12" s="302" t="s">
        <v>30</v>
      </c>
      <c r="B12" s="302" t="s">
        <v>29</v>
      </c>
      <c r="C12" s="302"/>
      <c r="D12" s="299">
        <v>1569</v>
      </c>
    </row>
    <row r="13" spans="1:13" x14ac:dyDescent="0.3">
      <c r="A13" s="302" t="s">
        <v>32</v>
      </c>
      <c r="B13" s="302" t="s">
        <v>33</v>
      </c>
      <c r="C13" s="302"/>
      <c r="D13" s="299">
        <v>2594</v>
      </c>
    </row>
    <row r="14" spans="1:13" x14ac:dyDescent="0.3">
      <c r="A14" s="302" t="s">
        <v>34</v>
      </c>
      <c r="B14" s="302" t="s">
        <v>35</v>
      </c>
      <c r="C14" s="302"/>
      <c r="D14" s="299">
        <v>12584</v>
      </c>
    </row>
    <row r="15" spans="1:13" x14ac:dyDescent="0.3">
      <c r="A15" s="302" t="s">
        <v>36</v>
      </c>
      <c r="B15" s="302" t="s">
        <v>37</v>
      </c>
      <c r="C15" s="302"/>
      <c r="D15" s="299">
        <v>8031</v>
      </c>
    </row>
    <row r="16" spans="1:13" x14ac:dyDescent="0.3">
      <c r="A16" s="302" t="s">
        <v>38</v>
      </c>
      <c r="B16" s="302" t="s">
        <v>39</v>
      </c>
      <c r="C16" s="302"/>
      <c r="D16" s="299">
        <v>10593</v>
      </c>
    </row>
    <row r="17" spans="1:4" x14ac:dyDescent="0.3">
      <c r="A17" s="302" t="s">
        <v>40</v>
      </c>
      <c r="B17" s="302" t="s">
        <v>35</v>
      </c>
      <c r="C17" s="302"/>
      <c r="D17" s="299">
        <v>12818</v>
      </c>
    </row>
    <row r="18" spans="1:4" x14ac:dyDescent="0.3">
      <c r="A18" s="302" t="s">
        <v>41</v>
      </c>
      <c r="B18" s="302" t="s">
        <v>42</v>
      </c>
      <c r="C18" s="302"/>
      <c r="D18" s="299">
        <f>5300+2650</f>
        <v>7950</v>
      </c>
    </row>
    <row r="19" spans="1:4" x14ac:dyDescent="0.3">
      <c r="A19" s="303" t="s">
        <v>40</v>
      </c>
      <c r="B19" s="303" t="s">
        <v>83</v>
      </c>
      <c r="C19" s="302"/>
      <c r="D19" s="304">
        <v>12818</v>
      </c>
    </row>
    <row r="24" spans="1:4" x14ac:dyDescent="0.3">
      <c r="C24" s="246"/>
    </row>
    <row r="25" spans="1:4" x14ac:dyDescent="0.3">
      <c r="C25" s="246"/>
    </row>
    <row r="26" spans="1:4" x14ac:dyDescent="0.3">
      <c r="C26" s="246"/>
    </row>
    <row r="27" spans="1:4" x14ac:dyDescent="0.3">
      <c r="C27" s="246"/>
    </row>
    <row r="28" spans="1:4" x14ac:dyDescent="0.3">
      <c r="A28" s="247"/>
      <c r="C28" s="246"/>
    </row>
    <row r="29" spans="1:4" x14ac:dyDescent="0.3">
      <c r="C29" s="246"/>
    </row>
    <row r="30" spans="1:4" x14ac:dyDescent="0.3">
      <c r="C30" s="246"/>
    </row>
    <row r="31" spans="1:4" x14ac:dyDescent="0.3">
      <c r="A31" s="248"/>
      <c r="C31" s="249"/>
    </row>
    <row r="32" spans="1:4" x14ac:dyDescent="0.3">
      <c r="C32" s="249"/>
    </row>
    <row r="33" spans="3:3" x14ac:dyDescent="0.3">
      <c r="C33" s="249"/>
    </row>
    <row r="34" spans="3:3" x14ac:dyDescent="0.3">
      <c r="C34" s="249"/>
    </row>
  </sheetData>
  <pageMargins left="0.70866141732283472" right="0.70866141732283472" top="0.74803149606299213" bottom="0.74803149606299213" header="0.31496062992125984" footer="0.31496062992125984"/>
  <pageSetup paperSize="9" scale="99" fitToHeight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44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Complete!B9</f>
        <v>Zodiac Pool Care South Africa (Pty) Ltd</v>
      </c>
      <c r="B1" s="79"/>
      <c r="C1" s="86" t="str">
        <f>Complete!A9</f>
        <v>4 Slate Road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106.99</v>
      </c>
      <c r="C5" s="105">
        <v>102.82</v>
      </c>
      <c r="D5" s="106">
        <v>94.46</v>
      </c>
      <c r="E5" s="107">
        <v>95.35</v>
      </c>
      <c r="F5" s="107">
        <v>97.13</v>
      </c>
      <c r="G5" s="107">
        <v>103.46</v>
      </c>
      <c r="H5" s="107">
        <v>116.05</v>
      </c>
      <c r="I5" s="107">
        <v>118.47</v>
      </c>
      <c r="J5" s="107">
        <v>107.36</v>
      </c>
      <c r="K5" s="107">
        <v>108.14</v>
      </c>
      <c r="L5" s="107">
        <v>101.57</v>
      </c>
      <c r="M5" s="107">
        <v>104.08</v>
      </c>
      <c r="N5" s="100"/>
      <c r="O5" s="108">
        <f>SUM(B5:M5)</f>
        <v>1255.8799999999999</v>
      </c>
      <c r="P5" s="108">
        <f>O5/12</f>
        <v>104.65666666666665</v>
      </c>
      <c r="Q5" s="108">
        <f>P5/30</f>
        <v>3.4885555555555552</v>
      </c>
      <c r="R5" s="108">
        <f>Q5/24</f>
        <v>0.14535648148148148</v>
      </c>
      <c r="S5" s="89">
        <v>0</v>
      </c>
      <c r="T5" s="89">
        <v>0</v>
      </c>
      <c r="U5" s="89">
        <v>0</v>
      </c>
      <c r="V5" s="89">
        <v>0</v>
      </c>
      <c r="X5" s="108">
        <f>O5</f>
        <v>1255.8799999999999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16743.934999999998</v>
      </c>
      <c r="C7" s="111">
        <f t="shared" ref="C7:M7" si="0">C6*C5</f>
        <v>16101.611999999999</v>
      </c>
      <c r="D7" s="112">
        <f t="shared" si="0"/>
        <v>14792.435999999998</v>
      </c>
      <c r="E7" s="113">
        <f t="shared" si="0"/>
        <v>14931.809999999998</v>
      </c>
      <c r="F7" s="113">
        <f t="shared" si="0"/>
        <v>15210.557999999999</v>
      </c>
      <c r="G7" s="113">
        <f t="shared" si="0"/>
        <v>16201.835999999999</v>
      </c>
      <c r="H7" s="113">
        <f t="shared" si="0"/>
        <v>18509.974999999999</v>
      </c>
      <c r="I7" s="113">
        <f t="shared" si="0"/>
        <v>18895.965</v>
      </c>
      <c r="J7" s="113">
        <f t="shared" si="0"/>
        <v>17123.919999999998</v>
      </c>
      <c r="K7" s="113">
        <f t="shared" si="0"/>
        <v>17248.330000000002</v>
      </c>
      <c r="L7" s="113">
        <f t="shared" si="0"/>
        <v>16200.414999999999</v>
      </c>
      <c r="M7" s="113">
        <f t="shared" si="0"/>
        <v>16600.759999999998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12.789</v>
      </c>
      <c r="C8" s="238">
        <v>13.063000000000001</v>
      </c>
      <c r="D8" s="124">
        <v>13.55</v>
      </c>
      <c r="E8" s="207">
        <v>10.273999999999999</v>
      </c>
      <c r="F8" s="207">
        <v>12.069000000000001</v>
      </c>
      <c r="G8" s="207">
        <v>12.188000000000001</v>
      </c>
      <c r="H8" s="207">
        <v>15.263999999999999</v>
      </c>
      <c r="I8" s="207">
        <v>16.663</v>
      </c>
      <c r="J8" s="207">
        <v>15.462999999999999</v>
      </c>
      <c r="K8" s="207">
        <v>16.059999999999999</v>
      </c>
      <c r="L8" s="207">
        <v>16.291</v>
      </c>
      <c r="M8" s="207">
        <v>11.646000000000001</v>
      </c>
      <c r="N8" s="100"/>
      <c r="O8" s="108">
        <f>SUM(B8:M8)</f>
        <v>165.32</v>
      </c>
      <c r="P8" s="108">
        <f>O8/12</f>
        <v>13.776666666666666</v>
      </c>
      <c r="Q8" s="108">
        <f>P8/30</f>
        <v>0.4592222222222222</v>
      </c>
      <c r="R8" s="108">
        <f>Q8/24</f>
        <v>1.9134259259259257E-2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9489.4380000000001</v>
      </c>
      <c r="C10" s="322">
        <f t="shared" ref="C10:M10" si="1">SUM(C8*C9)*1000</f>
        <v>9692.7459999999992</v>
      </c>
      <c r="D10" s="322">
        <f t="shared" si="1"/>
        <v>10054.1</v>
      </c>
      <c r="E10" s="322">
        <f t="shared" si="1"/>
        <v>7623.3079999999991</v>
      </c>
      <c r="F10" s="322">
        <f t="shared" si="1"/>
        <v>8955.1980000000003</v>
      </c>
      <c r="G10" s="322">
        <f t="shared" si="1"/>
        <v>13961.353999999999</v>
      </c>
      <c r="H10" s="322">
        <f t="shared" si="1"/>
        <v>17813.088</v>
      </c>
      <c r="I10" s="322">
        <f t="shared" si="1"/>
        <v>19445.721000000001</v>
      </c>
      <c r="J10" s="322">
        <f t="shared" si="1"/>
        <v>11690.028</v>
      </c>
      <c r="K10" s="322">
        <f t="shared" si="1"/>
        <v>12141.359999999999</v>
      </c>
      <c r="L10" s="322">
        <f t="shared" si="1"/>
        <v>12315.996000000001</v>
      </c>
      <c r="M10" s="322">
        <f t="shared" si="1"/>
        <v>8804.376000000002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4.74</v>
      </c>
      <c r="D11" s="124">
        <v>3.91</v>
      </c>
      <c r="E11" s="207">
        <v>3.496</v>
      </c>
      <c r="F11" s="207">
        <v>4.5869999999999997</v>
      </c>
      <c r="G11" s="207">
        <v>4.7590000000000003</v>
      </c>
      <c r="H11" s="207">
        <v>6.359</v>
      </c>
      <c r="I11" s="207">
        <v>6.6749999999999998</v>
      </c>
      <c r="J11" s="207">
        <v>5.6719999999999997</v>
      </c>
      <c r="K11" s="207">
        <v>6.0890000000000004</v>
      </c>
      <c r="L11" s="207">
        <v>5.88</v>
      </c>
      <c r="M11" s="207">
        <v>4.4969999999999999</v>
      </c>
      <c r="N11" s="100"/>
      <c r="O11" s="108">
        <f>SUM(B11:M11)</f>
        <v>60.494999999999997</v>
      </c>
      <c r="P11" s="108">
        <f>O11/12</f>
        <v>5.0412499999999998</v>
      </c>
      <c r="Q11" s="108">
        <f>P11/30</f>
        <v>0.16804166666666667</v>
      </c>
      <c r="R11" s="108">
        <f>Q11/24</f>
        <v>7.0017361111111114E-3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5692.7400000000007</v>
      </c>
      <c r="D13" s="110">
        <f t="shared" si="2"/>
        <v>4695.9100000000008</v>
      </c>
      <c r="E13" s="110">
        <f t="shared" si="2"/>
        <v>4198.6959999999999</v>
      </c>
      <c r="F13" s="110">
        <f t="shared" si="2"/>
        <v>5508.9870000000001</v>
      </c>
      <c r="G13" s="110">
        <f t="shared" si="2"/>
        <v>14924.224000000002</v>
      </c>
      <c r="H13" s="110">
        <f t="shared" si="2"/>
        <v>20317.004999999997</v>
      </c>
      <c r="I13" s="110">
        <f t="shared" si="2"/>
        <v>21326.625</v>
      </c>
      <c r="J13" s="110">
        <f t="shared" si="2"/>
        <v>6942.5279999999993</v>
      </c>
      <c r="K13" s="110">
        <f t="shared" si="2"/>
        <v>7452.9360000000006</v>
      </c>
      <c r="L13" s="110">
        <f t="shared" si="2"/>
        <v>7197.12</v>
      </c>
      <c r="M13" s="110">
        <f t="shared" si="2"/>
        <v>5504.3280000000004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4.0519999999999996</v>
      </c>
      <c r="C14" s="118">
        <v>4.1630000000000003</v>
      </c>
      <c r="D14" s="119">
        <v>3.7309999999999999</v>
      </c>
      <c r="E14" s="120">
        <v>3.7639999999999998</v>
      </c>
      <c r="F14" s="120">
        <v>3.2490000000000001</v>
      </c>
      <c r="G14" s="120">
        <v>3.5630000000000002</v>
      </c>
      <c r="H14" s="120">
        <v>8.5530000000000008</v>
      </c>
      <c r="I14" s="120">
        <v>9.1910000000000007</v>
      </c>
      <c r="J14" s="120">
        <v>8.4949999999999992</v>
      </c>
      <c r="K14" s="120">
        <v>8.0830000000000002</v>
      </c>
      <c r="L14" s="120">
        <v>8.1150000000000002</v>
      </c>
      <c r="M14" s="120">
        <v>7.5250000000000004</v>
      </c>
      <c r="N14" s="100"/>
      <c r="O14" s="108">
        <f>SUM(B14:M14)</f>
        <v>72.483999999999995</v>
      </c>
      <c r="P14" s="108">
        <f>O14/12</f>
        <v>6.0403333333333329</v>
      </c>
      <c r="Q14" s="108">
        <f>P14/30</f>
        <v>0.20134444444444444</v>
      </c>
      <c r="R14" s="108">
        <f>Q14/24</f>
        <v>8.389351851851851E-3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2127.3000000000002</v>
      </c>
      <c r="C16" s="110">
        <f t="shared" ref="C16:M16" si="3">SUM(C14*C15)*1000</f>
        <v>2185.5749999999998</v>
      </c>
      <c r="D16" s="110">
        <f t="shared" si="3"/>
        <v>1958.7749999999999</v>
      </c>
      <c r="E16" s="110">
        <f t="shared" si="3"/>
        <v>1976.1</v>
      </c>
      <c r="F16" s="110">
        <f t="shared" si="3"/>
        <v>1705.7250000000001</v>
      </c>
      <c r="G16" s="110">
        <f t="shared" si="3"/>
        <v>2173.4300000000003</v>
      </c>
      <c r="H16" s="110">
        <f t="shared" si="3"/>
        <v>5319.9660000000013</v>
      </c>
      <c r="I16" s="110">
        <f t="shared" si="3"/>
        <v>5716.8020000000006</v>
      </c>
      <c r="J16" s="110">
        <f t="shared" si="3"/>
        <v>4544.8249999999998</v>
      </c>
      <c r="K16" s="110">
        <f t="shared" si="3"/>
        <v>4324.4050000000007</v>
      </c>
      <c r="L16" s="110">
        <f t="shared" si="3"/>
        <v>4341.5250000000005</v>
      </c>
      <c r="M16" s="110">
        <f t="shared" si="3"/>
        <v>4025.875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225">
        <v>1607.69</v>
      </c>
      <c r="C17" s="126">
        <v>1878.38</v>
      </c>
      <c r="D17" s="125">
        <v>1949.71</v>
      </c>
      <c r="E17" s="127">
        <v>1730.23</v>
      </c>
      <c r="F17" s="127">
        <v>2412.4499999999998</v>
      </c>
      <c r="G17" s="127">
        <v>2527.6799999999998</v>
      </c>
      <c r="H17" s="127">
        <v>3100.67</v>
      </c>
      <c r="I17" s="127">
        <v>3302.21</v>
      </c>
      <c r="J17" s="127">
        <v>2884.9</v>
      </c>
      <c r="K17" s="127">
        <v>3070.37</v>
      </c>
      <c r="L17" s="127">
        <v>2175.2600000000002</v>
      </c>
      <c r="M17" s="127">
        <v>3201.41</v>
      </c>
      <c r="N17" s="100"/>
      <c r="O17" s="108">
        <f>SUM(B17:M17)</f>
        <v>29840.960000000003</v>
      </c>
      <c r="P17" s="108">
        <f>O17/12</f>
        <v>2486.7466666666669</v>
      </c>
      <c r="Q17" s="108">
        <f>P17/30</f>
        <v>82.89155555555557</v>
      </c>
      <c r="R17" s="108">
        <f>Q17/24</f>
        <v>3.4538148148148156</v>
      </c>
    </row>
    <row r="18" spans="1:28" x14ac:dyDescent="0.3">
      <c r="A18" s="103" t="s">
        <v>1</v>
      </c>
      <c r="B18" s="226">
        <v>479.05</v>
      </c>
      <c r="C18" s="126">
        <v>559.72</v>
      </c>
      <c r="D18" s="128">
        <v>580.97</v>
      </c>
      <c r="E18" s="129">
        <v>515.57000000000005</v>
      </c>
      <c r="F18" s="129">
        <v>718.86</v>
      </c>
      <c r="G18" s="129">
        <v>753.19</v>
      </c>
      <c r="H18" s="129">
        <v>924.34</v>
      </c>
      <c r="I18" s="129">
        <v>984.44</v>
      </c>
      <c r="J18" s="129">
        <v>860.03</v>
      </c>
      <c r="K18" s="129">
        <v>915.32</v>
      </c>
      <c r="L18" s="129">
        <v>648.48</v>
      </c>
      <c r="M18" s="129">
        <v>954.39</v>
      </c>
      <c r="N18" s="100"/>
      <c r="O18" s="108">
        <f>SUM(B18:M18)</f>
        <v>8894.3599999999988</v>
      </c>
      <c r="P18" s="108">
        <f>O18/12</f>
        <v>741.1966666666666</v>
      </c>
      <c r="Q18" s="108">
        <f>P18/30</f>
        <v>24.706555555555553</v>
      </c>
      <c r="R18" s="108">
        <f>Q18/24</f>
        <v>1.0294398148148147</v>
      </c>
    </row>
    <row r="19" spans="1:28" x14ac:dyDescent="0.3">
      <c r="A19" s="103" t="s">
        <v>0</v>
      </c>
      <c r="B19" s="226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227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20.672000000000001</v>
      </c>
      <c r="C22" s="314">
        <f>C8+C11+C14</f>
        <v>21.966000000000001</v>
      </c>
      <c r="D22" s="314">
        <f t="shared" ref="D22:M22" si="4">D8+D11+D14</f>
        <v>21.191000000000003</v>
      </c>
      <c r="E22" s="314">
        <f t="shared" si="4"/>
        <v>17.533999999999999</v>
      </c>
      <c r="F22" s="314">
        <f t="shared" si="4"/>
        <v>19.904999999999998</v>
      </c>
      <c r="G22" s="314">
        <f t="shared" si="4"/>
        <v>20.51</v>
      </c>
      <c r="H22" s="314">
        <f t="shared" si="4"/>
        <v>30.175999999999998</v>
      </c>
      <c r="I22" s="314">
        <f t="shared" si="4"/>
        <v>32.529000000000003</v>
      </c>
      <c r="J22" s="314">
        <f t="shared" si="4"/>
        <v>29.629999999999995</v>
      </c>
      <c r="K22" s="314">
        <f t="shared" si="4"/>
        <v>30.231999999999999</v>
      </c>
      <c r="L22" s="314">
        <f t="shared" si="4"/>
        <v>30.286000000000001</v>
      </c>
      <c r="M22" s="314">
        <f t="shared" si="4"/>
        <v>23.667999999999999</v>
      </c>
      <c r="N22" s="138"/>
      <c r="O22" s="108">
        <f>SUM(B22:M22)</f>
        <v>298.29899999999998</v>
      </c>
      <c r="P22" s="108">
        <f>O22/12</f>
        <v>24.858249999999998</v>
      </c>
      <c r="Q22" s="108">
        <f>P22/30</f>
        <v>0.82860833333333328</v>
      </c>
      <c r="R22" s="108">
        <f>Q22/24</f>
        <v>3.4525347222222218E-2</v>
      </c>
    </row>
    <row r="23" spans="1:28" s="115" customFormat="1" ht="19.5" thickBot="1" x14ac:dyDescent="0.35">
      <c r="A23" s="139" t="s">
        <v>12</v>
      </c>
      <c r="B23" s="140">
        <f>B16+B13+B10+B17+B18+B19+B20+B7</f>
        <v>35404.733999999997</v>
      </c>
      <c r="C23" s="141">
        <f t="shared" ref="C23:M23" si="5">C16+C13+C10+C17+C18+C19+C20+C7</f>
        <v>36467.063000000002</v>
      </c>
      <c r="D23" s="140">
        <f t="shared" si="5"/>
        <v>34388.190999999999</v>
      </c>
      <c r="E23" s="142">
        <f t="shared" si="5"/>
        <v>31332.003999999997</v>
      </c>
      <c r="F23" s="142">
        <f t="shared" si="5"/>
        <v>34868.067999999999</v>
      </c>
      <c r="G23" s="142">
        <f t="shared" si="5"/>
        <v>50898.004000000001</v>
      </c>
      <c r="H23" s="142">
        <f t="shared" si="5"/>
        <v>66356.003999999986</v>
      </c>
      <c r="I23" s="142">
        <f t="shared" si="5"/>
        <v>70042.722999999998</v>
      </c>
      <c r="J23" s="142">
        <f t="shared" si="5"/>
        <v>44417.191000000006</v>
      </c>
      <c r="K23" s="142">
        <f t="shared" si="5"/>
        <v>45523.681000000004</v>
      </c>
      <c r="L23" s="142">
        <f>L16+L13+L10+L17+L18+L19+L20+L7</f>
        <v>43249.756000000008</v>
      </c>
      <c r="M23" s="142">
        <f t="shared" si="5"/>
        <v>39462.099000000002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Complete!D9</f>
        <v>7312</v>
      </c>
      <c r="C29" s="150">
        <f>B29</f>
        <v>7312</v>
      </c>
      <c r="D29" s="151">
        <f>C29</f>
        <v>7312</v>
      </c>
      <c r="E29" s="151">
        <f>D29</f>
        <v>7312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1255.8799999999999</v>
      </c>
      <c r="C31" s="154">
        <f>P5</f>
        <v>104.65666666666665</v>
      </c>
      <c r="D31" s="154">
        <f>Q5</f>
        <v>3.4885555555555552</v>
      </c>
      <c r="E31" s="154">
        <f>R5</f>
        <v>0.14535648148148148</v>
      </c>
      <c r="F31" s="154"/>
      <c r="AB31" s="155">
        <f>SUM(B22:M22)</f>
        <v>298.29899999999998</v>
      </c>
    </row>
    <row r="32" spans="1:28" x14ac:dyDescent="0.3">
      <c r="A32" s="116" t="s">
        <v>5</v>
      </c>
      <c r="B32" s="124">
        <f>O8</f>
        <v>165.32</v>
      </c>
      <c r="C32" s="207">
        <f>P8</f>
        <v>13.776666666666666</v>
      </c>
      <c r="D32" s="207">
        <f>Q8</f>
        <v>0.4592222222222222</v>
      </c>
      <c r="E32" s="207">
        <f>R8</f>
        <v>1.9134259259259257E-2</v>
      </c>
      <c r="F32" s="156"/>
      <c r="AB32" s="143">
        <f>AB31/12</f>
        <v>24.858249999999998</v>
      </c>
    </row>
    <row r="33" spans="1:28" x14ac:dyDescent="0.3">
      <c r="A33" s="103" t="s">
        <v>48</v>
      </c>
      <c r="B33" s="104">
        <f>O11</f>
        <v>60.494999999999997</v>
      </c>
      <c r="C33" s="206">
        <f>P11</f>
        <v>5.0412499999999998</v>
      </c>
      <c r="D33" s="206">
        <f>Q11</f>
        <v>0.16804166666666667</v>
      </c>
      <c r="E33" s="206">
        <f>R11</f>
        <v>7.0017361111111114E-3</v>
      </c>
      <c r="F33" s="157"/>
      <c r="AB33" s="88">
        <f>AB32/30</f>
        <v>0.82860833333333328</v>
      </c>
    </row>
    <row r="34" spans="1:28" ht="19.5" thickBot="1" x14ac:dyDescent="0.35">
      <c r="A34" s="131" t="s">
        <v>9</v>
      </c>
      <c r="B34" s="319">
        <f>O14</f>
        <v>72.483999999999995</v>
      </c>
      <c r="C34" s="315">
        <f>P14</f>
        <v>6.0403333333333329</v>
      </c>
      <c r="D34" s="315">
        <f>Q14</f>
        <v>0.20134444444444444</v>
      </c>
      <c r="E34" s="315">
        <f>R14</f>
        <v>8.389351851851851E-3</v>
      </c>
      <c r="F34" s="158"/>
      <c r="AB34" s="88">
        <f>AB33/24</f>
        <v>3.4525347222222218E-2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298.29899999999998</v>
      </c>
      <c r="C36" s="314">
        <f>SUM(C32:C34)</f>
        <v>24.858249999999998</v>
      </c>
      <c r="D36" s="314">
        <f>SUM(D32:D34)</f>
        <v>0.82860833333333328</v>
      </c>
      <c r="E36" s="314">
        <f>SUM(E32:E34)</f>
        <v>3.4525347222222218E-2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40.795815098468267</v>
      </c>
      <c r="C38" s="160">
        <f>C36/C29*1000</f>
        <v>3.3996512582056893</v>
      </c>
      <c r="D38" s="160">
        <f>D36/D29*1000</f>
        <v>0.11332170860685631</v>
      </c>
      <c r="E38" s="160">
        <f>E36/E29*1000</f>
        <v>4.7217378586190129E-3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87.899945325314391</v>
      </c>
      <c r="C76" s="168">
        <f t="shared" si="6"/>
        <v>102.69983597594315</v>
      </c>
      <c r="D76" s="168">
        <f t="shared" si="6"/>
        <v>106.59978130125752</v>
      </c>
      <c r="E76" s="168">
        <f t="shared" si="6"/>
        <v>94.599781301257522</v>
      </c>
      <c r="F76" s="168">
        <f t="shared" si="6"/>
        <v>131.89994532531438</v>
      </c>
      <c r="G76" s="168">
        <f t="shared" si="6"/>
        <v>138.20010934937125</v>
      </c>
      <c r="H76" s="168">
        <f t="shared" ref="H76:M76" si="7">H17/20.16</f>
        <v>153.80307539682539</v>
      </c>
      <c r="I76" s="168">
        <f t="shared" si="7"/>
        <v>163.80009920634922</v>
      </c>
      <c r="J76" s="168">
        <f t="shared" si="7"/>
        <v>143.1001984126984</v>
      </c>
      <c r="K76" s="168">
        <f t="shared" si="7"/>
        <v>152.30009920634919</v>
      </c>
      <c r="L76" s="168">
        <f t="shared" si="7"/>
        <v>107.8998015873016</v>
      </c>
      <c r="M76" s="169">
        <f t="shared" si="7"/>
        <v>158.80009920634919</v>
      </c>
      <c r="N76" s="170">
        <f>SUM(B76:M76)</f>
        <v>1541.6027715943312</v>
      </c>
      <c r="O76" s="195">
        <f>SUM(C76:N76)</f>
        <v>2995.3055978633483</v>
      </c>
      <c r="P76" s="196">
        <f>O76</f>
        <v>2995.3055978633483</v>
      </c>
      <c r="Q76" s="197">
        <f>P76/12</f>
        <v>249.60879982194569</v>
      </c>
      <c r="R76" s="197">
        <f>Q76/30</f>
        <v>8.3202933273981898</v>
      </c>
      <c r="S76" s="198">
        <f>R76/24</f>
        <v>0.34667888864159124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3" manualBreakCount="3">
    <brk id="84" max="16383" man="1"/>
    <brk id="93" max="16383" man="1"/>
    <brk id="94" max="16383" man="1"/>
  </rowBreaks>
  <colBreaks count="3" manualBreakCount="3">
    <brk id="3" max="1048575" man="1"/>
    <brk id="6" max="1048575" man="1"/>
    <brk id="10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21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Complete!B10</f>
        <v>Uti Material Handling (Pty) Ltd</v>
      </c>
      <c r="B1" s="79"/>
      <c r="C1" s="86" t="str">
        <f>Complete!A10</f>
        <v>5 Slate Road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98.11</v>
      </c>
      <c r="C5" s="224">
        <v>105.16</v>
      </c>
      <c r="D5" s="104">
        <v>99.78</v>
      </c>
      <c r="E5" s="206">
        <v>99.13</v>
      </c>
      <c r="F5" s="206">
        <v>96.22</v>
      </c>
      <c r="G5" s="206">
        <v>123.85</v>
      </c>
      <c r="H5" s="206">
        <v>132.32</v>
      </c>
      <c r="I5" s="206">
        <v>122.3</v>
      </c>
      <c r="J5" s="206">
        <v>117.52</v>
      </c>
      <c r="K5" s="206">
        <v>114.79</v>
      </c>
      <c r="L5" s="206">
        <v>118.66</v>
      </c>
      <c r="M5" s="206">
        <v>115.84</v>
      </c>
      <c r="N5" s="100"/>
      <c r="O5" s="108">
        <f>SUM(B5:M5)</f>
        <v>1343.6799999999998</v>
      </c>
      <c r="P5" s="108">
        <f>O5/12</f>
        <v>111.97333333333331</v>
      </c>
      <c r="Q5" s="108">
        <f>P5/30</f>
        <v>3.732444444444444</v>
      </c>
      <c r="R5" s="108">
        <f>Q5/24</f>
        <v>0.1555185185185185</v>
      </c>
      <c r="S5" s="89">
        <v>0</v>
      </c>
      <c r="T5" s="89">
        <v>0</v>
      </c>
      <c r="U5" s="89">
        <v>0</v>
      </c>
      <c r="V5" s="89">
        <v>0</v>
      </c>
      <c r="X5" s="108">
        <f>O5</f>
        <v>1343.6799999999998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15354.215</v>
      </c>
      <c r="C7" s="111">
        <f t="shared" ref="C7:M7" si="0">C6*C5</f>
        <v>16468.056</v>
      </c>
      <c r="D7" s="112">
        <f t="shared" si="0"/>
        <v>15625.547999999999</v>
      </c>
      <c r="E7" s="113">
        <f t="shared" si="0"/>
        <v>15523.757999999998</v>
      </c>
      <c r="F7" s="113">
        <f t="shared" si="0"/>
        <v>15068.052</v>
      </c>
      <c r="G7" s="113">
        <f t="shared" si="0"/>
        <v>19394.91</v>
      </c>
      <c r="H7" s="113">
        <f t="shared" si="0"/>
        <v>21105.039999999997</v>
      </c>
      <c r="I7" s="113">
        <f t="shared" si="0"/>
        <v>19506.849999999999</v>
      </c>
      <c r="J7" s="113">
        <f t="shared" si="0"/>
        <v>18744.439999999999</v>
      </c>
      <c r="K7" s="113">
        <f t="shared" si="0"/>
        <v>18309.005000000001</v>
      </c>
      <c r="L7" s="113">
        <f t="shared" si="0"/>
        <v>18926.27</v>
      </c>
      <c r="M7" s="113">
        <f t="shared" si="0"/>
        <v>18476.48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17.199000000000002</v>
      </c>
      <c r="C8" s="238">
        <v>17.245000000000001</v>
      </c>
      <c r="D8" s="124">
        <v>19.581</v>
      </c>
      <c r="E8" s="207">
        <v>14.922000000000001</v>
      </c>
      <c r="F8" s="207">
        <v>16.885000000000002</v>
      </c>
      <c r="G8" s="207">
        <v>20.145</v>
      </c>
      <c r="H8" s="207">
        <v>20.242000000000001</v>
      </c>
      <c r="I8" s="207">
        <v>21.2</v>
      </c>
      <c r="J8" s="207">
        <v>20.091000000000001</v>
      </c>
      <c r="K8" s="207">
        <v>21.641999999999999</v>
      </c>
      <c r="L8" s="207">
        <v>21.841999999999999</v>
      </c>
      <c r="M8" s="207">
        <v>18.158000000000001</v>
      </c>
      <c r="N8" s="100"/>
      <c r="O8" s="108">
        <f>SUM(B8:M8)</f>
        <v>229.15200000000004</v>
      </c>
      <c r="P8" s="108">
        <f>O8/12</f>
        <v>19.096000000000004</v>
      </c>
      <c r="Q8" s="108">
        <f>P8/30</f>
        <v>0.63653333333333351</v>
      </c>
      <c r="R8" s="108">
        <f>Q8/24</f>
        <v>2.6522222222222228E-2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12761.658000000001</v>
      </c>
      <c r="C10" s="322">
        <f t="shared" ref="C10:M10" si="1">SUM(C8*C9)*1000</f>
        <v>12795.79</v>
      </c>
      <c r="D10" s="322">
        <f t="shared" si="1"/>
        <v>14529.102000000001</v>
      </c>
      <c r="E10" s="322">
        <f t="shared" si="1"/>
        <v>11072.124</v>
      </c>
      <c r="F10" s="322">
        <f t="shared" si="1"/>
        <v>12528.670000000002</v>
      </c>
      <c r="G10" s="322">
        <f t="shared" si="1"/>
        <v>23076.0975</v>
      </c>
      <c r="H10" s="322">
        <f t="shared" si="1"/>
        <v>23622.414000000004</v>
      </c>
      <c r="I10" s="322">
        <f t="shared" si="1"/>
        <v>24740.400000000001</v>
      </c>
      <c r="J10" s="322">
        <f t="shared" si="1"/>
        <v>15188.796000000002</v>
      </c>
      <c r="K10" s="322">
        <f t="shared" si="1"/>
        <v>16361.352000000001</v>
      </c>
      <c r="L10" s="322">
        <f t="shared" si="1"/>
        <v>16512.552</v>
      </c>
      <c r="M10" s="322">
        <f t="shared" si="1"/>
        <v>13727.448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7.0869999999999997</v>
      </c>
      <c r="D11" s="124">
        <v>3.91</v>
      </c>
      <c r="E11" s="207">
        <v>5.6680000000000001</v>
      </c>
      <c r="F11" s="207">
        <v>7.016</v>
      </c>
      <c r="G11" s="207">
        <v>8.3580000000000005</v>
      </c>
      <c r="H11" s="207">
        <v>9.0050000000000008</v>
      </c>
      <c r="I11" s="207">
        <v>8.9719999999999995</v>
      </c>
      <c r="J11" s="207">
        <v>8.1780000000000008</v>
      </c>
      <c r="K11" s="207">
        <v>8.8930000000000007</v>
      </c>
      <c r="L11" s="207">
        <v>8.9819999999999993</v>
      </c>
      <c r="M11" s="207">
        <v>7.4610000000000003</v>
      </c>
      <c r="N11" s="100"/>
      <c r="O11" s="108">
        <f>SUM(B11:M11)</f>
        <v>87.361000000000004</v>
      </c>
      <c r="P11" s="108">
        <f>O11/12</f>
        <v>7.2800833333333337</v>
      </c>
      <c r="Q11" s="108">
        <f>P11/30</f>
        <v>0.24266944444444447</v>
      </c>
      <c r="R11" s="108">
        <f>Q11/24</f>
        <v>1.0111226851851852E-2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8511.487000000001</v>
      </c>
      <c r="D13" s="110">
        <f t="shared" si="2"/>
        <v>4695.9100000000008</v>
      </c>
      <c r="E13" s="110">
        <f t="shared" si="2"/>
        <v>6807.2680000000009</v>
      </c>
      <c r="F13" s="110">
        <f t="shared" si="2"/>
        <v>8426.2160000000003</v>
      </c>
      <c r="G13" s="110">
        <f t="shared" si="2"/>
        <v>26210.688000000002</v>
      </c>
      <c r="H13" s="110">
        <f t="shared" si="2"/>
        <v>28770.974999999999</v>
      </c>
      <c r="I13" s="110">
        <f t="shared" si="2"/>
        <v>28665.539999999997</v>
      </c>
      <c r="J13" s="110">
        <f t="shared" si="2"/>
        <v>10009.872000000001</v>
      </c>
      <c r="K13" s="110">
        <f t="shared" si="2"/>
        <v>10885.032000000001</v>
      </c>
      <c r="L13" s="110">
        <f t="shared" si="2"/>
        <v>10993.967999999999</v>
      </c>
      <c r="M13" s="110">
        <f t="shared" si="2"/>
        <v>9132.264000000001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9.7650000000000006</v>
      </c>
      <c r="C14" s="118">
        <v>8.5920000000000005</v>
      </c>
      <c r="D14" s="119">
        <v>8.7490000000000006</v>
      </c>
      <c r="E14" s="120">
        <v>9.8130000000000006</v>
      </c>
      <c r="F14" s="120">
        <v>7.2750000000000004</v>
      </c>
      <c r="G14" s="120">
        <v>9.4339999999999993</v>
      </c>
      <c r="H14" s="120">
        <v>8.4760000000000009</v>
      </c>
      <c r="I14" s="120">
        <v>7.4960000000000004</v>
      </c>
      <c r="J14" s="120">
        <v>8.0129999999999999</v>
      </c>
      <c r="K14" s="120">
        <v>8.1760000000000002</v>
      </c>
      <c r="L14" s="120">
        <v>7.0359999999999996</v>
      </c>
      <c r="M14" s="120">
        <v>8.7319999999999993</v>
      </c>
      <c r="N14" s="100"/>
      <c r="O14" s="108">
        <f>SUM(B14:M14)</f>
        <v>101.557</v>
      </c>
      <c r="P14" s="108">
        <f>O14/12</f>
        <v>8.4630833333333335</v>
      </c>
      <c r="Q14" s="108">
        <f>P14/30</f>
        <v>0.28210277777777776</v>
      </c>
      <c r="R14" s="108">
        <f>Q14/24</f>
        <v>1.1754282407407406E-2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5126.6250000000009</v>
      </c>
      <c r="C16" s="110">
        <f t="shared" ref="C16:M16" si="3">SUM(C14*C15)*1000</f>
        <v>4510.8</v>
      </c>
      <c r="D16" s="110">
        <f t="shared" si="3"/>
        <v>4593.2250000000004</v>
      </c>
      <c r="E16" s="110">
        <f t="shared" si="3"/>
        <v>5151.8250000000007</v>
      </c>
      <c r="F16" s="110">
        <f t="shared" si="3"/>
        <v>3819.3750000000005</v>
      </c>
      <c r="G16" s="110">
        <f t="shared" si="3"/>
        <v>5754.7399999999989</v>
      </c>
      <c r="H16" s="110">
        <f t="shared" si="3"/>
        <v>5272.0720000000001</v>
      </c>
      <c r="I16" s="110">
        <f t="shared" si="3"/>
        <v>4662.5120000000006</v>
      </c>
      <c r="J16" s="110">
        <f t="shared" si="3"/>
        <v>4286.9549999999999</v>
      </c>
      <c r="K16" s="110">
        <f t="shared" si="3"/>
        <v>4374.1600000000008</v>
      </c>
      <c r="L16" s="110">
        <f t="shared" si="3"/>
        <v>3764.26</v>
      </c>
      <c r="M16" s="110">
        <f t="shared" si="3"/>
        <v>4671.62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225">
        <v>1355.29</v>
      </c>
      <c r="C17" s="126">
        <v>1746.1</v>
      </c>
      <c r="D17" s="125">
        <v>2174.6799999999998</v>
      </c>
      <c r="E17" s="127">
        <v>1872.9</v>
      </c>
      <c r="F17" s="127">
        <v>2909.94</v>
      </c>
      <c r="G17" s="127">
        <v>3219.04</v>
      </c>
      <c r="H17" s="127">
        <v>3219.55</v>
      </c>
      <c r="I17" s="127">
        <v>4779.9399999999996</v>
      </c>
      <c r="J17" s="127">
        <v>3068.35</v>
      </c>
      <c r="K17" s="127">
        <v>2705.47</v>
      </c>
      <c r="L17" s="127">
        <v>2977.63</v>
      </c>
      <c r="M17" s="127">
        <v>2255.66</v>
      </c>
      <c r="N17" s="100"/>
      <c r="O17" s="108">
        <f>SUM(B17:M17)</f>
        <v>32284.55</v>
      </c>
      <c r="P17" s="108">
        <f>O17/12</f>
        <v>2690.3791666666666</v>
      </c>
      <c r="Q17" s="108">
        <f>P17/30</f>
        <v>89.679305555555558</v>
      </c>
      <c r="R17" s="108">
        <f>Q17/24</f>
        <v>3.7366377314814816</v>
      </c>
    </row>
    <row r="18" spans="1:28" x14ac:dyDescent="0.3">
      <c r="A18" s="103" t="s">
        <v>1</v>
      </c>
      <c r="B18" s="226">
        <v>403.85</v>
      </c>
      <c r="C18" s="126">
        <v>520.48</v>
      </c>
      <c r="D18" s="128">
        <v>648</v>
      </c>
      <c r="E18" s="129">
        <v>558.08000000000004</v>
      </c>
      <c r="F18" s="129">
        <v>867.09</v>
      </c>
      <c r="G18" s="129">
        <v>959.2</v>
      </c>
      <c r="H18" s="129">
        <v>959.8</v>
      </c>
      <c r="I18" s="129">
        <v>1424.97</v>
      </c>
      <c r="J18" s="129">
        <v>914.72</v>
      </c>
      <c r="K18" s="129">
        <v>806.54</v>
      </c>
      <c r="L18" s="129">
        <v>887.68</v>
      </c>
      <c r="M18" s="129">
        <v>663.5</v>
      </c>
      <c r="N18" s="100"/>
      <c r="O18" s="108">
        <f>SUM(B18:M18)</f>
        <v>9613.91</v>
      </c>
      <c r="P18" s="108">
        <f>O18/12</f>
        <v>801.15916666666669</v>
      </c>
      <c r="Q18" s="108">
        <f>P18/30</f>
        <v>26.705305555555558</v>
      </c>
      <c r="R18" s="108">
        <f>Q18/24</f>
        <v>1.1127210648148149</v>
      </c>
    </row>
    <row r="19" spans="1:28" x14ac:dyDescent="0.3">
      <c r="A19" s="103" t="s">
        <v>0</v>
      </c>
      <c r="B19" s="226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227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30.795000000000002</v>
      </c>
      <c r="C22" s="314">
        <f>C8+C11+C14</f>
        <v>32.923999999999999</v>
      </c>
      <c r="D22" s="314">
        <f t="shared" ref="D22:M22" si="4">D8+D11+D14</f>
        <v>32.24</v>
      </c>
      <c r="E22" s="314">
        <f t="shared" si="4"/>
        <v>30.402999999999999</v>
      </c>
      <c r="F22" s="314">
        <f t="shared" si="4"/>
        <v>31.176000000000002</v>
      </c>
      <c r="G22" s="314">
        <f t="shared" si="4"/>
        <v>37.936999999999998</v>
      </c>
      <c r="H22" s="314">
        <f t="shared" si="4"/>
        <v>37.722999999999999</v>
      </c>
      <c r="I22" s="314">
        <f t="shared" si="4"/>
        <v>37.667999999999999</v>
      </c>
      <c r="J22" s="314">
        <f t="shared" si="4"/>
        <v>36.282000000000004</v>
      </c>
      <c r="K22" s="314">
        <f t="shared" si="4"/>
        <v>38.710999999999999</v>
      </c>
      <c r="L22" s="314">
        <f t="shared" si="4"/>
        <v>37.86</v>
      </c>
      <c r="M22" s="314">
        <f t="shared" si="4"/>
        <v>34.350999999999999</v>
      </c>
      <c r="N22" s="138"/>
      <c r="O22" s="108">
        <f>SUM(B22:M22)</f>
        <v>418.07000000000005</v>
      </c>
      <c r="P22" s="108">
        <f>O22/12</f>
        <v>34.839166666666671</v>
      </c>
      <c r="Q22" s="108">
        <f>P22/30</f>
        <v>1.1613055555555556</v>
      </c>
      <c r="R22" s="108">
        <f>Q22/24</f>
        <v>4.8387731481481483E-2</v>
      </c>
    </row>
    <row r="23" spans="1:28" s="115" customFormat="1" ht="19.5" thickBot="1" x14ac:dyDescent="0.35">
      <c r="A23" s="139" t="s">
        <v>12</v>
      </c>
      <c r="B23" s="140">
        <f>B16+B13+B10+B17+B18+B19+B20+B7</f>
        <v>39958.959000000003</v>
      </c>
      <c r="C23" s="141">
        <f t="shared" ref="C23:M23" si="5">C16+C13+C10+C17+C18+C19+C20+C7</f>
        <v>44909.002999999997</v>
      </c>
      <c r="D23" s="140">
        <f t="shared" si="5"/>
        <v>42622.755000000005</v>
      </c>
      <c r="E23" s="142">
        <f t="shared" si="5"/>
        <v>41342.245000000003</v>
      </c>
      <c r="F23" s="142">
        <f t="shared" si="5"/>
        <v>43975.633000000002</v>
      </c>
      <c r="G23" s="142">
        <f t="shared" si="5"/>
        <v>78970.965500000006</v>
      </c>
      <c r="H23" s="142">
        <f t="shared" si="5"/>
        <v>83320.811000000002</v>
      </c>
      <c r="I23" s="142">
        <f t="shared" si="5"/>
        <v>84151.171999999991</v>
      </c>
      <c r="J23" s="142">
        <f t="shared" si="5"/>
        <v>52584.092999999993</v>
      </c>
      <c r="K23" s="142">
        <f t="shared" si="5"/>
        <v>53812.519</v>
      </c>
      <c r="L23" s="142">
        <f>L16+L13+L10+L17+L18+L19+L20+L7</f>
        <v>54433.319999999992</v>
      </c>
      <c r="M23" s="142">
        <f t="shared" si="5"/>
        <v>49297.932000000001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Complete!D10</f>
        <v>9562</v>
      </c>
      <c r="C29" s="150">
        <f>B29</f>
        <v>9562</v>
      </c>
      <c r="D29" s="151">
        <f>C29</f>
        <v>9562</v>
      </c>
      <c r="E29" s="151">
        <f>D29</f>
        <v>9562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1343.6799999999998</v>
      </c>
      <c r="C31" s="154">
        <f>P5</f>
        <v>111.97333333333331</v>
      </c>
      <c r="D31" s="154">
        <f>Q5</f>
        <v>3.732444444444444</v>
      </c>
      <c r="E31" s="154">
        <f>R5</f>
        <v>0.1555185185185185</v>
      </c>
      <c r="F31" s="154"/>
      <c r="AB31" s="155">
        <f>SUM(B22:M22)</f>
        <v>418.07000000000005</v>
      </c>
    </row>
    <row r="32" spans="1:28" x14ac:dyDescent="0.3">
      <c r="A32" s="116" t="s">
        <v>5</v>
      </c>
      <c r="B32" s="124">
        <f>O8</f>
        <v>229.15200000000004</v>
      </c>
      <c r="C32" s="207">
        <f>P8</f>
        <v>19.096000000000004</v>
      </c>
      <c r="D32" s="207">
        <f>Q8</f>
        <v>0.63653333333333351</v>
      </c>
      <c r="E32" s="207">
        <f>R8</f>
        <v>2.6522222222222228E-2</v>
      </c>
      <c r="F32" s="156"/>
      <c r="AB32" s="143">
        <f>AB31/12</f>
        <v>34.839166666666671</v>
      </c>
    </row>
    <row r="33" spans="1:28" x14ac:dyDescent="0.3">
      <c r="A33" s="103" t="s">
        <v>48</v>
      </c>
      <c r="B33" s="104">
        <f>O11</f>
        <v>87.361000000000004</v>
      </c>
      <c r="C33" s="206">
        <f>P11</f>
        <v>7.2800833333333337</v>
      </c>
      <c r="D33" s="206">
        <f>Q11</f>
        <v>0.24266944444444447</v>
      </c>
      <c r="E33" s="206">
        <f>R11</f>
        <v>1.0111226851851852E-2</v>
      </c>
      <c r="F33" s="157"/>
      <c r="AB33" s="88">
        <f>AB32/30</f>
        <v>1.1613055555555556</v>
      </c>
    </row>
    <row r="34" spans="1:28" ht="19.5" thickBot="1" x14ac:dyDescent="0.35">
      <c r="A34" s="131" t="s">
        <v>9</v>
      </c>
      <c r="B34" s="319">
        <f>O14</f>
        <v>101.557</v>
      </c>
      <c r="C34" s="315">
        <f>P14</f>
        <v>8.4630833333333335</v>
      </c>
      <c r="D34" s="315">
        <f>Q14</f>
        <v>0.28210277777777776</v>
      </c>
      <c r="E34" s="315">
        <f>R14</f>
        <v>1.1754282407407406E-2</v>
      </c>
      <c r="F34" s="158"/>
      <c r="AB34" s="88">
        <f>AB33/24</f>
        <v>4.8387731481481483E-2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418.07000000000005</v>
      </c>
      <c r="C36" s="314">
        <f>SUM(C32:C34)</f>
        <v>34.839166666666671</v>
      </c>
      <c r="D36" s="314">
        <f>SUM(D32:D34)</f>
        <v>1.1613055555555558</v>
      </c>
      <c r="E36" s="314">
        <f>SUM(E32:E34)</f>
        <v>4.8387731481481483E-2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43.722024681029076</v>
      </c>
      <c r="C38" s="160">
        <f>C36/C29*1000</f>
        <v>3.6435020567524234</v>
      </c>
      <c r="D38" s="160">
        <f>D36/D29*1000</f>
        <v>0.12145006855841413</v>
      </c>
      <c r="E38" s="160">
        <f>E36/E29*1000</f>
        <v>5.0604195232672542E-3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74.100054674685623</v>
      </c>
      <c r="C76" s="168">
        <f t="shared" si="6"/>
        <v>95.467468562055771</v>
      </c>
      <c r="D76" s="168">
        <f t="shared" si="6"/>
        <v>118.89994532531438</v>
      </c>
      <c r="E76" s="168">
        <f t="shared" si="6"/>
        <v>102.40021869874249</v>
      </c>
      <c r="F76" s="168">
        <f t="shared" si="6"/>
        <v>159.10005467468562</v>
      </c>
      <c r="G76" s="168">
        <f t="shared" si="6"/>
        <v>176</v>
      </c>
      <c r="H76" s="168">
        <f t="shared" ref="H76:M76" si="7">H17/20.16</f>
        <v>159.69990079365081</v>
      </c>
      <c r="I76" s="168">
        <f t="shared" si="7"/>
        <v>237.1001984126984</v>
      </c>
      <c r="J76" s="168">
        <f t="shared" si="7"/>
        <v>152.19990079365078</v>
      </c>
      <c r="K76" s="168">
        <f t="shared" si="7"/>
        <v>134.19990079365078</v>
      </c>
      <c r="L76" s="168">
        <f t="shared" si="7"/>
        <v>147.69990079365081</v>
      </c>
      <c r="M76" s="169">
        <f t="shared" si="7"/>
        <v>111.88789682539682</v>
      </c>
      <c r="N76" s="170">
        <f>SUM(B76:M76)</f>
        <v>1668.7554403481824</v>
      </c>
      <c r="O76" s="195">
        <f>SUM(C76:N76)</f>
        <v>3263.410826021679</v>
      </c>
      <c r="P76" s="196">
        <f>O76</f>
        <v>3263.410826021679</v>
      </c>
      <c r="Q76" s="197">
        <f>P76/12</f>
        <v>271.95090216847325</v>
      </c>
      <c r="R76" s="197">
        <f>Q76/30</f>
        <v>9.0650300722824415</v>
      </c>
      <c r="S76" s="198">
        <f>R76/24</f>
        <v>0.37770958634510171</v>
      </c>
    </row>
  </sheetData>
  <mergeCells count="1">
    <mergeCell ref="A39:L53"/>
  </mergeCells>
  <pageMargins left="1" right="1" top="1" bottom="1" header="0.5" footer="0.5"/>
  <pageSetup paperSize="9" scale="40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21" zoomScale="71" zoomScaleNormal="71" workbookViewId="0">
      <selection activeCell="B36" sqref="B36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Complete!B11</f>
        <v>CSD Targus Distribution (Pty) Ltd</v>
      </c>
      <c r="B1" s="79"/>
      <c r="C1" s="86" t="str">
        <f>Complete!A11</f>
        <v>6 Slate Road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27.24</v>
      </c>
      <c r="C5" s="105">
        <v>27.04</v>
      </c>
      <c r="D5" s="106">
        <v>23.55</v>
      </c>
      <c r="E5" s="107">
        <v>25</v>
      </c>
      <c r="F5" s="107">
        <v>28.78</v>
      </c>
      <c r="G5" s="107">
        <v>33.64</v>
      </c>
      <c r="H5" s="107">
        <v>32.03</v>
      </c>
      <c r="I5" s="107">
        <v>32.31</v>
      </c>
      <c r="J5" s="107">
        <v>23.91</v>
      </c>
      <c r="K5" s="107">
        <v>27.43</v>
      </c>
      <c r="L5" s="107">
        <v>22.61</v>
      </c>
      <c r="M5" s="107">
        <v>26.86</v>
      </c>
      <c r="N5" s="100"/>
      <c r="O5" s="108">
        <f>SUM(B5:M5)</f>
        <v>330.40000000000003</v>
      </c>
      <c r="P5" s="108">
        <f>O5/12</f>
        <v>27.533333333333335</v>
      </c>
      <c r="Q5" s="108">
        <f>P5/30</f>
        <v>0.9177777777777778</v>
      </c>
      <c r="R5" s="108">
        <f>Q5/24</f>
        <v>3.8240740740740742E-2</v>
      </c>
      <c r="S5" s="89">
        <v>0</v>
      </c>
      <c r="T5" s="89">
        <v>0</v>
      </c>
      <c r="U5" s="89">
        <v>0</v>
      </c>
      <c r="V5" s="89">
        <v>0</v>
      </c>
      <c r="X5" s="108">
        <f>O5</f>
        <v>330.40000000000003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4263.0599999999995</v>
      </c>
      <c r="C7" s="111">
        <f t="shared" ref="C7:M7" si="0">C6*C5</f>
        <v>4234.4639999999999</v>
      </c>
      <c r="D7" s="112">
        <f t="shared" si="0"/>
        <v>3687.93</v>
      </c>
      <c r="E7" s="113">
        <f t="shared" si="0"/>
        <v>3915</v>
      </c>
      <c r="F7" s="113">
        <f t="shared" si="0"/>
        <v>4506.9480000000003</v>
      </c>
      <c r="G7" s="113">
        <f t="shared" si="0"/>
        <v>5268.0240000000003</v>
      </c>
      <c r="H7" s="113">
        <f t="shared" si="0"/>
        <v>5108.7849999999999</v>
      </c>
      <c r="I7" s="113">
        <f t="shared" si="0"/>
        <v>5153.4450000000006</v>
      </c>
      <c r="J7" s="113">
        <f t="shared" si="0"/>
        <v>3813.645</v>
      </c>
      <c r="K7" s="113">
        <f t="shared" si="0"/>
        <v>4375.085</v>
      </c>
      <c r="L7" s="113">
        <f t="shared" si="0"/>
        <v>3606.2950000000001</v>
      </c>
      <c r="M7" s="113">
        <f t="shared" si="0"/>
        <v>4284.17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3.3410000000000002</v>
      </c>
      <c r="C8" s="238">
        <v>3.5030000000000001</v>
      </c>
      <c r="D8" s="124">
        <v>3.5259999999999998</v>
      </c>
      <c r="E8" s="207">
        <v>2.706</v>
      </c>
      <c r="F8" s="207">
        <v>3.0049999999999999</v>
      </c>
      <c r="G8" s="207">
        <v>3.105</v>
      </c>
      <c r="H8" s="207">
        <v>3.1880000000000002</v>
      </c>
      <c r="I8" s="207">
        <v>3.113</v>
      </c>
      <c r="J8" s="207">
        <v>2.734</v>
      </c>
      <c r="K8" s="207">
        <v>3.004</v>
      </c>
      <c r="L8" s="207">
        <v>3.0819999999999999</v>
      </c>
      <c r="M8" s="207">
        <v>2.3130000000000002</v>
      </c>
      <c r="N8" s="100"/>
      <c r="O8" s="108">
        <f>SUM(B8:M8)</f>
        <v>36.619999999999997</v>
      </c>
      <c r="P8" s="108">
        <f>O8/12</f>
        <v>3.0516666666666663</v>
      </c>
      <c r="Q8" s="108">
        <f>P8/30</f>
        <v>0.10172222222222221</v>
      </c>
      <c r="R8" s="108">
        <f>Q8/24</f>
        <v>4.2384259259259259E-3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2479.0219999999999</v>
      </c>
      <c r="C10" s="322">
        <f t="shared" ref="C10:M10" si="1">SUM(C8*C9)*1000</f>
        <v>2599.2260000000001</v>
      </c>
      <c r="D10" s="322">
        <f t="shared" si="1"/>
        <v>2616.2919999999995</v>
      </c>
      <c r="E10" s="322">
        <f t="shared" si="1"/>
        <v>2007.8519999999999</v>
      </c>
      <c r="F10" s="322">
        <f t="shared" si="1"/>
        <v>2229.71</v>
      </c>
      <c r="G10" s="322">
        <f t="shared" si="1"/>
        <v>3556.7775000000001</v>
      </c>
      <c r="H10" s="322">
        <f t="shared" si="1"/>
        <v>3720.3960000000006</v>
      </c>
      <c r="I10" s="322">
        <f t="shared" si="1"/>
        <v>3632.8710000000001</v>
      </c>
      <c r="J10" s="322">
        <f t="shared" si="1"/>
        <v>2066.904</v>
      </c>
      <c r="K10" s="322">
        <f t="shared" si="1"/>
        <v>2271.0240000000003</v>
      </c>
      <c r="L10" s="322">
        <f t="shared" si="1"/>
        <v>2329.9919999999997</v>
      </c>
      <c r="M10" s="322">
        <f t="shared" si="1"/>
        <v>1748.6280000000002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1.3440000000000001</v>
      </c>
      <c r="D11" s="124">
        <v>3.91</v>
      </c>
      <c r="E11" s="207">
        <v>0.997</v>
      </c>
      <c r="F11" s="207">
        <v>1.3069999999999999</v>
      </c>
      <c r="G11" s="207">
        <v>1.4810000000000001</v>
      </c>
      <c r="H11" s="207">
        <v>1.452</v>
      </c>
      <c r="I11" s="207">
        <v>1.4350000000000001</v>
      </c>
      <c r="J11" s="207">
        <v>1.048</v>
      </c>
      <c r="K11" s="207">
        <v>1.151</v>
      </c>
      <c r="L11" s="207">
        <v>1.1519999999999999</v>
      </c>
      <c r="M11" s="207">
        <v>0.92300000000000004</v>
      </c>
      <c r="N11" s="100"/>
      <c r="O11" s="108">
        <f>SUM(B11:M11)</f>
        <v>20.030999999999999</v>
      </c>
      <c r="P11" s="108">
        <f>O11/12</f>
        <v>1.6692499999999999</v>
      </c>
      <c r="Q11" s="108">
        <f>P11/30</f>
        <v>5.5641666666666666E-2</v>
      </c>
      <c r="R11" s="108">
        <f>Q11/24</f>
        <v>2.3184027777777777E-3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1614.1440000000002</v>
      </c>
      <c r="D13" s="110">
        <f t="shared" si="2"/>
        <v>4695.9100000000008</v>
      </c>
      <c r="E13" s="110">
        <f t="shared" si="2"/>
        <v>1197.3969999999999</v>
      </c>
      <c r="F13" s="110">
        <f t="shared" si="2"/>
        <v>1569.7069999999999</v>
      </c>
      <c r="G13" s="110">
        <f t="shared" si="2"/>
        <v>4644.4160000000002</v>
      </c>
      <c r="H13" s="110">
        <f t="shared" si="2"/>
        <v>4639.1399999999994</v>
      </c>
      <c r="I13" s="110">
        <f t="shared" si="2"/>
        <v>4584.8250000000007</v>
      </c>
      <c r="J13" s="110">
        <f t="shared" si="2"/>
        <v>1282.7520000000002</v>
      </c>
      <c r="K13" s="110">
        <f t="shared" si="2"/>
        <v>1408.8240000000001</v>
      </c>
      <c r="L13" s="110">
        <f t="shared" si="2"/>
        <v>1410.048</v>
      </c>
      <c r="M13" s="110">
        <f t="shared" si="2"/>
        <v>1129.7520000000002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1.9059999999999999</v>
      </c>
      <c r="C14" s="118">
        <v>1.6659999999999999</v>
      </c>
      <c r="D14" s="119">
        <v>1.806</v>
      </c>
      <c r="E14" s="120">
        <v>1.819</v>
      </c>
      <c r="F14" s="120">
        <v>1.5620000000000001</v>
      </c>
      <c r="G14" s="120">
        <v>1.401</v>
      </c>
      <c r="H14" s="120">
        <v>1.6990000000000001</v>
      </c>
      <c r="I14" s="120">
        <v>1.5449999999999999</v>
      </c>
      <c r="J14" s="120">
        <v>1.577</v>
      </c>
      <c r="K14" s="120">
        <v>1.597</v>
      </c>
      <c r="L14" s="120">
        <v>1.377</v>
      </c>
      <c r="M14" s="120">
        <v>1.7729999999999999</v>
      </c>
      <c r="N14" s="100"/>
      <c r="O14" s="108">
        <f>SUM(B14:M14)</f>
        <v>19.727999999999998</v>
      </c>
      <c r="P14" s="108">
        <f>O14/12</f>
        <v>1.6439999999999999</v>
      </c>
      <c r="Q14" s="108">
        <f>P14/30</f>
        <v>5.4799999999999995E-2</v>
      </c>
      <c r="R14" s="108">
        <f>Q14/24</f>
        <v>2.283333333333333E-3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1000.6500000000001</v>
      </c>
      <c r="C16" s="110">
        <f t="shared" ref="C16:M16" si="3">SUM(C14*C15)*1000</f>
        <v>874.65000000000009</v>
      </c>
      <c r="D16" s="110">
        <f t="shared" si="3"/>
        <v>948.15000000000009</v>
      </c>
      <c r="E16" s="110">
        <f t="shared" si="3"/>
        <v>954.97500000000002</v>
      </c>
      <c r="F16" s="110">
        <f t="shared" si="3"/>
        <v>820.05000000000007</v>
      </c>
      <c r="G16" s="110">
        <f t="shared" si="3"/>
        <v>854.61</v>
      </c>
      <c r="H16" s="110">
        <f t="shared" si="3"/>
        <v>1056.778</v>
      </c>
      <c r="I16" s="110">
        <f t="shared" si="3"/>
        <v>960.9899999999999</v>
      </c>
      <c r="J16" s="110">
        <f t="shared" si="3"/>
        <v>843.69499999999994</v>
      </c>
      <c r="K16" s="110">
        <f t="shared" si="3"/>
        <v>854.39499999999998</v>
      </c>
      <c r="L16" s="110">
        <f t="shared" si="3"/>
        <v>736.69499999999994</v>
      </c>
      <c r="M16" s="110">
        <f t="shared" si="3"/>
        <v>948.55500000000006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125">
        <v>5914.99</v>
      </c>
      <c r="C17" s="126">
        <v>5518.09</v>
      </c>
      <c r="D17" s="125">
        <v>2796.54</v>
      </c>
      <c r="E17" s="127">
        <v>934.62</v>
      </c>
      <c r="F17" s="127">
        <v>1062.6500000000001</v>
      </c>
      <c r="G17" s="127">
        <v>934.62</v>
      </c>
      <c r="H17" s="127">
        <v>1012.03</v>
      </c>
      <c r="I17" s="127">
        <v>1260</v>
      </c>
      <c r="J17" s="127">
        <v>1485.79</v>
      </c>
      <c r="K17" s="127">
        <v>1469.66</v>
      </c>
      <c r="L17" s="127">
        <v>1179.3599999999999</v>
      </c>
      <c r="M17" s="127">
        <v>1155.17</v>
      </c>
      <c r="N17" s="100"/>
      <c r="O17" s="108">
        <f>SUM(B17:M17)</f>
        <v>24723.519999999997</v>
      </c>
      <c r="P17" s="108">
        <f>O17/12</f>
        <v>2060.2933333333331</v>
      </c>
      <c r="Q17" s="108">
        <f>P17/30</f>
        <v>68.676444444444442</v>
      </c>
      <c r="R17" s="108">
        <f>Q17/24</f>
        <v>2.8615185185185186</v>
      </c>
    </row>
    <row r="18" spans="1:28" x14ac:dyDescent="0.3">
      <c r="A18" s="103" t="s">
        <v>1</v>
      </c>
      <c r="B18" s="128">
        <v>1762.33</v>
      </c>
      <c r="C18" s="126">
        <v>1644.27</v>
      </c>
      <c r="D18" s="128">
        <v>833.3</v>
      </c>
      <c r="E18" s="129">
        <v>278.5</v>
      </c>
      <c r="F18" s="129">
        <v>316.64999999999998</v>
      </c>
      <c r="G18" s="129">
        <v>278.49</v>
      </c>
      <c r="H18" s="129">
        <v>301.7</v>
      </c>
      <c r="I18" s="129">
        <v>375.63</v>
      </c>
      <c r="J18" s="129">
        <v>442.94</v>
      </c>
      <c r="K18" s="129">
        <v>438.13</v>
      </c>
      <c r="L18" s="129">
        <v>351.59</v>
      </c>
      <c r="M18" s="129">
        <v>344.37</v>
      </c>
      <c r="N18" s="100"/>
      <c r="O18" s="108">
        <f>SUM(B18:M18)</f>
        <v>7367.8999999999987</v>
      </c>
      <c r="P18" s="108">
        <f>O18/12</f>
        <v>613.99166666666656</v>
      </c>
      <c r="Q18" s="108">
        <f>P18/30</f>
        <v>20.466388888888886</v>
      </c>
      <c r="R18" s="108">
        <f>Q18/24</f>
        <v>0.8527662037037036</v>
      </c>
    </row>
    <row r="19" spans="1:28" x14ac:dyDescent="0.3">
      <c r="A19" s="103" t="s">
        <v>0</v>
      </c>
      <c r="B19" s="128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132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9.0780000000000012</v>
      </c>
      <c r="C22" s="314">
        <f>C8+C11+C14</f>
        <v>6.5129999999999999</v>
      </c>
      <c r="D22" s="314">
        <f t="shared" ref="D22:M22" si="4">D8+D11+D14</f>
        <v>9.2420000000000009</v>
      </c>
      <c r="E22" s="314">
        <f t="shared" si="4"/>
        <v>5.5220000000000002</v>
      </c>
      <c r="F22" s="314">
        <f t="shared" si="4"/>
        <v>5.8739999999999997</v>
      </c>
      <c r="G22" s="314">
        <f t="shared" si="4"/>
        <v>5.9870000000000001</v>
      </c>
      <c r="H22" s="314">
        <f t="shared" si="4"/>
        <v>6.3390000000000004</v>
      </c>
      <c r="I22" s="314">
        <f t="shared" si="4"/>
        <v>6.093</v>
      </c>
      <c r="J22" s="314">
        <f t="shared" si="4"/>
        <v>5.359</v>
      </c>
      <c r="K22" s="314">
        <f t="shared" si="4"/>
        <v>5.7520000000000007</v>
      </c>
      <c r="L22" s="314">
        <f t="shared" si="4"/>
        <v>5.6109999999999998</v>
      </c>
      <c r="M22" s="314">
        <f t="shared" si="4"/>
        <v>5.0090000000000003</v>
      </c>
      <c r="N22" s="138"/>
      <c r="O22" s="108">
        <f>SUM(B22:M22)</f>
        <v>76.379000000000019</v>
      </c>
      <c r="P22" s="108">
        <f>O22/12</f>
        <v>6.3649166666666686</v>
      </c>
      <c r="Q22" s="108">
        <f>P22/30</f>
        <v>0.21216388888888896</v>
      </c>
      <c r="R22" s="108">
        <f>Q22/24</f>
        <v>8.8401620370370405E-3</v>
      </c>
    </row>
    <row r="23" spans="1:28" s="115" customFormat="1" ht="19.5" thickBot="1" x14ac:dyDescent="0.35">
      <c r="A23" s="139" t="s">
        <v>12</v>
      </c>
      <c r="B23" s="140">
        <f>B16+B13+B10+B17+B18+B19+B20+B7</f>
        <v>20377.373</v>
      </c>
      <c r="C23" s="141">
        <f t="shared" ref="C23:M23" si="5">C16+C13+C10+C17+C18+C19+C20+C7</f>
        <v>16841.133999999998</v>
      </c>
      <c r="D23" s="140">
        <f t="shared" si="5"/>
        <v>15934.411999999998</v>
      </c>
      <c r="E23" s="142">
        <f t="shared" si="5"/>
        <v>9644.634</v>
      </c>
      <c r="F23" s="142">
        <f t="shared" si="5"/>
        <v>10862.005000000001</v>
      </c>
      <c r="G23" s="142">
        <f t="shared" si="5"/>
        <v>15893.227500000001</v>
      </c>
      <c r="H23" s="142">
        <f t="shared" si="5"/>
        <v>16209.789000000001</v>
      </c>
      <c r="I23" s="142">
        <f t="shared" si="5"/>
        <v>16338.721000000001</v>
      </c>
      <c r="J23" s="142">
        <f t="shared" si="5"/>
        <v>10306.686</v>
      </c>
      <c r="K23" s="142">
        <f t="shared" si="5"/>
        <v>11188.078000000001</v>
      </c>
      <c r="L23" s="142">
        <f>L16+L13+L10+L17+L18+L19+L20+L7</f>
        <v>9984.9399999999987</v>
      </c>
      <c r="M23" s="142">
        <f t="shared" si="5"/>
        <v>9981.6049999999996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Complete!D11</f>
        <v>1883</v>
      </c>
      <c r="C29" s="150">
        <f>B29</f>
        <v>1883</v>
      </c>
      <c r="D29" s="151">
        <f>C29</f>
        <v>1883</v>
      </c>
      <c r="E29" s="151">
        <f>D29</f>
        <v>1883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330.40000000000003</v>
      </c>
      <c r="C31" s="154">
        <f>P5</f>
        <v>27.533333333333335</v>
      </c>
      <c r="D31" s="154">
        <f>Q5</f>
        <v>0.9177777777777778</v>
      </c>
      <c r="E31" s="154">
        <f>R5</f>
        <v>3.8240740740740742E-2</v>
      </c>
      <c r="F31" s="154"/>
      <c r="AB31" s="155">
        <f>SUM(B22:M22)</f>
        <v>76.379000000000019</v>
      </c>
    </row>
    <row r="32" spans="1:28" x14ac:dyDescent="0.3">
      <c r="A32" s="116" t="s">
        <v>5</v>
      </c>
      <c r="B32" s="124">
        <f>O8</f>
        <v>36.619999999999997</v>
      </c>
      <c r="C32" s="207">
        <f>P8</f>
        <v>3.0516666666666663</v>
      </c>
      <c r="D32" s="207">
        <f>Q8</f>
        <v>0.10172222222222221</v>
      </c>
      <c r="E32" s="207">
        <f>R8</f>
        <v>4.2384259259259259E-3</v>
      </c>
      <c r="F32" s="156"/>
      <c r="AB32" s="143">
        <f>AB31/12</f>
        <v>6.3649166666666686</v>
      </c>
    </row>
    <row r="33" spans="1:28" x14ac:dyDescent="0.3">
      <c r="A33" s="103" t="s">
        <v>48</v>
      </c>
      <c r="B33" s="104">
        <f>O11</f>
        <v>20.030999999999999</v>
      </c>
      <c r="C33" s="206">
        <f>P11</f>
        <v>1.6692499999999999</v>
      </c>
      <c r="D33" s="206">
        <f>Q11</f>
        <v>5.5641666666666666E-2</v>
      </c>
      <c r="E33" s="206">
        <f>R11</f>
        <v>2.3184027777777777E-3</v>
      </c>
      <c r="F33" s="157"/>
      <c r="AB33" s="88">
        <f>AB32/30</f>
        <v>0.21216388888888896</v>
      </c>
    </row>
    <row r="34" spans="1:28" ht="19.5" thickBot="1" x14ac:dyDescent="0.35">
      <c r="A34" s="131" t="s">
        <v>9</v>
      </c>
      <c r="B34" s="319">
        <f>O14</f>
        <v>19.727999999999998</v>
      </c>
      <c r="C34" s="315">
        <f>P14</f>
        <v>1.6439999999999999</v>
      </c>
      <c r="D34" s="315">
        <f>Q14</f>
        <v>5.4799999999999995E-2</v>
      </c>
      <c r="E34" s="315">
        <f>R14</f>
        <v>2.283333333333333E-3</v>
      </c>
      <c r="F34" s="158"/>
      <c r="AB34" s="88">
        <f>AB33/24</f>
        <v>8.8401620370370405E-3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76.378999999999991</v>
      </c>
      <c r="C36" s="314">
        <f>SUM(C32:C34)</f>
        <v>6.3649166666666659</v>
      </c>
      <c r="D36" s="314">
        <f>SUM(D32:D34)</f>
        <v>0.21216388888888887</v>
      </c>
      <c r="E36" s="314">
        <f>SUM(E32:E34)</f>
        <v>8.840162037037037E-3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40.562400424853948</v>
      </c>
      <c r="C38" s="160">
        <f>C36/C29*1000</f>
        <v>3.3802000354044961</v>
      </c>
      <c r="D38" s="160">
        <f>D36/D29*1000</f>
        <v>0.11267333451348321</v>
      </c>
      <c r="E38" s="160">
        <f>E36/E29*1000</f>
        <v>4.6947222713951339E-3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323.40021869874249</v>
      </c>
      <c r="C76" s="168">
        <f t="shared" si="6"/>
        <v>301.69983597594319</v>
      </c>
      <c r="D76" s="168">
        <f t="shared" si="6"/>
        <v>152.89994532531438</v>
      </c>
      <c r="E76" s="168">
        <f t="shared" si="6"/>
        <v>51.100054674685623</v>
      </c>
      <c r="F76" s="168">
        <f t="shared" si="6"/>
        <v>58.10005467468563</v>
      </c>
      <c r="G76" s="168">
        <f t="shared" si="6"/>
        <v>51.100054674685623</v>
      </c>
      <c r="H76" s="168">
        <f t="shared" ref="H76:M76" si="7">H17/20.16</f>
        <v>50.199900793650791</v>
      </c>
      <c r="I76" s="168">
        <f t="shared" si="7"/>
        <v>62.5</v>
      </c>
      <c r="J76" s="168">
        <f t="shared" si="7"/>
        <v>73.699900793650798</v>
      </c>
      <c r="K76" s="168">
        <f t="shared" si="7"/>
        <v>72.899801587301596</v>
      </c>
      <c r="L76" s="168">
        <f t="shared" si="7"/>
        <v>58.499999999999993</v>
      </c>
      <c r="M76" s="169">
        <f t="shared" si="7"/>
        <v>57.300099206349209</v>
      </c>
      <c r="N76" s="170">
        <f>SUM(B76:M76)</f>
        <v>1313.3998664050096</v>
      </c>
      <c r="O76" s="195">
        <f>SUM(C76:N76)</f>
        <v>2303.3995141112764</v>
      </c>
      <c r="P76" s="196">
        <f>O76</f>
        <v>2303.3995141112764</v>
      </c>
      <c r="Q76" s="197">
        <f>P76/12</f>
        <v>191.94995950927304</v>
      </c>
      <c r="R76" s="197">
        <f>Q76/30</f>
        <v>6.3983319836424348</v>
      </c>
      <c r="S76" s="198">
        <f>R76/24</f>
        <v>0.26659716598510147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23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Complete!B12</f>
        <v>Uti Material Handling (Pty) Ltd</v>
      </c>
      <c r="B1" s="79"/>
      <c r="C1" s="86" t="str">
        <f>Complete!A12</f>
        <v>6 Slate Road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1.61</v>
      </c>
      <c r="C5" s="105">
        <v>10.31</v>
      </c>
      <c r="D5" s="106">
        <v>11.35</v>
      </c>
      <c r="E5" s="107">
        <v>10.95</v>
      </c>
      <c r="F5" s="107">
        <v>11.52</v>
      </c>
      <c r="G5" s="107">
        <v>11.73</v>
      </c>
      <c r="H5" s="107">
        <v>10.76</v>
      </c>
      <c r="I5" s="107">
        <v>11.58</v>
      </c>
      <c r="J5" s="107">
        <v>10.050000000000001</v>
      </c>
      <c r="K5" s="107">
        <v>3.59</v>
      </c>
      <c r="L5" s="107">
        <v>9.8000000000000007</v>
      </c>
      <c r="M5" s="107">
        <v>9.73</v>
      </c>
      <c r="N5" s="100"/>
      <c r="O5" s="108">
        <f>SUM(B5:M5)</f>
        <v>112.98</v>
      </c>
      <c r="P5" s="108">
        <f>O5/12</f>
        <v>9.4150000000000009</v>
      </c>
      <c r="Q5" s="108">
        <f>P5/30</f>
        <v>0.31383333333333335</v>
      </c>
      <c r="R5" s="108">
        <f>Q5/24</f>
        <v>1.3076388888888889E-2</v>
      </c>
      <c r="S5" s="89">
        <v>0</v>
      </c>
      <c r="T5" s="89">
        <v>0</v>
      </c>
      <c r="U5" s="89">
        <v>0</v>
      </c>
      <c r="V5" s="89">
        <v>0</v>
      </c>
      <c r="X5" s="108">
        <f>O5</f>
        <v>112.98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251.965</v>
      </c>
      <c r="C7" s="111">
        <f t="shared" ref="C7:M7" si="0">C6*C5</f>
        <v>1614.546</v>
      </c>
      <c r="D7" s="112">
        <f t="shared" si="0"/>
        <v>1777.4099999999999</v>
      </c>
      <c r="E7" s="113">
        <f t="shared" si="0"/>
        <v>1714.7699999999998</v>
      </c>
      <c r="F7" s="113">
        <f t="shared" si="0"/>
        <v>1804.0319999999999</v>
      </c>
      <c r="G7" s="113">
        <f t="shared" si="0"/>
        <v>1836.9179999999999</v>
      </c>
      <c r="H7" s="113">
        <f t="shared" si="0"/>
        <v>1716.22</v>
      </c>
      <c r="I7" s="113">
        <f t="shared" si="0"/>
        <v>1847.01</v>
      </c>
      <c r="J7" s="113">
        <f t="shared" si="0"/>
        <v>1602.9750000000001</v>
      </c>
      <c r="K7" s="113">
        <f t="shared" si="0"/>
        <v>572.60500000000002</v>
      </c>
      <c r="L7" s="113">
        <f t="shared" si="0"/>
        <v>1563.1000000000001</v>
      </c>
      <c r="M7" s="113">
        <f t="shared" si="0"/>
        <v>1551.9350000000002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7.8E-2</v>
      </c>
      <c r="C8" s="238">
        <v>0.109</v>
      </c>
      <c r="D8" s="124">
        <v>0.996</v>
      </c>
      <c r="E8" s="207">
        <v>0.54100000000000004</v>
      </c>
      <c r="F8" s="207">
        <v>0.71799999999999997</v>
      </c>
      <c r="G8" s="207">
        <v>0.188</v>
      </c>
      <c r="H8" s="207">
        <v>0.23899999999999999</v>
      </c>
      <c r="I8" s="207">
        <v>0.51200000000000001</v>
      </c>
      <c r="J8" s="207">
        <v>0.08</v>
      </c>
      <c r="K8" s="207">
        <v>6.7000000000000004E-2</v>
      </c>
      <c r="L8" s="207">
        <v>8.7999999999999995E-2</v>
      </c>
      <c r="M8" s="207">
        <v>0.104</v>
      </c>
      <c r="N8" s="100"/>
      <c r="O8" s="108">
        <f>SUM(B8:M8)</f>
        <v>3.7200000000000006</v>
      </c>
      <c r="P8" s="108">
        <f>O8/12</f>
        <v>0.31000000000000005</v>
      </c>
      <c r="Q8" s="108">
        <f>P8/30</f>
        <v>1.0333333333333335E-2</v>
      </c>
      <c r="R8" s="108">
        <f>Q8/24</f>
        <v>4.3055555555555561E-4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57.875999999999998</v>
      </c>
      <c r="C10" s="322">
        <f t="shared" ref="C10:M10" si="1">SUM(C8*C9)*1000</f>
        <v>80.878</v>
      </c>
      <c r="D10" s="322">
        <f t="shared" si="1"/>
        <v>739.03200000000004</v>
      </c>
      <c r="E10" s="322">
        <f t="shared" si="1"/>
        <v>401.42200000000003</v>
      </c>
      <c r="F10" s="322">
        <f t="shared" si="1"/>
        <v>532.75599999999997</v>
      </c>
      <c r="G10" s="322">
        <f t="shared" si="1"/>
        <v>215.35399999999998</v>
      </c>
      <c r="H10" s="322">
        <f t="shared" si="1"/>
        <v>278.91300000000001</v>
      </c>
      <c r="I10" s="322">
        <f t="shared" si="1"/>
        <v>597.50400000000002</v>
      </c>
      <c r="J10" s="322">
        <f t="shared" si="1"/>
        <v>60.48</v>
      </c>
      <c r="K10" s="322">
        <f t="shared" si="1"/>
        <v>50.652000000000001</v>
      </c>
      <c r="L10" s="322">
        <f t="shared" si="1"/>
        <v>66.527999999999992</v>
      </c>
      <c r="M10" s="322">
        <f t="shared" si="1"/>
        <v>78.623999999999995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4.3999999999999997E-2</v>
      </c>
      <c r="D11" s="124">
        <v>3.91</v>
      </c>
      <c r="E11" s="207">
        <v>0.10199999999999999</v>
      </c>
      <c r="F11" s="207">
        <v>0.188</v>
      </c>
      <c r="G11" s="207">
        <v>9.5000000000000001E-2</v>
      </c>
      <c r="H11" s="207">
        <v>0.1</v>
      </c>
      <c r="I11" s="207">
        <v>0.24199999999999999</v>
      </c>
      <c r="J11" s="207">
        <v>6.8000000000000005E-2</v>
      </c>
      <c r="K11" s="207">
        <v>5.3999999999999999E-2</v>
      </c>
      <c r="L11" s="207">
        <v>6.4000000000000001E-2</v>
      </c>
      <c r="M11" s="207">
        <v>4.4999999999999998E-2</v>
      </c>
      <c r="N11" s="100"/>
      <c r="O11" s="108">
        <f>SUM(B11:M11)</f>
        <v>8.7430000000000003</v>
      </c>
      <c r="P11" s="108">
        <f>O11/12</f>
        <v>0.72858333333333336</v>
      </c>
      <c r="Q11" s="108">
        <f>P11/30</f>
        <v>2.4286111111111112E-2</v>
      </c>
      <c r="R11" s="108">
        <f>Q11/24</f>
        <v>1.0119212962962964E-3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52.844000000000001</v>
      </c>
      <c r="D13" s="110">
        <f t="shared" si="2"/>
        <v>4695.9100000000008</v>
      </c>
      <c r="E13" s="110">
        <f t="shared" si="2"/>
        <v>122.502</v>
      </c>
      <c r="F13" s="110">
        <f t="shared" si="2"/>
        <v>225.78800000000001</v>
      </c>
      <c r="G13" s="110">
        <f t="shared" si="2"/>
        <v>297.92</v>
      </c>
      <c r="H13" s="110">
        <f t="shared" si="2"/>
        <v>319.5</v>
      </c>
      <c r="I13" s="110">
        <f t="shared" si="2"/>
        <v>773.18999999999994</v>
      </c>
      <c r="J13" s="110">
        <f t="shared" si="2"/>
        <v>83.231999999999999</v>
      </c>
      <c r="K13" s="110">
        <f t="shared" si="2"/>
        <v>66.096000000000004</v>
      </c>
      <c r="L13" s="110">
        <f t="shared" si="2"/>
        <v>78.335999999999999</v>
      </c>
      <c r="M13" s="110">
        <f t="shared" si="2"/>
        <v>55.08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0.36499999999999999</v>
      </c>
      <c r="C14" s="118">
        <v>0.26900000000000002</v>
      </c>
      <c r="D14" s="119">
        <v>0.96399999999999997</v>
      </c>
      <c r="E14" s="120">
        <v>0.72499999999999998</v>
      </c>
      <c r="F14" s="120">
        <v>0.42799999999999999</v>
      </c>
      <c r="G14" s="120">
        <v>0.34300000000000003</v>
      </c>
      <c r="H14" s="120">
        <v>0.29099999999999998</v>
      </c>
      <c r="I14" s="120">
        <v>0.53800000000000003</v>
      </c>
      <c r="J14" s="120">
        <v>0.27900000000000003</v>
      </c>
      <c r="K14" s="120">
        <v>0.28799999999999998</v>
      </c>
      <c r="L14" s="120">
        <v>0.27200000000000002</v>
      </c>
      <c r="M14" s="120">
        <v>0.28999999999999998</v>
      </c>
      <c r="N14" s="100"/>
      <c r="O14" s="108">
        <f>SUM(B14:M14)</f>
        <v>5.0520000000000005</v>
      </c>
      <c r="P14" s="108">
        <f>O14/12</f>
        <v>0.42100000000000004</v>
      </c>
      <c r="Q14" s="108">
        <f>P14/30</f>
        <v>1.4033333333333335E-2</v>
      </c>
      <c r="R14" s="108">
        <f>Q14/24</f>
        <v>5.8472222222222226E-4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191.625</v>
      </c>
      <c r="C16" s="110">
        <f t="shared" ref="C16:M16" si="3">SUM(C14*C15)*1000</f>
        <v>141.22500000000002</v>
      </c>
      <c r="D16" s="110">
        <f t="shared" si="3"/>
        <v>506.1</v>
      </c>
      <c r="E16" s="110">
        <f t="shared" si="3"/>
        <v>380.625</v>
      </c>
      <c r="F16" s="110">
        <f t="shared" si="3"/>
        <v>224.70000000000002</v>
      </c>
      <c r="G16" s="110">
        <f t="shared" si="3"/>
        <v>209.23</v>
      </c>
      <c r="H16" s="110">
        <f t="shared" si="3"/>
        <v>181.00200000000001</v>
      </c>
      <c r="I16" s="110">
        <f t="shared" si="3"/>
        <v>334.63600000000002</v>
      </c>
      <c r="J16" s="110">
        <f t="shared" si="3"/>
        <v>149.26500000000001</v>
      </c>
      <c r="K16" s="110">
        <f t="shared" si="3"/>
        <v>154.07999999999998</v>
      </c>
      <c r="L16" s="110">
        <f t="shared" si="3"/>
        <v>145.52000000000001</v>
      </c>
      <c r="M16" s="110">
        <f t="shared" si="3"/>
        <v>155.15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218">
        <v>0</v>
      </c>
      <c r="C17" s="219">
        <v>0</v>
      </c>
      <c r="D17" s="218">
        <v>0</v>
      </c>
      <c r="E17" s="202">
        <v>0</v>
      </c>
      <c r="F17" s="202">
        <v>0</v>
      </c>
      <c r="G17" s="202">
        <v>0</v>
      </c>
      <c r="H17" s="202">
        <v>0</v>
      </c>
      <c r="I17" s="202">
        <v>0</v>
      </c>
      <c r="J17" s="202">
        <v>0</v>
      </c>
      <c r="K17" s="202">
        <v>0</v>
      </c>
      <c r="L17" s="202">
        <v>0</v>
      </c>
      <c r="M17" s="202">
        <v>0</v>
      </c>
      <c r="N17" s="100"/>
      <c r="O17" s="108">
        <f>SUM(B17:M17)</f>
        <v>0</v>
      </c>
      <c r="P17" s="108">
        <f>O17/12</f>
        <v>0</v>
      </c>
      <c r="Q17" s="108">
        <f>P17/30</f>
        <v>0</v>
      </c>
      <c r="R17" s="108">
        <f>Q17/24</f>
        <v>0</v>
      </c>
    </row>
    <row r="18" spans="1:28" x14ac:dyDescent="0.3">
      <c r="A18" s="103" t="s">
        <v>1</v>
      </c>
      <c r="B18" s="220">
        <v>0</v>
      </c>
      <c r="C18" s="219">
        <v>0</v>
      </c>
      <c r="D18" s="220">
        <v>0</v>
      </c>
      <c r="E18" s="203">
        <v>0</v>
      </c>
      <c r="F18" s="203">
        <v>0</v>
      </c>
      <c r="G18" s="203">
        <v>0</v>
      </c>
      <c r="H18" s="203">
        <v>0</v>
      </c>
      <c r="I18" s="203">
        <v>0</v>
      </c>
      <c r="J18" s="203">
        <v>0</v>
      </c>
      <c r="K18" s="203">
        <v>0</v>
      </c>
      <c r="L18" s="203">
        <v>0</v>
      </c>
      <c r="M18" s="203">
        <v>0</v>
      </c>
      <c r="N18" s="100"/>
      <c r="O18" s="108">
        <f>SUM(B18:M18)</f>
        <v>0</v>
      </c>
      <c r="P18" s="108">
        <f>O18/12</f>
        <v>0</v>
      </c>
      <c r="Q18" s="108">
        <f>P18/30</f>
        <v>0</v>
      </c>
      <c r="R18" s="108">
        <f>Q18/24</f>
        <v>0</v>
      </c>
    </row>
    <row r="19" spans="1:28" x14ac:dyDescent="0.3">
      <c r="A19" s="103" t="s">
        <v>0</v>
      </c>
      <c r="B19" s="220">
        <v>134.41</v>
      </c>
      <c r="C19" s="221">
        <v>134.41</v>
      </c>
      <c r="D19" s="220">
        <v>134.41</v>
      </c>
      <c r="E19" s="203">
        <v>134.41</v>
      </c>
      <c r="F19" s="203">
        <v>134.41</v>
      </c>
      <c r="G19" s="203">
        <v>134.41</v>
      </c>
      <c r="H19" s="203">
        <v>144.49</v>
      </c>
      <c r="I19" s="203">
        <v>144.49</v>
      </c>
      <c r="J19" s="203">
        <v>144.49</v>
      </c>
      <c r="K19" s="203">
        <v>144.49</v>
      </c>
      <c r="L19" s="203">
        <v>144.49</v>
      </c>
      <c r="M19" s="203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222">
        <v>221.88</v>
      </c>
      <c r="C20" s="223">
        <v>221.88</v>
      </c>
      <c r="D20" s="222">
        <v>221.88</v>
      </c>
      <c r="E20" s="204">
        <v>221.88</v>
      </c>
      <c r="F20" s="204">
        <v>221.88</v>
      </c>
      <c r="G20" s="204">
        <v>221.88</v>
      </c>
      <c r="H20" s="204">
        <v>226.47</v>
      </c>
      <c r="I20" s="204">
        <v>226.47</v>
      </c>
      <c r="J20" s="204">
        <v>226.47</v>
      </c>
      <c r="K20" s="204">
        <v>226.47</v>
      </c>
      <c r="L20" s="204">
        <v>226.47</v>
      </c>
      <c r="M20" s="20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4.274</v>
      </c>
      <c r="C22" s="314">
        <f>C8+C11+C14</f>
        <v>0.42200000000000004</v>
      </c>
      <c r="D22" s="314">
        <f t="shared" ref="D22:M22" si="4">D8+D11+D14</f>
        <v>5.870000000000001</v>
      </c>
      <c r="E22" s="314">
        <f t="shared" si="4"/>
        <v>1.3679999999999999</v>
      </c>
      <c r="F22" s="314">
        <f t="shared" si="4"/>
        <v>1.3339999999999999</v>
      </c>
      <c r="G22" s="314">
        <f t="shared" si="4"/>
        <v>0.62600000000000011</v>
      </c>
      <c r="H22" s="314">
        <f t="shared" si="4"/>
        <v>0.62999999999999989</v>
      </c>
      <c r="I22" s="314">
        <f t="shared" si="4"/>
        <v>1.292</v>
      </c>
      <c r="J22" s="314">
        <f t="shared" si="4"/>
        <v>0.42700000000000005</v>
      </c>
      <c r="K22" s="314">
        <f t="shared" si="4"/>
        <v>0.40899999999999997</v>
      </c>
      <c r="L22" s="314">
        <f t="shared" si="4"/>
        <v>0.42400000000000004</v>
      </c>
      <c r="M22" s="314">
        <f t="shared" si="4"/>
        <v>0.43899999999999995</v>
      </c>
      <c r="N22" s="138"/>
      <c r="O22" s="108">
        <f>SUM(B22:M22)</f>
        <v>17.515000000000001</v>
      </c>
      <c r="P22" s="108">
        <f>O22/12</f>
        <v>1.4595833333333335</v>
      </c>
      <c r="Q22" s="108">
        <f>P22/30</f>
        <v>4.8652777777777781E-2</v>
      </c>
      <c r="R22" s="108">
        <f>Q22/24</f>
        <v>2.0271990740740741E-3</v>
      </c>
    </row>
    <row r="23" spans="1:28" s="115" customFormat="1" ht="19.5" thickBot="1" x14ac:dyDescent="0.35">
      <c r="A23" s="139" t="s">
        <v>12</v>
      </c>
      <c r="B23" s="140">
        <f>B16+B13+B10+B17+B18+B19+B20+B7</f>
        <v>5458.7870000000003</v>
      </c>
      <c r="C23" s="141">
        <f t="shared" ref="C23:M23" si="5">C16+C13+C10+C17+C18+C19+C20+C7</f>
        <v>2245.7829999999999</v>
      </c>
      <c r="D23" s="140">
        <f t="shared" si="5"/>
        <v>8074.7420000000011</v>
      </c>
      <c r="E23" s="142">
        <f t="shared" si="5"/>
        <v>2975.6089999999995</v>
      </c>
      <c r="F23" s="142">
        <f t="shared" si="5"/>
        <v>3143.5659999999998</v>
      </c>
      <c r="G23" s="142">
        <f t="shared" si="5"/>
        <v>2915.7119999999995</v>
      </c>
      <c r="H23" s="142">
        <f t="shared" si="5"/>
        <v>2866.5950000000003</v>
      </c>
      <c r="I23" s="142">
        <f t="shared" si="5"/>
        <v>3923.3</v>
      </c>
      <c r="J23" s="142">
        <f t="shared" si="5"/>
        <v>2266.9120000000003</v>
      </c>
      <c r="K23" s="142">
        <f t="shared" si="5"/>
        <v>1214.393</v>
      </c>
      <c r="L23" s="142">
        <f>L16+L13+L10+L17+L18+L19+L20+L7</f>
        <v>2224.4440000000004</v>
      </c>
      <c r="M23" s="142">
        <f t="shared" si="5"/>
        <v>2211.7490000000003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Complete!D12</f>
        <v>1569</v>
      </c>
      <c r="C29" s="150">
        <f>B29</f>
        <v>1569</v>
      </c>
      <c r="D29" s="151">
        <f>C29</f>
        <v>1569</v>
      </c>
      <c r="E29" s="151">
        <f>D29</f>
        <v>1569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112.98</v>
      </c>
      <c r="C31" s="154">
        <f>P5</f>
        <v>9.4150000000000009</v>
      </c>
      <c r="D31" s="154">
        <f>Q5</f>
        <v>0.31383333333333335</v>
      </c>
      <c r="E31" s="154">
        <f>R5</f>
        <v>1.3076388888888889E-2</v>
      </c>
      <c r="F31" s="154"/>
      <c r="AB31" s="155">
        <f>SUM(B22:M22)</f>
        <v>17.515000000000001</v>
      </c>
    </row>
    <row r="32" spans="1:28" x14ac:dyDescent="0.3">
      <c r="A32" s="116" t="s">
        <v>5</v>
      </c>
      <c r="B32" s="124">
        <f>O8</f>
        <v>3.7200000000000006</v>
      </c>
      <c r="C32" s="207">
        <f>P8</f>
        <v>0.31000000000000005</v>
      </c>
      <c r="D32" s="207">
        <f>Q8</f>
        <v>1.0333333333333335E-2</v>
      </c>
      <c r="E32" s="207">
        <f>R8</f>
        <v>4.3055555555555561E-4</v>
      </c>
      <c r="F32" s="156"/>
      <c r="AB32" s="143">
        <f>AB31/12</f>
        <v>1.4595833333333335</v>
      </c>
    </row>
    <row r="33" spans="1:28" x14ac:dyDescent="0.3">
      <c r="A33" s="103" t="s">
        <v>48</v>
      </c>
      <c r="B33" s="104">
        <f>O11</f>
        <v>8.7430000000000003</v>
      </c>
      <c r="C33" s="206">
        <f>P11</f>
        <v>0.72858333333333336</v>
      </c>
      <c r="D33" s="206">
        <f>Q11</f>
        <v>2.4286111111111112E-2</v>
      </c>
      <c r="E33" s="206">
        <f>R11</f>
        <v>1.0119212962962964E-3</v>
      </c>
      <c r="F33" s="157"/>
      <c r="AB33" s="88">
        <f>AB32/30</f>
        <v>4.8652777777777781E-2</v>
      </c>
    </row>
    <row r="34" spans="1:28" ht="19.5" thickBot="1" x14ac:dyDescent="0.35">
      <c r="A34" s="131" t="s">
        <v>9</v>
      </c>
      <c r="B34" s="319">
        <f>O14</f>
        <v>5.0520000000000005</v>
      </c>
      <c r="C34" s="315">
        <f>P14</f>
        <v>0.42100000000000004</v>
      </c>
      <c r="D34" s="315">
        <f>Q14</f>
        <v>1.4033333333333335E-2</v>
      </c>
      <c r="E34" s="315">
        <f>R14</f>
        <v>5.8472222222222226E-4</v>
      </c>
      <c r="F34" s="158"/>
      <c r="AB34" s="88">
        <f>AB33/24</f>
        <v>2.0271990740740741E-3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17.515000000000001</v>
      </c>
      <c r="C36" s="314">
        <f>SUM(C32:C34)</f>
        <v>1.4595833333333335</v>
      </c>
      <c r="D36" s="314">
        <f>SUM(D32:D34)</f>
        <v>4.8652777777777781E-2</v>
      </c>
      <c r="E36" s="314">
        <f>SUM(E32:E34)</f>
        <v>2.0271990740740741E-3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11.163161249203315</v>
      </c>
      <c r="C38" s="160">
        <f>C36/C29*1000</f>
        <v>0.93026343743360962</v>
      </c>
      <c r="D38" s="160">
        <f>D36/D29*1000</f>
        <v>3.1008781247786988E-2</v>
      </c>
      <c r="E38" s="160">
        <f>E36/E29*1000</f>
        <v>1.2920325519911243E-3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0</v>
      </c>
      <c r="C76" s="168">
        <f t="shared" si="6"/>
        <v>0</v>
      </c>
      <c r="D76" s="168">
        <f t="shared" si="6"/>
        <v>0</v>
      </c>
      <c r="E76" s="168">
        <f t="shared" si="6"/>
        <v>0</v>
      </c>
      <c r="F76" s="168">
        <f t="shared" si="6"/>
        <v>0</v>
      </c>
      <c r="G76" s="168">
        <f t="shared" si="6"/>
        <v>0</v>
      </c>
      <c r="H76" s="168">
        <f t="shared" ref="H76:M76" si="7">H17/20.16</f>
        <v>0</v>
      </c>
      <c r="I76" s="168">
        <f t="shared" si="7"/>
        <v>0</v>
      </c>
      <c r="J76" s="168">
        <f t="shared" si="7"/>
        <v>0</v>
      </c>
      <c r="K76" s="168">
        <f t="shared" si="7"/>
        <v>0</v>
      </c>
      <c r="L76" s="168">
        <f t="shared" si="7"/>
        <v>0</v>
      </c>
      <c r="M76" s="169">
        <f t="shared" si="7"/>
        <v>0</v>
      </c>
      <c r="N76" s="170">
        <f>SUM(B76:M76)</f>
        <v>0</v>
      </c>
      <c r="O76" s="195">
        <f>SUM(C76:N76)</f>
        <v>0</v>
      </c>
      <c r="P76" s="196">
        <f>O76</f>
        <v>0</v>
      </c>
      <c r="Q76" s="197">
        <f>P76/12</f>
        <v>0</v>
      </c>
      <c r="R76" s="197">
        <f>Q76/30</f>
        <v>0</v>
      </c>
      <c r="S76" s="198">
        <f>R76/24</f>
        <v>0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37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Complete!B13</f>
        <v>Alaris Antennas (formerly known as Poynting)</v>
      </c>
      <c r="B1" s="79"/>
      <c r="C1" s="86" t="str">
        <f>Complete!A13</f>
        <v>1 Travertine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87.35</v>
      </c>
      <c r="C5" s="105">
        <v>91.81</v>
      </c>
      <c r="D5" s="106">
        <v>82.27</v>
      </c>
      <c r="E5" s="107">
        <v>80.23</v>
      </c>
      <c r="F5" s="107">
        <v>83.8</v>
      </c>
      <c r="G5" s="107">
        <v>91.86</v>
      </c>
      <c r="H5" s="107">
        <v>97.53</v>
      </c>
      <c r="I5" s="107">
        <v>96.86</v>
      </c>
      <c r="J5" s="107">
        <v>80.53</v>
      </c>
      <c r="K5" s="107">
        <v>89.7</v>
      </c>
      <c r="L5" s="107">
        <v>92.79</v>
      </c>
      <c r="M5" s="107">
        <v>87.83</v>
      </c>
      <c r="N5" s="100"/>
      <c r="O5" s="108">
        <f>SUM(B5:M5)</f>
        <v>1062.56</v>
      </c>
      <c r="P5" s="108">
        <f>O5/12</f>
        <v>88.546666666666667</v>
      </c>
      <c r="Q5" s="108">
        <f>P5/30</f>
        <v>2.9515555555555557</v>
      </c>
      <c r="R5" s="108">
        <f>Q5/24</f>
        <v>0.12298148148148148</v>
      </c>
      <c r="S5" s="89">
        <v>0</v>
      </c>
      <c r="T5" s="89">
        <v>0</v>
      </c>
      <c r="U5" s="89">
        <v>0</v>
      </c>
      <c r="V5" s="89">
        <v>0</v>
      </c>
      <c r="X5" s="108">
        <f>O5</f>
        <v>1062.56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13670.275</v>
      </c>
      <c r="C7" s="111">
        <f t="shared" ref="C7:M7" si="0">C6*C5</f>
        <v>14377.446</v>
      </c>
      <c r="D7" s="112">
        <f t="shared" si="0"/>
        <v>12883.481999999998</v>
      </c>
      <c r="E7" s="113">
        <f t="shared" si="0"/>
        <v>12564.018</v>
      </c>
      <c r="F7" s="113">
        <f t="shared" si="0"/>
        <v>13123.08</v>
      </c>
      <c r="G7" s="113">
        <f t="shared" si="0"/>
        <v>14385.276</v>
      </c>
      <c r="H7" s="113">
        <f t="shared" si="0"/>
        <v>15556.035</v>
      </c>
      <c r="I7" s="113">
        <f t="shared" si="0"/>
        <v>15449.17</v>
      </c>
      <c r="J7" s="113">
        <f t="shared" si="0"/>
        <v>12844.535</v>
      </c>
      <c r="K7" s="113">
        <f t="shared" si="0"/>
        <v>14307.15</v>
      </c>
      <c r="L7" s="113">
        <f t="shared" si="0"/>
        <v>14800.005000000001</v>
      </c>
      <c r="M7" s="113">
        <f t="shared" si="0"/>
        <v>14008.885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10.818</v>
      </c>
      <c r="C8" s="238">
        <v>11.124000000000001</v>
      </c>
      <c r="D8" s="124">
        <v>11.664999999999999</v>
      </c>
      <c r="E8" s="207">
        <v>8.7810000000000006</v>
      </c>
      <c r="F8" s="207">
        <v>10.188000000000001</v>
      </c>
      <c r="G8" s="207">
        <v>11.006</v>
      </c>
      <c r="H8" s="207">
        <v>10.686999999999999</v>
      </c>
      <c r="I8" s="207">
        <v>11.238</v>
      </c>
      <c r="J8" s="207">
        <v>10.962999999999999</v>
      </c>
      <c r="K8" s="207">
        <v>12.432</v>
      </c>
      <c r="L8" s="207">
        <v>13.103999999999999</v>
      </c>
      <c r="M8" s="207">
        <v>9.4969999999999999</v>
      </c>
      <c r="N8" s="100"/>
      <c r="O8" s="108">
        <f>SUM(B8:M8)</f>
        <v>131.50299999999999</v>
      </c>
      <c r="P8" s="108">
        <f>O8/12</f>
        <v>10.958583333333332</v>
      </c>
      <c r="Q8" s="108">
        <f>P8/30</f>
        <v>0.36528611111111103</v>
      </c>
      <c r="R8" s="108">
        <f>Q8/24</f>
        <v>1.5220254629629627E-2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8026.9560000000001</v>
      </c>
      <c r="C10" s="322">
        <f t="shared" ref="C10:M10" si="1">SUM(C8*C9)*1000</f>
        <v>8254.0079999999998</v>
      </c>
      <c r="D10" s="322">
        <f t="shared" si="1"/>
        <v>8655.4299999999985</v>
      </c>
      <c r="E10" s="322">
        <f t="shared" si="1"/>
        <v>6515.5020000000004</v>
      </c>
      <c r="F10" s="322">
        <f t="shared" si="1"/>
        <v>7559.4960000000001</v>
      </c>
      <c r="G10" s="322">
        <f t="shared" si="1"/>
        <v>12607.373</v>
      </c>
      <c r="H10" s="322">
        <f t="shared" si="1"/>
        <v>12471.728999999999</v>
      </c>
      <c r="I10" s="322">
        <f t="shared" si="1"/>
        <v>13114.746000000001</v>
      </c>
      <c r="J10" s="322">
        <f t="shared" si="1"/>
        <v>8288.0279999999984</v>
      </c>
      <c r="K10" s="322">
        <f t="shared" si="1"/>
        <v>9398.5920000000006</v>
      </c>
      <c r="L10" s="322">
        <f t="shared" si="1"/>
        <v>9906.6239999999998</v>
      </c>
      <c r="M10" s="322">
        <f t="shared" si="1"/>
        <v>7179.732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4.234</v>
      </c>
      <c r="D11" s="124">
        <v>3.91</v>
      </c>
      <c r="E11" s="207">
        <v>3.161</v>
      </c>
      <c r="F11" s="207">
        <v>4.3339999999999996</v>
      </c>
      <c r="G11" s="207">
        <v>4.9729999999999999</v>
      </c>
      <c r="H11" s="207">
        <v>5.26</v>
      </c>
      <c r="I11" s="207">
        <v>5.1689999999999996</v>
      </c>
      <c r="J11" s="207">
        <v>4.0410000000000004</v>
      </c>
      <c r="K11" s="207">
        <v>4.931</v>
      </c>
      <c r="L11" s="207">
        <v>4.8140000000000001</v>
      </c>
      <c r="M11" s="207">
        <v>3.71</v>
      </c>
      <c r="N11" s="100"/>
      <c r="O11" s="108">
        <f>SUM(B11:M11)</f>
        <v>52.367999999999995</v>
      </c>
      <c r="P11" s="108">
        <f>O11/12</f>
        <v>4.3639999999999999</v>
      </c>
      <c r="Q11" s="108">
        <f>P11/30</f>
        <v>0.14546666666666666</v>
      </c>
      <c r="R11" s="108">
        <f>Q11/24</f>
        <v>6.0611111111111109E-3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5085.0340000000006</v>
      </c>
      <c r="D13" s="110">
        <f t="shared" si="2"/>
        <v>4695.9100000000008</v>
      </c>
      <c r="E13" s="110">
        <f t="shared" si="2"/>
        <v>3796.3609999999999</v>
      </c>
      <c r="F13" s="110">
        <f t="shared" si="2"/>
        <v>5205.134</v>
      </c>
      <c r="G13" s="110">
        <f t="shared" si="2"/>
        <v>15595.328</v>
      </c>
      <c r="H13" s="110">
        <f t="shared" si="2"/>
        <v>16805.699999999997</v>
      </c>
      <c r="I13" s="110">
        <f t="shared" si="2"/>
        <v>16514.954999999998</v>
      </c>
      <c r="J13" s="110">
        <f t="shared" si="2"/>
        <v>4946.1840000000002</v>
      </c>
      <c r="K13" s="110">
        <f t="shared" si="2"/>
        <v>6035.5439999999999</v>
      </c>
      <c r="L13" s="110">
        <f t="shared" si="2"/>
        <v>5892.3360000000002</v>
      </c>
      <c r="M13" s="110">
        <f t="shared" si="2"/>
        <v>4541.04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4.3460000000000001</v>
      </c>
      <c r="C14" s="118">
        <v>4.01</v>
      </c>
      <c r="D14" s="119">
        <v>4.8899999999999997</v>
      </c>
      <c r="E14" s="120">
        <v>4.6479999999999997</v>
      </c>
      <c r="F14" s="120">
        <v>3.7120000000000002</v>
      </c>
      <c r="G14" s="120">
        <v>4.2380000000000004</v>
      </c>
      <c r="H14" s="120">
        <v>4.6879999999999997</v>
      </c>
      <c r="I14" s="120">
        <v>4.3120000000000003</v>
      </c>
      <c r="J14" s="120">
        <v>5.3559999999999999</v>
      </c>
      <c r="K14" s="120">
        <v>5.4039999999999999</v>
      </c>
      <c r="L14" s="120">
        <v>5.7649999999999997</v>
      </c>
      <c r="M14" s="120">
        <v>5.4059999999999997</v>
      </c>
      <c r="N14" s="100"/>
      <c r="O14" s="108">
        <f>SUM(B14:M14)</f>
        <v>56.774999999999999</v>
      </c>
      <c r="P14" s="108">
        <f>O14/12</f>
        <v>4.7312500000000002</v>
      </c>
      <c r="Q14" s="108">
        <f>P14/30</f>
        <v>0.15770833333333334</v>
      </c>
      <c r="R14" s="108">
        <f>Q14/24</f>
        <v>6.5711805555555558E-3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2281.65</v>
      </c>
      <c r="C16" s="110">
        <f t="shared" ref="C16:M16" si="3">SUM(C14*C15)*1000</f>
        <v>2105.25</v>
      </c>
      <c r="D16" s="110">
        <f t="shared" si="3"/>
        <v>2567.25</v>
      </c>
      <c r="E16" s="110">
        <f t="shared" si="3"/>
        <v>2440.1999999999998</v>
      </c>
      <c r="F16" s="110">
        <f t="shared" si="3"/>
        <v>1948.8000000000002</v>
      </c>
      <c r="G16" s="110">
        <f t="shared" si="3"/>
        <v>2585.1800000000003</v>
      </c>
      <c r="H16" s="110">
        <f t="shared" si="3"/>
        <v>2915.9359999999997</v>
      </c>
      <c r="I16" s="110">
        <f t="shared" si="3"/>
        <v>2682.0639999999999</v>
      </c>
      <c r="J16" s="110">
        <f t="shared" si="3"/>
        <v>2865.46</v>
      </c>
      <c r="K16" s="110">
        <f t="shared" si="3"/>
        <v>2891.14</v>
      </c>
      <c r="L16" s="110">
        <f t="shared" si="3"/>
        <v>3084.2750000000001</v>
      </c>
      <c r="M16" s="110">
        <f t="shared" si="3"/>
        <v>2892.21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125">
        <v>1891.19</v>
      </c>
      <c r="C17" s="126">
        <v>2053.9699999999998</v>
      </c>
      <c r="D17" s="125">
        <v>2088.7199999999998</v>
      </c>
      <c r="E17" s="127">
        <v>1975.32</v>
      </c>
      <c r="F17" s="127">
        <v>1865.58</v>
      </c>
      <c r="G17" s="127">
        <v>2390.5</v>
      </c>
      <c r="H17" s="127">
        <v>2665.15</v>
      </c>
      <c r="I17" s="127">
        <v>2767.97</v>
      </c>
      <c r="J17" s="127">
        <v>2933.28</v>
      </c>
      <c r="K17" s="127">
        <v>2576.4499999999998</v>
      </c>
      <c r="L17" s="127">
        <v>1921.95</v>
      </c>
      <c r="M17" s="127">
        <v>3118.75</v>
      </c>
      <c r="N17" s="100"/>
      <c r="O17" s="108">
        <f>SUM(B17:M17)</f>
        <v>28248.829999999998</v>
      </c>
      <c r="P17" s="108">
        <f>O17/12</f>
        <v>2354.0691666666667</v>
      </c>
      <c r="Q17" s="108">
        <f>P17/30</f>
        <v>78.46897222222222</v>
      </c>
      <c r="R17" s="108">
        <f>Q17/24</f>
        <v>3.2695405092592593</v>
      </c>
    </row>
    <row r="18" spans="1:28" x14ac:dyDescent="0.3">
      <c r="A18" s="103" t="s">
        <v>1</v>
      </c>
      <c r="B18" s="128">
        <v>563.53</v>
      </c>
      <c r="C18" s="126">
        <v>612.04</v>
      </c>
      <c r="D18" s="128">
        <v>622.39</v>
      </c>
      <c r="E18" s="129">
        <v>588.6</v>
      </c>
      <c r="F18" s="129">
        <v>555.9</v>
      </c>
      <c r="G18" s="129">
        <v>712.31</v>
      </c>
      <c r="H18" s="129">
        <v>794.52</v>
      </c>
      <c r="I18" s="129">
        <v>825.17</v>
      </c>
      <c r="J18" s="129">
        <v>874.46</v>
      </c>
      <c r="K18" s="129">
        <v>768.08</v>
      </c>
      <c r="L18" s="129">
        <v>572.75</v>
      </c>
      <c r="M18" s="129">
        <v>929.75</v>
      </c>
      <c r="N18" s="100"/>
      <c r="O18" s="108">
        <f>SUM(B18:M18)</f>
        <v>8419.5</v>
      </c>
      <c r="P18" s="108">
        <f>O18/12</f>
        <v>701.625</v>
      </c>
      <c r="Q18" s="108">
        <f>P18/30</f>
        <v>23.387499999999999</v>
      </c>
      <c r="R18" s="108">
        <f>Q18/24</f>
        <v>0.97447916666666667</v>
      </c>
    </row>
    <row r="19" spans="1:28" x14ac:dyDescent="0.3">
      <c r="A19" s="103" t="s">
        <v>0</v>
      </c>
      <c r="B19" s="128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132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18.994999999999997</v>
      </c>
      <c r="C22" s="314">
        <f>C8+C11+C14</f>
        <v>19.368000000000002</v>
      </c>
      <c r="D22" s="314">
        <f t="shared" ref="D22:M22" si="4">D8+D11+D14</f>
        <v>20.465</v>
      </c>
      <c r="E22" s="314">
        <f t="shared" si="4"/>
        <v>16.59</v>
      </c>
      <c r="F22" s="314">
        <f t="shared" si="4"/>
        <v>18.234000000000002</v>
      </c>
      <c r="G22" s="314">
        <f t="shared" si="4"/>
        <v>20.216999999999999</v>
      </c>
      <c r="H22" s="314">
        <f t="shared" si="4"/>
        <v>20.634999999999998</v>
      </c>
      <c r="I22" s="314">
        <f t="shared" si="4"/>
        <v>20.719000000000001</v>
      </c>
      <c r="J22" s="314">
        <f t="shared" si="4"/>
        <v>20.36</v>
      </c>
      <c r="K22" s="314">
        <f t="shared" si="4"/>
        <v>22.766999999999999</v>
      </c>
      <c r="L22" s="314">
        <f t="shared" si="4"/>
        <v>23.683</v>
      </c>
      <c r="M22" s="314">
        <f t="shared" si="4"/>
        <v>18.613</v>
      </c>
      <c r="N22" s="138"/>
      <c r="O22" s="108">
        <f>SUM(B22:M22)</f>
        <v>240.64600000000002</v>
      </c>
      <c r="P22" s="108">
        <f>O22/12</f>
        <v>20.053833333333333</v>
      </c>
      <c r="Q22" s="108">
        <f>P22/30</f>
        <v>0.66846111111111106</v>
      </c>
      <c r="R22" s="108">
        <f>Q22/24</f>
        <v>2.7852546296296295E-2</v>
      </c>
    </row>
    <row r="23" spans="1:28" s="115" customFormat="1" ht="19.5" thickBot="1" x14ac:dyDescent="0.35">
      <c r="A23" s="139" t="s">
        <v>12</v>
      </c>
      <c r="B23" s="140">
        <f>B16+B13+B10+B17+B18+B19+B20+B7</f>
        <v>31390.921999999999</v>
      </c>
      <c r="C23" s="141">
        <f t="shared" ref="C23:M23" si="5">C16+C13+C10+C17+C18+C19+C20+C7</f>
        <v>32844.038</v>
      </c>
      <c r="D23" s="140">
        <f t="shared" si="5"/>
        <v>31869.472000000002</v>
      </c>
      <c r="E23" s="142">
        <f t="shared" si="5"/>
        <v>28236.290999999997</v>
      </c>
      <c r="F23" s="142">
        <f t="shared" si="5"/>
        <v>30614.280000000006</v>
      </c>
      <c r="G23" s="142">
        <f t="shared" si="5"/>
        <v>48632.256999999998</v>
      </c>
      <c r="H23" s="142">
        <f t="shared" si="5"/>
        <v>51580.03</v>
      </c>
      <c r="I23" s="142">
        <f t="shared" si="5"/>
        <v>51725.034999999996</v>
      </c>
      <c r="J23" s="142">
        <f t="shared" si="5"/>
        <v>33122.906999999999</v>
      </c>
      <c r="K23" s="142">
        <f t="shared" si="5"/>
        <v>36347.916000000005</v>
      </c>
      <c r="L23" s="142">
        <f>L16+L13+L10+L17+L18+L19+L20+L7</f>
        <v>36548.900000000009</v>
      </c>
      <c r="M23" s="142">
        <f t="shared" si="5"/>
        <v>33041.327000000005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Complete!D13</f>
        <v>2594</v>
      </c>
      <c r="C29" s="150">
        <f>B29</f>
        <v>2594</v>
      </c>
      <c r="D29" s="151">
        <f>C29</f>
        <v>2594</v>
      </c>
      <c r="E29" s="151">
        <f>D29</f>
        <v>2594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1062.56</v>
      </c>
      <c r="C31" s="154">
        <f>P5</f>
        <v>88.546666666666667</v>
      </c>
      <c r="D31" s="154">
        <f>Q5</f>
        <v>2.9515555555555557</v>
      </c>
      <c r="E31" s="154">
        <f>R5</f>
        <v>0.12298148148148148</v>
      </c>
      <c r="F31" s="154"/>
      <c r="AB31" s="155">
        <f>SUM(B22:M22)</f>
        <v>240.64600000000002</v>
      </c>
    </row>
    <row r="32" spans="1:28" x14ac:dyDescent="0.3">
      <c r="A32" s="116" t="s">
        <v>5</v>
      </c>
      <c r="B32" s="124">
        <f>O8</f>
        <v>131.50299999999999</v>
      </c>
      <c r="C32" s="207">
        <f>P8</f>
        <v>10.958583333333332</v>
      </c>
      <c r="D32" s="207">
        <f>Q8</f>
        <v>0.36528611111111103</v>
      </c>
      <c r="E32" s="207">
        <f>R8</f>
        <v>1.5220254629629627E-2</v>
      </c>
      <c r="F32" s="156"/>
      <c r="AB32" s="143">
        <f>AB31/12</f>
        <v>20.053833333333333</v>
      </c>
    </row>
    <row r="33" spans="1:28" x14ac:dyDescent="0.3">
      <c r="A33" s="103" t="s">
        <v>48</v>
      </c>
      <c r="B33" s="104">
        <f>O11</f>
        <v>52.367999999999995</v>
      </c>
      <c r="C33" s="206">
        <f>P11</f>
        <v>4.3639999999999999</v>
      </c>
      <c r="D33" s="206">
        <f>Q11</f>
        <v>0.14546666666666666</v>
      </c>
      <c r="E33" s="206">
        <f>R11</f>
        <v>6.0611111111111109E-3</v>
      </c>
      <c r="F33" s="157"/>
      <c r="AB33" s="88">
        <f>AB32/30</f>
        <v>0.66846111111111106</v>
      </c>
    </row>
    <row r="34" spans="1:28" ht="19.5" thickBot="1" x14ac:dyDescent="0.35">
      <c r="A34" s="131" t="s">
        <v>9</v>
      </c>
      <c r="B34" s="319">
        <f>O14</f>
        <v>56.774999999999999</v>
      </c>
      <c r="C34" s="315">
        <f>P14</f>
        <v>4.7312500000000002</v>
      </c>
      <c r="D34" s="315">
        <f>Q14</f>
        <v>0.15770833333333334</v>
      </c>
      <c r="E34" s="315">
        <f>R14</f>
        <v>6.5711805555555558E-3</v>
      </c>
      <c r="F34" s="158"/>
      <c r="AB34" s="88">
        <f>AB33/24</f>
        <v>2.7852546296296295E-2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240.64599999999999</v>
      </c>
      <c r="C36" s="314">
        <f>SUM(C32:C34)</f>
        <v>20.05383333333333</v>
      </c>
      <c r="D36" s="314">
        <f>SUM(D32:D34)</f>
        <v>0.66846111111111106</v>
      </c>
      <c r="E36" s="314">
        <f>SUM(E32:E34)</f>
        <v>2.7852546296296292E-2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92.770239013107158</v>
      </c>
      <c r="C38" s="160">
        <f>C36/C29*1000</f>
        <v>7.7308532510922623</v>
      </c>
      <c r="D38" s="160">
        <f>D36/D29*1000</f>
        <v>0.25769510836974213</v>
      </c>
      <c r="E38" s="160">
        <f>E36/E29*1000</f>
        <v>1.0737296182072587E-2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103.40021869874249</v>
      </c>
      <c r="C76" s="168">
        <f t="shared" si="6"/>
        <v>112.30016402405685</v>
      </c>
      <c r="D76" s="168">
        <f t="shared" si="6"/>
        <v>114.20010934937123</v>
      </c>
      <c r="E76" s="168">
        <f t="shared" si="6"/>
        <v>108</v>
      </c>
      <c r="F76" s="168">
        <f t="shared" si="6"/>
        <v>102</v>
      </c>
      <c r="G76" s="168">
        <f t="shared" si="6"/>
        <v>130.69983597594313</v>
      </c>
      <c r="H76" s="168">
        <f t="shared" ref="H76:M76" si="7">H17/20.16</f>
        <v>132.19990079365078</v>
      </c>
      <c r="I76" s="168">
        <f t="shared" si="7"/>
        <v>137.30009920634919</v>
      </c>
      <c r="J76" s="168">
        <f t="shared" si="7"/>
        <v>145.5</v>
      </c>
      <c r="K76" s="168">
        <f t="shared" si="7"/>
        <v>127.8000992063492</v>
      </c>
      <c r="L76" s="168">
        <f t="shared" si="7"/>
        <v>95.334821428571431</v>
      </c>
      <c r="M76" s="169">
        <f t="shared" si="7"/>
        <v>154.69990079365078</v>
      </c>
      <c r="N76" s="170">
        <f>SUM(B76:M76)</f>
        <v>1463.4351494766852</v>
      </c>
      <c r="O76" s="195">
        <f>SUM(C76:N76)</f>
        <v>2823.4700802546276</v>
      </c>
      <c r="P76" s="196">
        <f>O76</f>
        <v>2823.4700802546276</v>
      </c>
      <c r="Q76" s="197">
        <f>P76/12</f>
        <v>235.2891733545523</v>
      </c>
      <c r="R76" s="197">
        <f>Q76/30</f>
        <v>7.8429724451517435</v>
      </c>
      <c r="S76" s="198">
        <f>R76/24</f>
        <v>0.32679051854798929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4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8" width="0" style="89" hidden="1" customWidth="1"/>
    <col min="29" max="16384" width="9.140625" style="89"/>
  </cols>
  <sheetData>
    <row r="1" spans="1:24" ht="19.5" thickBot="1" x14ac:dyDescent="0.35">
      <c r="A1" s="78" t="str">
        <f>Complete!B14</f>
        <v>Elliot Mobility (Pty) Ltd</v>
      </c>
      <c r="B1" s="79"/>
      <c r="C1" s="86" t="str">
        <f>Complete!A14</f>
        <v>2 Travertine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59.43</v>
      </c>
      <c r="C5" s="105">
        <v>62.92</v>
      </c>
      <c r="D5" s="106">
        <v>50.51</v>
      </c>
      <c r="E5" s="107">
        <v>52.08</v>
      </c>
      <c r="F5" s="107">
        <v>58.81</v>
      </c>
      <c r="G5" s="107">
        <v>63.58</v>
      </c>
      <c r="H5" s="107">
        <v>56.8</v>
      </c>
      <c r="I5" s="107">
        <v>58.34</v>
      </c>
      <c r="J5" s="107">
        <v>45.16</v>
      </c>
      <c r="K5" s="107">
        <v>46.4</v>
      </c>
      <c r="L5" s="107">
        <v>53.39</v>
      </c>
      <c r="M5" s="107">
        <v>53.2</v>
      </c>
      <c r="N5" s="100"/>
      <c r="O5" s="108">
        <f>SUM(B5:M5)</f>
        <v>660.62</v>
      </c>
      <c r="P5" s="108">
        <f>O5/12</f>
        <v>55.051666666666669</v>
      </c>
      <c r="Q5" s="108">
        <f>P5/30</f>
        <v>1.8350555555555557</v>
      </c>
      <c r="R5" s="108">
        <f>Q5/24</f>
        <v>7.6460648148148153E-2</v>
      </c>
      <c r="S5" s="89">
        <v>0</v>
      </c>
      <c r="T5" s="89">
        <v>0</v>
      </c>
      <c r="U5" s="89">
        <v>0</v>
      </c>
      <c r="V5" s="89">
        <v>0</v>
      </c>
      <c r="X5" s="108">
        <f>O5</f>
        <v>660.62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9300.7950000000001</v>
      </c>
      <c r="C7" s="111">
        <f t="shared" ref="C7:M7" si="0">C6*C5</f>
        <v>9853.271999999999</v>
      </c>
      <c r="D7" s="112">
        <f t="shared" si="0"/>
        <v>7909.8659999999991</v>
      </c>
      <c r="E7" s="113">
        <f t="shared" si="0"/>
        <v>8155.7279999999992</v>
      </c>
      <c r="F7" s="113">
        <f t="shared" si="0"/>
        <v>9209.6460000000006</v>
      </c>
      <c r="G7" s="113">
        <f t="shared" si="0"/>
        <v>9956.6279999999988</v>
      </c>
      <c r="H7" s="113">
        <f t="shared" si="0"/>
        <v>9059.6</v>
      </c>
      <c r="I7" s="113">
        <f t="shared" si="0"/>
        <v>9305.2300000000014</v>
      </c>
      <c r="J7" s="113">
        <f t="shared" si="0"/>
        <v>7203.0199999999995</v>
      </c>
      <c r="K7" s="113">
        <f t="shared" si="0"/>
        <v>7400.8</v>
      </c>
      <c r="L7" s="113">
        <f t="shared" si="0"/>
        <v>8515.7049999999999</v>
      </c>
      <c r="M7" s="113">
        <f t="shared" si="0"/>
        <v>8485.4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9.0570000000000004</v>
      </c>
      <c r="C8" s="238">
        <v>8.766</v>
      </c>
      <c r="D8" s="124">
        <v>8.6300000000000008</v>
      </c>
      <c r="E8" s="207">
        <v>7.1180000000000003</v>
      </c>
      <c r="F8" s="207">
        <v>8.7720000000000002</v>
      </c>
      <c r="G8" s="207">
        <v>9.0419999999999998</v>
      </c>
      <c r="H8" s="207">
        <v>8.5739999999999998</v>
      </c>
      <c r="I8" s="207">
        <v>8.6760000000000002</v>
      </c>
      <c r="J8" s="207">
        <v>7.7140000000000004</v>
      </c>
      <c r="K8" s="207">
        <v>7.8710000000000004</v>
      </c>
      <c r="L8" s="207">
        <v>8.9890000000000008</v>
      </c>
      <c r="M8" s="207">
        <v>7.7560000000000002</v>
      </c>
      <c r="N8" s="100"/>
      <c r="O8" s="108">
        <f>SUM(B8:M8)</f>
        <v>100.965</v>
      </c>
      <c r="P8" s="108">
        <f>O8/12</f>
        <v>8.4137500000000003</v>
      </c>
      <c r="Q8" s="108">
        <f>P8/30</f>
        <v>0.28045833333333337</v>
      </c>
      <c r="R8" s="108">
        <f>Q8/24</f>
        <v>1.168576388888889E-2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6720.2939999999999</v>
      </c>
      <c r="C10" s="322">
        <f t="shared" ref="C10:M10" si="1">SUM(C8*C9)*1000</f>
        <v>6504.3720000000003</v>
      </c>
      <c r="D10" s="322">
        <f t="shared" si="1"/>
        <v>6403.4600000000009</v>
      </c>
      <c r="E10" s="322">
        <f t="shared" si="1"/>
        <v>5281.5560000000005</v>
      </c>
      <c r="F10" s="322">
        <f t="shared" si="1"/>
        <v>6508.8239999999996</v>
      </c>
      <c r="G10" s="322">
        <f t="shared" si="1"/>
        <v>10357.610999999999</v>
      </c>
      <c r="H10" s="322">
        <f t="shared" si="1"/>
        <v>10005.858</v>
      </c>
      <c r="I10" s="322">
        <f t="shared" si="1"/>
        <v>10124.892000000002</v>
      </c>
      <c r="J10" s="322">
        <f t="shared" si="1"/>
        <v>5831.7840000000006</v>
      </c>
      <c r="K10" s="322">
        <f t="shared" si="1"/>
        <v>5950.4759999999997</v>
      </c>
      <c r="L10" s="322">
        <f t="shared" si="1"/>
        <v>6795.6840000000002</v>
      </c>
      <c r="M10" s="322">
        <f t="shared" si="1"/>
        <v>5863.5360000000001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3.4239999999999999</v>
      </c>
      <c r="D11" s="124">
        <v>3.91</v>
      </c>
      <c r="E11" s="207">
        <v>2.6059999999999999</v>
      </c>
      <c r="F11" s="207">
        <v>3.5089999999999999</v>
      </c>
      <c r="G11" s="207">
        <v>3.8849999999999998</v>
      </c>
      <c r="H11" s="207">
        <v>4.1420000000000003</v>
      </c>
      <c r="I11" s="207">
        <v>3.9079999999999999</v>
      </c>
      <c r="J11" s="207">
        <v>2.976</v>
      </c>
      <c r="K11" s="207">
        <v>3.14</v>
      </c>
      <c r="L11" s="207">
        <v>3.4820000000000002</v>
      </c>
      <c r="M11" s="207">
        <v>3.056</v>
      </c>
      <c r="N11" s="100"/>
      <c r="O11" s="108">
        <f>SUM(B11:M11)</f>
        <v>41.869</v>
      </c>
      <c r="P11" s="108">
        <f>O11/12</f>
        <v>3.4890833333333333</v>
      </c>
      <c r="Q11" s="108">
        <f>P11/30</f>
        <v>0.11630277777777778</v>
      </c>
      <c r="R11" s="108">
        <f>Q11/24</f>
        <v>4.8459490740740746E-3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4112.2240000000002</v>
      </c>
      <c r="D13" s="110">
        <f t="shared" si="2"/>
        <v>4695.9100000000008</v>
      </c>
      <c r="E13" s="110">
        <f t="shared" si="2"/>
        <v>3129.806</v>
      </c>
      <c r="F13" s="110">
        <f t="shared" si="2"/>
        <v>4214.3090000000002</v>
      </c>
      <c r="G13" s="110">
        <f t="shared" si="2"/>
        <v>12183.36</v>
      </c>
      <c r="H13" s="110">
        <f t="shared" si="2"/>
        <v>13233.69</v>
      </c>
      <c r="I13" s="110">
        <f t="shared" si="2"/>
        <v>12486.059999999998</v>
      </c>
      <c r="J13" s="110">
        <f t="shared" si="2"/>
        <v>3642.6240000000003</v>
      </c>
      <c r="K13" s="110">
        <f t="shared" si="2"/>
        <v>3843.36</v>
      </c>
      <c r="L13" s="110">
        <f t="shared" si="2"/>
        <v>4261.9680000000008</v>
      </c>
      <c r="M13" s="110">
        <f t="shared" si="2"/>
        <v>3740.5439999999999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7.1029999999999998</v>
      </c>
      <c r="C14" s="118">
        <v>5.8440000000000003</v>
      </c>
      <c r="D14" s="119">
        <v>5.9560000000000004</v>
      </c>
      <c r="E14" s="120">
        <v>6.3680000000000003</v>
      </c>
      <c r="F14" s="120">
        <v>6.351</v>
      </c>
      <c r="G14" s="120">
        <v>6.2910000000000004</v>
      </c>
      <c r="H14" s="120">
        <v>7.875</v>
      </c>
      <c r="I14" s="120">
        <v>6.8479999999999999</v>
      </c>
      <c r="J14" s="120">
        <v>6.7380000000000004</v>
      </c>
      <c r="K14" s="120">
        <v>6.8650000000000002</v>
      </c>
      <c r="L14" s="120">
        <v>6.7039999999999997</v>
      </c>
      <c r="M14" s="120">
        <v>8.2550000000000008</v>
      </c>
      <c r="N14" s="100"/>
      <c r="O14" s="108">
        <f>SUM(B14:M14)</f>
        <v>81.197999999999979</v>
      </c>
      <c r="P14" s="108">
        <f>O14/12</f>
        <v>6.766499999999998</v>
      </c>
      <c r="Q14" s="108">
        <f>P14/30</f>
        <v>0.22554999999999994</v>
      </c>
      <c r="R14" s="108">
        <f>Q14/24</f>
        <v>9.3979166666666638E-3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3729.0749999999998</v>
      </c>
      <c r="C16" s="110">
        <f t="shared" ref="C16:M16" si="3">SUM(C14*C15)*1000</f>
        <v>3068.1000000000004</v>
      </c>
      <c r="D16" s="110">
        <f t="shared" si="3"/>
        <v>3126.9000000000005</v>
      </c>
      <c r="E16" s="110">
        <f t="shared" si="3"/>
        <v>3343.2000000000003</v>
      </c>
      <c r="F16" s="110">
        <f t="shared" si="3"/>
        <v>3334.2750000000005</v>
      </c>
      <c r="G16" s="110">
        <f t="shared" si="3"/>
        <v>3837.5099999999998</v>
      </c>
      <c r="H16" s="110">
        <f t="shared" si="3"/>
        <v>4898.25</v>
      </c>
      <c r="I16" s="110">
        <f t="shared" si="3"/>
        <v>4259.4560000000001</v>
      </c>
      <c r="J16" s="110">
        <f t="shared" si="3"/>
        <v>3604.8300000000008</v>
      </c>
      <c r="K16" s="110">
        <f t="shared" si="3"/>
        <v>3672.7750000000001</v>
      </c>
      <c r="L16" s="110">
        <f t="shared" si="3"/>
        <v>3586.64</v>
      </c>
      <c r="M16" s="110">
        <f t="shared" si="3"/>
        <v>4416.4250000000002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125">
        <v>10363.11</v>
      </c>
      <c r="C17" s="126">
        <v>9053.5499999999993</v>
      </c>
      <c r="D17" s="125">
        <v>10035.719999999999</v>
      </c>
      <c r="E17" s="127">
        <v>9697.36</v>
      </c>
      <c r="F17" s="127">
        <v>10908.38</v>
      </c>
      <c r="G17" s="127">
        <v>8621.91</v>
      </c>
      <c r="H17" s="127">
        <v>6860.45</v>
      </c>
      <c r="I17" s="127">
        <v>6154.85</v>
      </c>
      <c r="J17" s="127">
        <v>6172.99</v>
      </c>
      <c r="K17" s="127">
        <v>7324.13</v>
      </c>
      <c r="L17" s="127">
        <v>8195.0400000000009</v>
      </c>
      <c r="M17" s="127">
        <v>17224.7</v>
      </c>
      <c r="N17" s="100"/>
      <c r="O17" s="108">
        <f>SUM(B17:M17)</f>
        <v>110612.19000000002</v>
      </c>
      <c r="P17" s="108">
        <f>O17/12</f>
        <v>9217.6825000000008</v>
      </c>
      <c r="Q17" s="108">
        <f>P17/30</f>
        <v>307.25608333333338</v>
      </c>
      <c r="R17" s="108">
        <f>Q17/24</f>
        <v>12.802336805555557</v>
      </c>
    </row>
    <row r="18" spans="1:28" x14ac:dyDescent="0.3">
      <c r="A18" s="103" t="s">
        <v>1</v>
      </c>
      <c r="B18" s="128">
        <v>3087.97</v>
      </c>
      <c r="C18" s="126">
        <v>2697.75</v>
      </c>
      <c r="D18" s="128">
        <v>2990.42</v>
      </c>
      <c r="E18" s="129">
        <v>2889.59</v>
      </c>
      <c r="F18" s="129">
        <v>3220.95</v>
      </c>
      <c r="G18" s="129">
        <v>2569.13</v>
      </c>
      <c r="H18" s="129">
        <v>2045.2</v>
      </c>
      <c r="I18" s="129">
        <v>1834.85</v>
      </c>
      <c r="J18" s="129">
        <v>1840.26</v>
      </c>
      <c r="K18" s="129">
        <v>2183.4299999999998</v>
      </c>
      <c r="L18" s="129">
        <v>2443.0700000000002</v>
      </c>
      <c r="M18" s="129">
        <v>5134.9399999999996</v>
      </c>
      <c r="N18" s="100"/>
      <c r="O18" s="108">
        <f>SUM(B18:M18)</f>
        <v>32937.56</v>
      </c>
      <c r="P18" s="108">
        <f>O18/12</f>
        <v>2744.7966666666666</v>
      </c>
      <c r="Q18" s="108">
        <f>P18/30</f>
        <v>91.493222222222215</v>
      </c>
      <c r="R18" s="108">
        <f>Q18/24</f>
        <v>3.8122175925925923</v>
      </c>
    </row>
    <row r="19" spans="1:28" x14ac:dyDescent="0.3">
      <c r="A19" s="103" t="s">
        <v>0</v>
      </c>
      <c r="B19" s="128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132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19.991</v>
      </c>
      <c r="C22" s="314">
        <f>C8+C11+C14</f>
        <v>18.033999999999999</v>
      </c>
      <c r="D22" s="314">
        <f t="shared" ref="D22:M22" si="4">D8+D11+D14</f>
        <v>18.496000000000002</v>
      </c>
      <c r="E22" s="314">
        <f t="shared" si="4"/>
        <v>16.091999999999999</v>
      </c>
      <c r="F22" s="314">
        <f t="shared" si="4"/>
        <v>18.632000000000001</v>
      </c>
      <c r="G22" s="314">
        <f t="shared" si="4"/>
        <v>19.218</v>
      </c>
      <c r="H22" s="314">
        <f t="shared" si="4"/>
        <v>20.591000000000001</v>
      </c>
      <c r="I22" s="314">
        <f t="shared" si="4"/>
        <v>19.431999999999999</v>
      </c>
      <c r="J22" s="314">
        <f t="shared" si="4"/>
        <v>17.428000000000001</v>
      </c>
      <c r="K22" s="314">
        <f t="shared" si="4"/>
        <v>17.876000000000001</v>
      </c>
      <c r="L22" s="314">
        <f t="shared" si="4"/>
        <v>19.175000000000001</v>
      </c>
      <c r="M22" s="314">
        <f t="shared" si="4"/>
        <v>19.067</v>
      </c>
      <c r="N22" s="138"/>
      <c r="O22" s="108">
        <f>SUM(B22:M22)</f>
        <v>224.03200000000001</v>
      </c>
      <c r="P22" s="108">
        <f>O22/12</f>
        <v>18.669333333333334</v>
      </c>
      <c r="Q22" s="108">
        <f>P22/30</f>
        <v>0.62231111111111115</v>
      </c>
      <c r="R22" s="108">
        <f>Q22/24</f>
        <v>2.5929629629629632E-2</v>
      </c>
    </row>
    <row r="23" spans="1:28" s="115" customFormat="1" ht="19.5" thickBot="1" x14ac:dyDescent="0.35">
      <c r="A23" s="139" t="s">
        <v>12</v>
      </c>
      <c r="B23" s="140">
        <f>B16+B13+B10+B17+B18+B19+B20+B7</f>
        <v>38158.565000000002</v>
      </c>
      <c r="C23" s="141">
        <f t="shared" ref="C23:M23" si="5">C16+C13+C10+C17+C18+C19+C20+C7</f>
        <v>35645.557999999997</v>
      </c>
      <c r="D23" s="140">
        <f t="shared" si="5"/>
        <v>35518.566000000006</v>
      </c>
      <c r="E23" s="142">
        <f t="shared" si="5"/>
        <v>32853.53</v>
      </c>
      <c r="F23" s="142">
        <f t="shared" si="5"/>
        <v>37752.673999999999</v>
      </c>
      <c r="G23" s="142">
        <f t="shared" si="5"/>
        <v>47882.438999999998</v>
      </c>
      <c r="H23" s="142">
        <f t="shared" si="5"/>
        <v>46474.007999999994</v>
      </c>
      <c r="I23" s="142">
        <f t="shared" si="5"/>
        <v>44536.297999999995</v>
      </c>
      <c r="J23" s="142">
        <f t="shared" si="5"/>
        <v>28666.468000000004</v>
      </c>
      <c r="K23" s="142">
        <f t="shared" si="5"/>
        <v>30745.931000000004</v>
      </c>
      <c r="L23" s="142">
        <f>L16+L13+L10+L17+L18+L19+L20+L7</f>
        <v>34169.067000000003</v>
      </c>
      <c r="M23" s="142">
        <f t="shared" si="5"/>
        <v>45236.505000000005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Complete!D14</f>
        <v>12584</v>
      </c>
      <c r="C29" s="150">
        <f>B29</f>
        <v>12584</v>
      </c>
      <c r="D29" s="151">
        <f>C29</f>
        <v>12584</v>
      </c>
      <c r="E29" s="151">
        <f>D29</f>
        <v>12584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660.62</v>
      </c>
      <c r="C31" s="154">
        <f>P5</f>
        <v>55.051666666666669</v>
      </c>
      <c r="D31" s="154">
        <f>Q5</f>
        <v>1.8350555555555557</v>
      </c>
      <c r="E31" s="154">
        <f>R5</f>
        <v>7.6460648148148153E-2</v>
      </c>
      <c r="F31" s="154"/>
      <c r="AB31" s="155">
        <f>SUM(B22:M22)</f>
        <v>224.03200000000001</v>
      </c>
    </row>
    <row r="32" spans="1:28" x14ac:dyDescent="0.3">
      <c r="A32" s="116" t="s">
        <v>5</v>
      </c>
      <c r="B32" s="124">
        <f>O8</f>
        <v>100.965</v>
      </c>
      <c r="C32" s="207">
        <f>P8</f>
        <v>8.4137500000000003</v>
      </c>
      <c r="D32" s="207">
        <f>Q8</f>
        <v>0.28045833333333337</v>
      </c>
      <c r="E32" s="207">
        <f>R8</f>
        <v>1.168576388888889E-2</v>
      </c>
      <c r="F32" s="156"/>
      <c r="AB32" s="143">
        <f>AB31/12</f>
        <v>18.669333333333334</v>
      </c>
    </row>
    <row r="33" spans="1:28" x14ac:dyDescent="0.3">
      <c r="A33" s="103" t="s">
        <v>48</v>
      </c>
      <c r="B33" s="104">
        <f>O11</f>
        <v>41.869</v>
      </c>
      <c r="C33" s="206">
        <f>P11</f>
        <v>3.4890833333333333</v>
      </c>
      <c r="D33" s="206">
        <f>Q11</f>
        <v>0.11630277777777778</v>
      </c>
      <c r="E33" s="206">
        <f>R11</f>
        <v>4.8459490740740746E-3</v>
      </c>
      <c r="F33" s="157"/>
      <c r="AB33" s="88">
        <f>AB32/30</f>
        <v>0.62231111111111115</v>
      </c>
    </row>
    <row r="34" spans="1:28" ht="19.5" thickBot="1" x14ac:dyDescent="0.35">
      <c r="A34" s="131" t="s">
        <v>9</v>
      </c>
      <c r="B34" s="319">
        <f>O14</f>
        <v>81.197999999999979</v>
      </c>
      <c r="C34" s="315">
        <f>P14</f>
        <v>6.766499999999998</v>
      </c>
      <c r="D34" s="315">
        <f>Q14</f>
        <v>0.22554999999999994</v>
      </c>
      <c r="E34" s="315">
        <f>R14</f>
        <v>9.3979166666666638E-3</v>
      </c>
      <c r="F34" s="158"/>
      <c r="AB34" s="88">
        <f>AB33/24</f>
        <v>2.5929629629629632E-2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224.03199999999998</v>
      </c>
      <c r="C36" s="314">
        <f>SUM(C32:C34)</f>
        <v>18.669333333333331</v>
      </c>
      <c r="D36" s="314">
        <f>SUM(D32:D34)</f>
        <v>0.62231111111111104</v>
      </c>
      <c r="E36" s="314">
        <f>SUM(E32:E34)</f>
        <v>2.5929629629629629E-2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17.802924348378895</v>
      </c>
      <c r="C38" s="160">
        <f>C36/C29*1000</f>
        <v>1.4835770290315742</v>
      </c>
      <c r="D38" s="160">
        <f>D36/D29*1000</f>
        <v>4.9452567634385811E-2</v>
      </c>
      <c r="E38" s="160">
        <f>E36/E29*1000</f>
        <v>2.0605236514327423E-3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566.59978130125762</v>
      </c>
      <c r="C76" s="168">
        <f t="shared" si="6"/>
        <v>495</v>
      </c>
      <c r="D76" s="168">
        <f t="shared" si="6"/>
        <v>548.69983597594307</v>
      </c>
      <c r="E76" s="168">
        <f t="shared" si="6"/>
        <v>530.20010934937125</v>
      </c>
      <c r="F76" s="168">
        <f t="shared" si="6"/>
        <v>596.41224712957899</v>
      </c>
      <c r="G76" s="168">
        <f t="shared" si="6"/>
        <v>471.40021869874249</v>
      </c>
      <c r="H76" s="168">
        <f t="shared" ref="H76:M76" si="7">H17/20.16</f>
        <v>340.30009920634922</v>
      </c>
      <c r="I76" s="168">
        <f t="shared" si="7"/>
        <v>305.30009920634922</v>
      </c>
      <c r="J76" s="168">
        <f t="shared" si="7"/>
        <v>306.19990079365078</v>
      </c>
      <c r="K76" s="168">
        <f t="shared" si="7"/>
        <v>363.30009920634922</v>
      </c>
      <c r="L76" s="168">
        <f t="shared" si="7"/>
        <v>406.50000000000006</v>
      </c>
      <c r="M76" s="169">
        <f t="shared" si="7"/>
        <v>854.39980158730157</v>
      </c>
      <c r="N76" s="170">
        <f>SUM(B76:M76)</f>
        <v>5784.3121924548941</v>
      </c>
      <c r="O76" s="195">
        <f>SUM(C76:N76)</f>
        <v>11002.02460360853</v>
      </c>
      <c r="P76" s="196">
        <f>O76</f>
        <v>11002.02460360853</v>
      </c>
      <c r="Q76" s="197">
        <f>P76/12</f>
        <v>916.83538363404421</v>
      </c>
      <c r="R76" s="197">
        <f>Q76/30</f>
        <v>30.561179454468139</v>
      </c>
      <c r="S76" s="198">
        <f>R76/24</f>
        <v>1.2733824772695057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18" zoomScale="71" zoomScaleNormal="71" workbookViewId="0">
      <selection activeCell="B36" sqref="B36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Complete!B15</f>
        <v>Shoprite Checkers (Pty) Ltd T/A Checkers Food Service</v>
      </c>
      <c r="B1" s="79"/>
      <c r="C1" s="86" t="str">
        <f>Complete!A15</f>
        <v>3 Travertine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199.12</v>
      </c>
      <c r="C5" s="105">
        <v>198.67</v>
      </c>
      <c r="D5" s="106">
        <v>188.03</v>
      </c>
      <c r="E5" s="107">
        <v>185.9</v>
      </c>
      <c r="F5" s="107">
        <v>189.62</v>
      </c>
      <c r="G5" s="107">
        <v>178.38</v>
      </c>
      <c r="H5" s="107">
        <v>190.3</v>
      </c>
      <c r="I5" s="107">
        <v>186.03</v>
      </c>
      <c r="J5" s="107">
        <v>187.43</v>
      </c>
      <c r="K5" s="107">
        <v>191.8</v>
      </c>
      <c r="L5" s="107">
        <v>183.65</v>
      </c>
      <c r="M5" s="107">
        <v>187.14</v>
      </c>
      <c r="N5" s="100"/>
      <c r="O5" s="108">
        <f>SUM(B5:M5)</f>
        <v>2266.0699999999997</v>
      </c>
      <c r="P5" s="108">
        <f>O5/12</f>
        <v>188.83916666666664</v>
      </c>
      <c r="Q5" s="108">
        <f>P5/30</f>
        <v>6.2946388888888878</v>
      </c>
      <c r="R5" s="108">
        <f>Q5/24</f>
        <v>0.26227662037037031</v>
      </c>
      <c r="S5" s="89">
        <v>0</v>
      </c>
      <c r="T5" s="89">
        <v>0</v>
      </c>
      <c r="U5" s="89">
        <v>0</v>
      </c>
      <c r="V5" s="89">
        <v>0</v>
      </c>
      <c r="X5" s="108">
        <f>O5</f>
        <v>2266.0699999999997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31162.280000000002</v>
      </c>
      <c r="C7" s="111">
        <f t="shared" ref="C7:M7" si="0">C6*C5</f>
        <v>31111.721999999998</v>
      </c>
      <c r="D7" s="112">
        <f t="shared" si="0"/>
        <v>29445.498</v>
      </c>
      <c r="E7" s="113">
        <f t="shared" si="0"/>
        <v>29111.94</v>
      </c>
      <c r="F7" s="113">
        <f t="shared" si="0"/>
        <v>29694.491999999998</v>
      </c>
      <c r="G7" s="113">
        <f t="shared" si="0"/>
        <v>27934.307999999997</v>
      </c>
      <c r="H7" s="113">
        <f t="shared" si="0"/>
        <v>30352.850000000002</v>
      </c>
      <c r="I7" s="113">
        <f t="shared" si="0"/>
        <v>29671.785</v>
      </c>
      <c r="J7" s="113">
        <f t="shared" si="0"/>
        <v>29895.085000000003</v>
      </c>
      <c r="K7" s="113">
        <f t="shared" si="0"/>
        <v>30592.100000000002</v>
      </c>
      <c r="L7" s="113">
        <f t="shared" si="0"/>
        <v>29292.174999999999</v>
      </c>
      <c r="M7" s="113">
        <f t="shared" si="0"/>
        <v>29848.829999999998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34.621000000000002</v>
      </c>
      <c r="C8" s="238">
        <v>34.085000000000001</v>
      </c>
      <c r="D8" s="124">
        <v>37.237000000000002</v>
      </c>
      <c r="E8" s="207">
        <v>29.44</v>
      </c>
      <c r="F8" s="207">
        <v>34.268000000000001</v>
      </c>
      <c r="G8" s="207">
        <v>33.479999999999997</v>
      </c>
      <c r="H8" s="207">
        <v>35.880000000000003</v>
      </c>
      <c r="I8" s="207">
        <v>39.005000000000003</v>
      </c>
      <c r="J8" s="207">
        <v>36.316000000000003</v>
      </c>
      <c r="K8" s="207">
        <v>35.936</v>
      </c>
      <c r="L8" s="207">
        <v>34.158999999999999</v>
      </c>
      <c r="M8" s="207">
        <v>32.597000000000001</v>
      </c>
      <c r="N8" s="100"/>
      <c r="O8" s="108">
        <f>SUM(B8:M8)</f>
        <v>417.02399999999994</v>
      </c>
      <c r="P8" s="108">
        <f>O8/12</f>
        <v>34.751999999999995</v>
      </c>
      <c r="Q8" s="108">
        <f>P8/30</f>
        <v>1.1583999999999999</v>
      </c>
      <c r="R8" s="108">
        <f>Q8/24</f>
        <v>4.8266666666666659E-2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25688.781999999999</v>
      </c>
      <c r="C10" s="322">
        <f t="shared" ref="C10:M10" si="1">SUM(C8*C9)*1000</f>
        <v>25291.07</v>
      </c>
      <c r="D10" s="322">
        <f t="shared" si="1"/>
        <v>27629.854000000003</v>
      </c>
      <c r="E10" s="322">
        <f t="shared" si="1"/>
        <v>21844.48</v>
      </c>
      <c r="F10" s="322">
        <f t="shared" si="1"/>
        <v>25426.856</v>
      </c>
      <c r="G10" s="322">
        <f t="shared" si="1"/>
        <v>38351.339999999997</v>
      </c>
      <c r="H10" s="322">
        <f t="shared" si="1"/>
        <v>41871.96</v>
      </c>
      <c r="I10" s="322">
        <f t="shared" si="1"/>
        <v>45518.835000000006</v>
      </c>
      <c r="J10" s="322">
        <f t="shared" si="1"/>
        <v>27454.896000000001</v>
      </c>
      <c r="K10" s="322">
        <f t="shared" si="1"/>
        <v>27167.615999999998</v>
      </c>
      <c r="L10" s="322">
        <f t="shared" si="1"/>
        <v>25824.203999999998</v>
      </c>
      <c r="M10" s="322">
        <f t="shared" si="1"/>
        <v>24643.332000000002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13.916</v>
      </c>
      <c r="D11" s="124">
        <v>3.91</v>
      </c>
      <c r="E11" s="207">
        <v>11.250999999999999</v>
      </c>
      <c r="F11" s="207">
        <v>14.11</v>
      </c>
      <c r="G11" s="207">
        <v>12.663</v>
      </c>
      <c r="H11" s="207">
        <v>13.601000000000001</v>
      </c>
      <c r="I11" s="207">
        <v>14.986000000000001</v>
      </c>
      <c r="J11" s="207">
        <v>13.914999999999999</v>
      </c>
      <c r="K11" s="207">
        <v>14.83</v>
      </c>
      <c r="L11" s="207">
        <v>13.302</v>
      </c>
      <c r="M11" s="207">
        <v>12.523</v>
      </c>
      <c r="N11" s="100"/>
      <c r="O11" s="108">
        <f>SUM(B11:M11)</f>
        <v>142.83799999999999</v>
      </c>
      <c r="P11" s="108">
        <f>O11/12</f>
        <v>11.903166666666666</v>
      </c>
      <c r="Q11" s="108">
        <f>P11/30</f>
        <v>0.39677222222222219</v>
      </c>
      <c r="R11" s="108">
        <f>Q11/24</f>
        <v>1.6532175925925926E-2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16713.116000000002</v>
      </c>
      <c r="D13" s="110">
        <f t="shared" si="2"/>
        <v>4695.9100000000008</v>
      </c>
      <c r="E13" s="110">
        <f t="shared" si="2"/>
        <v>13512.451000000001</v>
      </c>
      <c r="F13" s="110">
        <f t="shared" si="2"/>
        <v>16946.11</v>
      </c>
      <c r="G13" s="110">
        <f t="shared" si="2"/>
        <v>39711.167999999998</v>
      </c>
      <c r="H13" s="110">
        <f t="shared" si="2"/>
        <v>43455.195000000007</v>
      </c>
      <c r="I13" s="110">
        <f t="shared" si="2"/>
        <v>47880.270000000004</v>
      </c>
      <c r="J13" s="110">
        <f t="shared" si="2"/>
        <v>17031.96</v>
      </c>
      <c r="K13" s="110">
        <f t="shared" si="2"/>
        <v>18151.920000000002</v>
      </c>
      <c r="L13" s="110">
        <f t="shared" si="2"/>
        <v>16281.648000000001</v>
      </c>
      <c r="M13" s="110">
        <f t="shared" si="2"/>
        <v>15328.152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33.262999999999998</v>
      </c>
      <c r="C14" s="118">
        <v>32.137999999999998</v>
      </c>
      <c r="D14" s="119">
        <v>35.86</v>
      </c>
      <c r="E14" s="120">
        <v>36.737000000000002</v>
      </c>
      <c r="F14" s="120">
        <v>28.754999999999999</v>
      </c>
      <c r="G14" s="120">
        <v>24.734999999999999</v>
      </c>
      <c r="H14" s="120">
        <v>29.693000000000001</v>
      </c>
      <c r="I14" s="120">
        <v>30.300999999999998</v>
      </c>
      <c r="J14" s="120">
        <v>30.079000000000001</v>
      </c>
      <c r="K14" s="120">
        <v>30.292000000000002</v>
      </c>
      <c r="L14" s="120">
        <v>29.669</v>
      </c>
      <c r="M14" s="120">
        <v>34.731000000000002</v>
      </c>
      <c r="N14" s="100"/>
      <c r="O14" s="108">
        <f>SUM(B14:M14)</f>
        <v>376.25299999999993</v>
      </c>
      <c r="P14" s="108">
        <f>O14/12</f>
        <v>31.354416666666662</v>
      </c>
      <c r="Q14" s="108">
        <f>P14/30</f>
        <v>1.045147222222222</v>
      </c>
      <c r="R14" s="108">
        <f>Q14/24</f>
        <v>4.3547800925925917E-2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17463.075000000001</v>
      </c>
      <c r="C16" s="110">
        <f t="shared" ref="C16:M16" si="3">SUM(C14*C15)*1000</f>
        <v>16872.45</v>
      </c>
      <c r="D16" s="110">
        <f t="shared" si="3"/>
        <v>18826.5</v>
      </c>
      <c r="E16" s="110">
        <f t="shared" si="3"/>
        <v>19286.924999999999</v>
      </c>
      <c r="F16" s="110">
        <f t="shared" si="3"/>
        <v>15096.375</v>
      </c>
      <c r="G16" s="110">
        <f t="shared" si="3"/>
        <v>15088.35</v>
      </c>
      <c r="H16" s="110">
        <f t="shared" si="3"/>
        <v>18469.046000000002</v>
      </c>
      <c r="I16" s="110">
        <f t="shared" si="3"/>
        <v>18847.221999999998</v>
      </c>
      <c r="J16" s="110">
        <f t="shared" si="3"/>
        <v>16092.265000000001</v>
      </c>
      <c r="K16" s="110">
        <f t="shared" si="3"/>
        <v>16206.220000000001</v>
      </c>
      <c r="L16" s="110">
        <f t="shared" si="3"/>
        <v>15872.915000000001</v>
      </c>
      <c r="M16" s="110">
        <f t="shared" si="3"/>
        <v>18581.085000000003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125">
        <v>2877.02</v>
      </c>
      <c r="C17" s="126">
        <v>3859.19</v>
      </c>
      <c r="D17" s="125">
        <v>4215.8500000000004</v>
      </c>
      <c r="E17" s="127">
        <v>3731.16</v>
      </c>
      <c r="F17" s="127">
        <v>2395.9899999999998</v>
      </c>
      <c r="G17" s="127">
        <v>2498.41</v>
      </c>
      <c r="H17" s="127">
        <v>4558.18</v>
      </c>
      <c r="I17" s="127">
        <v>6449.18</v>
      </c>
      <c r="J17" s="127">
        <v>4646.88</v>
      </c>
      <c r="K17" s="127">
        <v>4187.2299999999996</v>
      </c>
      <c r="L17" s="127">
        <v>2679.26</v>
      </c>
      <c r="M17" s="127">
        <v>4046.11</v>
      </c>
      <c r="N17" s="100"/>
      <c r="O17" s="108">
        <f>SUM(B17:M17)</f>
        <v>46144.46</v>
      </c>
      <c r="P17" s="108">
        <f>O17/12</f>
        <v>3845.3716666666664</v>
      </c>
      <c r="Q17" s="108">
        <f>P17/30</f>
        <v>128.17905555555555</v>
      </c>
      <c r="R17" s="108">
        <f>Q17/24</f>
        <v>5.3407939814814815</v>
      </c>
    </row>
    <row r="18" spans="1:28" x14ac:dyDescent="0.3">
      <c r="A18" s="103" t="s">
        <v>1</v>
      </c>
      <c r="B18" s="128">
        <v>857.29</v>
      </c>
      <c r="C18" s="126">
        <v>1149.95</v>
      </c>
      <c r="D18" s="128">
        <v>1256.23</v>
      </c>
      <c r="E18" s="129">
        <v>1111.8</v>
      </c>
      <c r="F18" s="129">
        <v>713.95</v>
      </c>
      <c r="G18" s="129">
        <v>744.47</v>
      </c>
      <c r="H18" s="129">
        <v>1358.86</v>
      </c>
      <c r="I18" s="129">
        <v>1922.6</v>
      </c>
      <c r="J18" s="129">
        <v>1385.31</v>
      </c>
      <c r="K18" s="129">
        <v>1248.28</v>
      </c>
      <c r="L18" s="129">
        <v>798.73</v>
      </c>
      <c r="M18" s="129">
        <v>1206.21</v>
      </c>
      <c r="N18" s="100"/>
      <c r="O18" s="108">
        <f>SUM(B18:M18)</f>
        <v>13753.68</v>
      </c>
      <c r="P18" s="108">
        <f>O18/12</f>
        <v>1146.1400000000001</v>
      </c>
      <c r="Q18" s="108">
        <f>P18/30</f>
        <v>38.204666666666668</v>
      </c>
      <c r="R18" s="108">
        <f>Q18/24</f>
        <v>1.5918611111111112</v>
      </c>
    </row>
    <row r="19" spans="1:28" x14ac:dyDescent="0.3">
      <c r="A19" s="103" t="s">
        <v>0</v>
      </c>
      <c r="B19" s="128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132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71.715000000000003</v>
      </c>
      <c r="C22" s="314">
        <f>C8+C11+C14</f>
        <v>80.13900000000001</v>
      </c>
      <c r="D22" s="314">
        <f t="shared" ref="D22:M22" si="4">D8+D11+D14</f>
        <v>77.007000000000005</v>
      </c>
      <c r="E22" s="314">
        <f t="shared" si="4"/>
        <v>77.427999999999997</v>
      </c>
      <c r="F22" s="314">
        <f t="shared" si="4"/>
        <v>77.132999999999996</v>
      </c>
      <c r="G22" s="314">
        <f t="shared" si="4"/>
        <v>70.878</v>
      </c>
      <c r="H22" s="314">
        <f t="shared" si="4"/>
        <v>79.174000000000007</v>
      </c>
      <c r="I22" s="314">
        <f t="shared" si="4"/>
        <v>84.292000000000002</v>
      </c>
      <c r="J22" s="314">
        <f t="shared" si="4"/>
        <v>80.31</v>
      </c>
      <c r="K22" s="314">
        <f t="shared" si="4"/>
        <v>81.057999999999993</v>
      </c>
      <c r="L22" s="314">
        <f t="shared" si="4"/>
        <v>77.13</v>
      </c>
      <c r="M22" s="314">
        <f t="shared" si="4"/>
        <v>79.850999999999999</v>
      </c>
      <c r="N22" s="138"/>
      <c r="O22" s="108">
        <f>SUM(B22:M22)</f>
        <v>936.11500000000001</v>
      </c>
      <c r="P22" s="108">
        <f>O22/12</f>
        <v>78.009583333333339</v>
      </c>
      <c r="Q22" s="108">
        <f>P22/30</f>
        <v>2.6003194444444446</v>
      </c>
      <c r="R22" s="108">
        <f>Q22/24</f>
        <v>0.10834664351851853</v>
      </c>
    </row>
    <row r="23" spans="1:28" s="115" customFormat="1" ht="19.5" thickBot="1" x14ac:dyDescent="0.35">
      <c r="A23" s="139" t="s">
        <v>12</v>
      </c>
      <c r="B23" s="140">
        <f>B16+B13+B10+B17+B18+B19+B20+B7</f>
        <v>83005.767999999996</v>
      </c>
      <c r="C23" s="141">
        <f t="shared" ref="C23:M23" si="5">C16+C13+C10+C17+C18+C19+C20+C7</f>
        <v>95353.788</v>
      </c>
      <c r="D23" s="140">
        <f t="shared" si="5"/>
        <v>86426.132000000012</v>
      </c>
      <c r="E23" s="142">
        <f t="shared" si="5"/>
        <v>88955.046000000002</v>
      </c>
      <c r="F23" s="142">
        <f t="shared" si="5"/>
        <v>90630.062999999995</v>
      </c>
      <c r="G23" s="142">
        <f t="shared" si="5"/>
        <v>124684.33600000001</v>
      </c>
      <c r="H23" s="142">
        <f t="shared" si="5"/>
        <v>140437.05100000001</v>
      </c>
      <c r="I23" s="142">
        <f t="shared" si="5"/>
        <v>150660.85200000001</v>
      </c>
      <c r="J23" s="142">
        <f t="shared" si="5"/>
        <v>96877.356000000014</v>
      </c>
      <c r="K23" s="142">
        <f t="shared" si="5"/>
        <v>97924.326000000001</v>
      </c>
      <c r="L23" s="142">
        <f>L16+L13+L10+L17+L18+L19+L20+L7</f>
        <v>91119.892000000007</v>
      </c>
      <c r="M23" s="142">
        <f t="shared" si="5"/>
        <v>94024.679000000004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Complete!D15</f>
        <v>8031</v>
      </c>
      <c r="C29" s="150">
        <f>B29</f>
        <v>8031</v>
      </c>
      <c r="D29" s="151">
        <f>C29</f>
        <v>8031</v>
      </c>
      <c r="E29" s="151">
        <f>D29</f>
        <v>8031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2266.0699999999997</v>
      </c>
      <c r="C31" s="154">
        <f>P5</f>
        <v>188.83916666666664</v>
      </c>
      <c r="D31" s="154">
        <f>Q5</f>
        <v>6.2946388888888878</v>
      </c>
      <c r="E31" s="154">
        <f>R5</f>
        <v>0.26227662037037031</v>
      </c>
      <c r="F31" s="154"/>
      <c r="AB31" s="155">
        <f>SUM(B22:M22)</f>
        <v>936.11500000000001</v>
      </c>
    </row>
    <row r="32" spans="1:28" x14ac:dyDescent="0.3">
      <c r="A32" s="116" t="s">
        <v>5</v>
      </c>
      <c r="B32" s="124">
        <f>O8</f>
        <v>417.02399999999994</v>
      </c>
      <c r="C32" s="207">
        <f>P8</f>
        <v>34.751999999999995</v>
      </c>
      <c r="D32" s="207">
        <f>Q8</f>
        <v>1.1583999999999999</v>
      </c>
      <c r="E32" s="207">
        <f>R8</f>
        <v>4.8266666666666659E-2</v>
      </c>
      <c r="F32" s="156"/>
      <c r="AB32" s="143">
        <f>AB31/12</f>
        <v>78.009583333333339</v>
      </c>
    </row>
    <row r="33" spans="1:28" x14ac:dyDescent="0.3">
      <c r="A33" s="103" t="s">
        <v>48</v>
      </c>
      <c r="B33" s="104">
        <f>O11</f>
        <v>142.83799999999999</v>
      </c>
      <c r="C33" s="206">
        <f>P11</f>
        <v>11.903166666666666</v>
      </c>
      <c r="D33" s="206">
        <f>Q11</f>
        <v>0.39677222222222219</v>
      </c>
      <c r="E33" s="206">
        <f>R11</f>
        <v>1.6532175925925926E-2</v>
      </c>
      <c r="F33" s="157"/>
      <c r="AB33" s="88">
        <f>AB32/30</f>
        <v>2.6003194444444446</v>
      </c>
    </row>
    <row r="34" spans="1:28" ht="19.5" thickBot="1" x14ac:dyDescent="0.35">
      <c r="A34" s="131" t="s">
        <v>9</v>
      </c>
      <c r="B34" s="319">
        <f>O14</f>
        <v>376.25299999999993</v>
      </c>
      <c r="C34" s="315">
        <f>P14</f>
        <v>31.354416666666662</v>
      </c>
      <c r="D34" s="315">
        <f>Q14</f>
        <v>1.045147222222222</v>
      </c>
      <c r="E34" s="315">
        <f>R14</f>
        <v>4.3547800925925917E-2</v>
      </c>
      <c r="F34" s="158"/>
      <c r="AB34" s="88">
        <f>AB33/24</f>
        <v>0.10834664351851853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936.1149999999999</v>
      </c>
      <c r="C36" s="314">
        <f>SUM(C32:C34)</f>
        <v>78.009583333333325</v>
      </c>
      <c r="D36" s="314">
        <f>SUM(D32:D34)</f>
        <v>2.6003194444444442</v>
      </c>
      <c r="E36" s="314">
        <f>SUM(E32:E34)</f>
        <v>0.1083466435185185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116.56269455858546</v>
      </c>
      <c r="C38" s="160">
        <f>C36/C29*1000</f>
        <v>9.7135578798821225</v>
      </c>
      <c r="D38" s="160">
        <f>D36/D29*1000</f>
        <v>0.32378526266273744</v>
      </c>
      <c r="E38" s="160">
        <f>E36/E29*1000</f>
        <v>1.3491052610947392E-2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157.30016402405687</v>
      </c>
      <c r="C76" s="168">
        <f t="shared" si="6"/>
        <v>211</v>
      </c>
      <c r="D76" s="168">
        <f t="shared" si="6"/>
        <v>230.50027337342814</v>
      </c>
      <c r="E76" s="168">
        <f t="shared" si="6"/>
        <v>204</v>
      </c>
      <c r="F76" s="168">
        <f t="shared" si="6"/>
        <v>131</v>
      </c>
      <c r="G76" s="168">
        <f t="shared" si="6"/>
        <v>136.59978130125751</v>
      </c>
      <c r="H76" s="168">
        <f t="shared" ref="H76:M76" si="7">H17/20.16</f>
        <v>226.10019841269843</v>
      </c>
      <c r="I76" s="168">
        <f t="shared" si="7"/>
        <v>319.89980158730162</v>
      </c>
      <c r="J76" s="168">
        <f t="shared" si="7"/>
        <v>230.5</v>
      </c>
      <c r="K76" s="168">
        <f t="shared" si="7"/>
        <v>207.69990079365078</v>
      </c>
      <c r="L76" s="168">
        <f t="shared" si="7"/>
        <v>132.8998015873016</v>
      </c>
      <c r="M76" s="169">
        <f t="shared" si="7"/>
        <v>200.69990079365081</v>
      </c>
      <c r="N76" s="170">
        <f>SUM(B76:M76)</f>
        <v>2388.1998218733456</v>
      </c>
      <c r="O76" s="195">
        <f>SUM(C76:N76)</f>
        <v>4619.0994797226349</v>
      </c>
      <c r="P76" s="196">
        <f>O76</f>
        <v>4619.0994797226349</v>
      </c>
      <c r="Q76" s="197">
        <f>P76/12</f>
        <v>384.92495664355289</v>
      </c>
      <c r="R76" s="197">
        <f>Q76/30</f>
        <v>12.83083188811843</v>
      </c>
      <c r="S76" s="198">
        <f>R76/24</f>
        <v>0.53461799533826793</v>
      </c>
    </row>
  </sheetData>
  <mergeCells count="1">
    <mergeCell ref="A39:L53"/>
  </mergeCells>
  <pageMargins left="1" right="1" top="1" bottom="1" header="0.5" footer="0.5"/>
  <pageSetup paperSize="9" scale="40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16" zoomScale="71" zoomScaleNormal="71" workbookViewId="0">
      <selection activeCell="B32" sqref="B32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6" t="str">
        <f>Complete!B16</f>
        <v>Mazda Southern Africa (Pty) Ltd</v>
      </c>
      <c r="B1" s="77"/>
      <c r="C1" s="85" t="str">
        <f>Complete!A16</f>
        <v>4 Travertine</v>
      </c>
    </row>
    <row r="2" spans="1:24" ht="19.5" thickBot="1" x14ac:dyDescent="0.35"/>
    <row r="3" spans="1:24" ht="19.5" thickBot="1" x14ac:dyDescent="0.35">
      <c r="A3" s="137" t="s">
        <v>3</v>
      </c>
      <c r="B3" s="176" t="s">
        <v>59</v>
      </c>
      <c r="C3" s="177" t="s">
        <v>60</v>
      </c>
      <c r="D3" s="176" t="s">
        <v>61</v>
      </c>
      <c r="E3" s="214" t="s">
        <v>62</v>
      </c>
      <c r="F3" s="214" t="s">
        <v>63</v>
      </c>
      <c r="G3" s="214" t="s">
        <v>64</v>
      </c>
      <c r="H3" s="214" t="s">
        <v>65</v>
      </c>
      <c r="I3" s="214" t="s">
        <v>66</v>
      </c>
      <c r="J3" s="214" t="s">
        <v>67</v>
      </c>
      <c r="K3" s="214" t="s">
        <v>68</v>
      </c>
      <c r="L3" s="214" t="s">
        <v>57</v>
      </c>
      <c r="M3" s="21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95.37</v>
      </c>
      <c r="C5" s="105">
        <v>93.7</v>
      </c>
      <c r="D5" s="106">
        <v>94.14</v>
      </c>
      <c r="E5" s="107">
        <v>95.2</v>
      </c>
      <c r="F5" s="107">
        <v>81.540000000000006</v>
      </c>
      <c r="G5" s="107">
        <v>81.900000000000006</v>
      </c>
      <c r="H5" s="107">
        <v>80.849999999999994</v>
      </c>
      <c r="I5" s="107">
        <v>80.67</v>
      </c>
      <c r="J5" s="107">
        <v>87.48</v>
      </c>
      <c r="K5" s="107">
        <v>83.54</v>
      </c>
      <c r="L5" s="107">
        <v>86.8</v>
      </c>
      <c r="M5" s="107">
        <v>98.27</v>
      </c>
      <c r="N5" s="100"/>
      <c r="O5" s="108">
        <f>SUM(B5:M5)</f>
        <v>1059.46</v>
      </c>
      <c r="P5" s="108">
        <f>O5/12</f>
        <v>88.288333333333341</v>
      </c>
      <c r="Q5" s="108">
        <f>P5/30</f>
        <v>2.9429444444444446</v>
      </c>
      <c r="R5" s="108">
        <f>Q5/24</f>
        <v>0.1226226851851852</v>
      </c>
      <c r="S5" s="89">
        <v>0</v>
      </c>
      <c r="T5" s="89">
        <v>0</v>
      </c>
      <c r="U5" s="89">
        <v>0</v>
      </c>
      <c r="V5" s="89">
        <v>0</v>
      </c>
      <c r="X5" s="108">
        <f>O5</f>
        <v>1059.46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14925.405000000001</v>
      </c>
      <c r="C7" s="111">
        <f t="shared" ref="C7:M7" si="0">C6*C5</f>
        <v>14673.42</v>
      </c>
      <c r="D7" s="112">
        <f t="shared" si="0"/>
        <v>14742.323999999999</v>
      </c>
      <c r="E7" s="113">
        <f t="shared" si="0"/>
        <v>14908.32</v>
      </c>
      <c r="F7" s="113">
        <f t="shared" si="0"/>
        <v>12769.164000000001</v>
      </c>
      <c r="G7" s="113">
        <f t="shared" si="0"/>
        <v>12825.54</v>
      </c>
      <c r="H7" s="113">
        <f t="shared" si="0"/>
        <v>12895.574999999999</v>
      </c>
      <c r="I7" s="113">
        <f t="shared" si="0"/>
        <v>12866.865</v>
      </c>
      <c r="J7" s="113">
        <f t="shared" si="0"/>
        <v>13953.060000000001</v>
      </c>
      <c r="K7" s="113">
        <f t="shared" si="0"/>
        <v>13324.630000000001</v>
      </c>
      <c r="L7" s="113">
        <f t="shared" si="0"/>
        <v>13844.6</v>
      </c>
      <c r="M7" s="113">
        <f t="shared" si="0"/>
        <v>15674.064999999999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13.722</v>
      </c>
      <c r="C8" s="238">
        <v>14.14</v>
      </c>
      <c r="D8" s="124">
        <v>16.492000000000001</v>
      </c>
      <c r="E8" s="207">
        <v>11.097</v>
      </c>
      <c r="F8" s="207">
        <v>12.741</v>
      </c>
      <c r="G8" s="207">
        <v>12.474</v>
      </c>
      <c r="H8" s="207">
        <v>12.189</v>
      </c>
      <c r="I8" s="207">
        <v>13.111000000000001</v>
      </c>
      <c r="J8" s="207">
        <v>13.132</v>
      </c>
      <c r="K8" s="207">
        <v>13.247999999999999</v>
      </c>
      <c r="L8" s="207">
        <v>14.134</v>
      </c>
      <c r="M8" s="207">
        <v>11.125</v>
      </c>
      <c r="N8" s="100"/>
      <c r="O8" s="108">
        <f>SUM(B8:M8)</f>
        <v>157.60500000000002</v>
      </c>
      <c r="P8" s="108">
        <f>O8/12</f>
        <v>13.133750000000001</v>
      </c>
      <c r="Q8" s="108">
        <f>P8/30</f>
        <v>0.43779166666666669</v>
      </c>
      <c r="R8" s="108">
        <f>Q8/24</f>
        <v>1.8241319444444445E-2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10181.723999999998</v>
      </c>
      <c r="C10" s="322">
        <f t="shared" ref="C10:M10" si="1">SUM(C8*C9)*1000</f>
        <v>10491.88</v>
      </c>
      <c r="D10" s="322">
        <f t="shared" si="1"/>
        <v>12237.064</v>
      </c>
      <c r="E10" s="322">
        <f t="shared" si="1"/>
        <v>8233.9740000000002</v>
      </c>
      <c r="F10" s="322">
        <f t="shared" si="1"/>
        <v>9453.8219999999983</v>
      </c>
      <c r="G10" s="322">
        <f t="shared" si="1"/>
        <v>14288.966999999999</v>
      </c>
      <c r="H10" s="322">
        <f t="shared" si="1"/>
        <v>14224.563</v>
      </c>
      <c r="I10" s="322">
        <f t="shared" si="1"/>
        <v>15300.537000000002</v>
      </c>
      <c r="J10" s="322">
        <f t="shared" si="1"/>
        <v>9927.7919999999995</v>
      </c>
      <c r="K10" s="322">
        <f t="shared" si="1"/>
        <v>10015.487999999999</v>
      </c>
      <c r="L10" s="322">
        <f t="shared" si="1"/>
        <v>10685.304</v>
      </c>
      <c r="M10" s="322">
        <f t="shared" si="1"/>
        <v>8410.5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5.16</v>
      </c>
      <c r="D11" s="124">
        <v>3.91</v>
      </c>
      <c r="E11" s="207">
        <v>3.8690000000000002</v>
      </c>
      <c r="F11" s="207">
        <v>4.6890000000000001</v>
      </c>
      <c r="G11" s="207">
        <v>4.7889999999999997</v>
      </c>
      <c r="H11" s="207">
        <v>4.9189999999999996</v>
      </c>
      <c r="I11" s="207">
        <v>5.2789999999999999</v>
      </c>
      <c r="J11" s="207">
        <v>4.8360000000000003</v>
      </c>
      <c r="K11" s="207">
        <v>5.0330000000000004</v>
      </c>
      <c r="L11" s="207">
        <v>4.992</v>
      </c>
      <c r="M11" s="207">
        <v>4.1829999999999998</v>
      </c>
      <c r="N11" s="100"/>
      <c r="O11" s="108">
        <f>SUM(B11:M11)</f>
        <v>55.489999999999995</v>
      </c>
      <c r="P11" s="108">
        <f>O11/12</f>
        <v>4.6241666666666665</v>
      </c>
      <c r="Q11" s="108">
        <f>P11/30</f>
        <v>0.15413888888888888</v>
      </c>
      <c r="R11" s="108">
        <f>Q11/24</f>
        <v>6.4224537037037037E-3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6197.16</v>
      </c>
      <c r="D13" s="110">
        <f t="shared" si="2"/>
        <v>4695.9100000000008</v>
      </c>
      <c r="E13" s="110">
        <f t="shared" si="2"/>
        <v>4646.6689999999999</v>
      </c>
      <c r="F13" s="110">
        <f t="shared" si="2"/>
        <v>5631.4890000000005</v>
      </c>
      <c r="G13" s="110">
        <f t="shared" si="2"/>
        <v>15018.303999999998</v>
      </c>
      <c r="H13" s="110">
        <f t="shared" si="2"/>
        <v>15716.204999999998</v>
      </c>
      <c r="I13" s="110">
        <f t="shared" si="2"/>
        <v>16866.404999999999</v>
      </c>
      <c r="J13" s="110">
        <f t="shared" si="2"/>
        <v>5919.2640000000001</v>
      </c>
      <c r="K13" s="110">
        <f t="shared" si="2"/>
        <v>6160.3920000000007</v>
      </c>
      <c r="L13" s="110">
        <f t="shared" si="2"/>
        <v>6110.2080000000005</v>
      </c>
      <c r="M13" s="110">
        <f t="shared" si="2"/>
        <v>5119.9920000000002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3.1960000000000002</v>
      </c>
      <c r="C14" s="118">
        <v>2.9119999999999999</v>
      </c>
      <c r="D14" s="119">
        <v>4.3090000000000002</v>
      </c>
      <c r="E14" s="120">
        <v>3.2509999999999999</v>
      </c>
      <c r="F14" s="120">
        <v>2.6160000000000001</v>
      </c>
      <c r="G14" s="120">
        <v>2.714</v>
      </c>
      <c r="H14" s="120">
        <v>3.1259999999999999</v>
      </c>
      <c r="I14" s="120">
        <v>2.9729999999999999</v>
      </c>
      <c r="J14" s="120">
        <v>3.6379999999999999</v>
      </c>
      <c r="K14" s="120">
        <v>2.9239999999999999</v>
      </c>
      <c r="L14" s="120">
        <v>3.0939999999999999</v>
      </c>
      <c r="M14" s="120">
        <v>3.5209999999999999</v>
      </c>
      <c r="N14" s="100"/>
      <c r="O14" s="108">
        <f>SUM(B14:M14)</f>
        <v>38.274000000000001</v>
      </c>
      <c r="P14" s="108">
        <f>O14/12</f>
        <v>3.1895000000000002</v>
      </c>
      <c r="Q14" s="108">
        <f>P14/30</f>
        <v>0.10631666666666667</v>
      </c>
      <c r="R14" s="108">
        <f>Q14/24</f>
        <v>4.429861111111111E-3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1677.9</v>
      </c>
      <c r="C16" s="110">
        <f t="shared" ref="C16:M16" si="3">SUM(C14*C15)*1000</f>
        <v>1528.8</v>
      </c>
      <c r="D16" s="110">
        <f t="shared" si="3"/>
        <v>2262.2250000000004</v>
      </c>
      <c r="E16" s="110">
        <f t="shared" si="3"/>
        <v>1706.7749999999999</v>
      </c>
      <c r="F16" s="110">
        <f t="shared" si="3"/>
        <v>1373.4</v>
      </c>
      <c r="G16" s="110">
        <f t="shared" si="3"/>
        <v>1655.54</v>
      </c>
      <c r="H16" s="110">
        <f t="shared" si="3"/>
        <v>1944.3720000000001</v>
      </c>
      <c r="I16" s="110">
        <f t="shared" si="3"/>
        <v>1849.2059999999999</v>
      </c>
      <c r="J16" s="110">
        <f t="shared" si="3"/>
        <v>1946.3300000000002</v>
      </c>
      <c r="K16" s="110">
        <f t="shared" si="3"/>
        <v>1564.3400000000001</v>
      </c>
      <c r="L16" s="110">
        <f t="shared" si="3"/>
        <v>1655.29</v>
      </c>
      <c r="M16" s="110">
        <f t="shared" si="3"/>
        <v>1883.7350000000001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125">
        <v>1188.25</v>
      </c>
      <c r="C17" s="126">
        <v>1198</v>
      </c>
      <c r="D17" s="125">
        <v>1382.72</v>
      </c>
      <c r="E17" s="127">
        <v>1137.6400000000001</v>
      </c>
      <c r="F17" s="127">
        <v>164.61</v>
      </c>
      <c r="G17" s="127">
        <v>27.44</v>
      </c>
      <c r="H17" s="127">
        <v>2755.87</v>
      </c>
      <c r="I17" s="127">
        <v>2241.79</v>
      </c>
      <c r="J17" s="127">
        <v>2540.16</v>
      </c>
      <c r="K17" s="127">
        <v>2284.14</v>
      </c>
      <c r="L17" s="127">
        <v>2665.15</v>
      </c>
      <c r="M17" s="127">
        <v>4874.6899999999996</v>
      </c>
      <c r="N17" s="100"/>
      <c r="O17" s="108">
        <f>SUM(B17:M17)</f>
        <v>22460.46</v>
      </c>
      <c r="P17" s="108">
        <f>O17/12</f>
        <v>1871.7049999999999</v>
      </c>
      <c r="Q17" s="108">
        <f>P17/30</f>
        <v>62.390166666666666</v>
      </c>
      <c r="R17" s="108">
        <f>Q17/24</f>
        <v>2.5995902777777777</v>
      </c>
    </row>
    <row r="18" spans="1:28" x14ac:dyDescent="0.3">
      <c r="A18" s="103" t="s">
        <v>1</v>
      </c>
      <c r="B18" s="128">
        <v>354.25</v>
      </c>
      <c r="C18" s="126">
        <v>356.98</v>
      </c>
      <c r="D18" s="128">
        <v>412.02</v>
      </c>
      <c r="E18" s="129">
        <v>338.99</v>
      </c>
      <c r="F18" s="129">
        <v>49.05</v>
      </c>
      <c r="G18" s="129">
        <v>8.18</v>
      </c>
      <c r="H18" s="129">
        <v>821.57</v>
      </c>
      <c r="I18" s="129">
        <v>668.31</v>
      </c>
      <c r="J18" s="129">
        <v>757.26</v>
      </c>
      <c r="K18" s="129">
        <v>681.53</v>
      </c>
      <c r="L18" s="129">
        <v>794.52</v>
      </c>
      <c r="M18" s="129">
        <v>1453.22</v>
      </c>
      <c r="N18" s="100"/>
      <c r="O18" s="108">
        <f>SUM(B18:M18)</f>
        <v>6695.88</v>
      </c>
      <c r="P18" s="108">
        <f>O18/12</f>
        <v>557.99</v>
      </c>
      <c r="Q18" s="108">
        <f>P18/30</f>
        <v>18.599666666666668</v>
      </c>
      <c r="R18" s="108">
        <f>Q18/24</f>
        <v>0.77498611111111115</v>
      </c>
    </row>
    <row r="19" spans="1:28" x14ac:dyDescent="0.3">
      <c r="A19" s="103" t="s">
        <v>0</v>
      </c>
      <c r="B19" s="128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132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20.749000000000002</v>
      </c>
      <c r="C22" s="314">
        <f>C8+C11+C14</f>
        <v>22.212</v>
      </c>
      <c r="D22" s="314">
        <f t="shared" ref="D22:M22" si="4">D8+D11+D14</f>
        <v>24.711000000000002</v>
      </c>
      <c r="E22" s="314">
        <f t="shared" si="4"/>
        <v>18.216999999999999</v>
      </c>
      <c r="F22" s="314">
        <f t="shared" si="4"/>
        <v>20.045999999999999</v>
      </c>
      <c r="G22" s="314">
        <f t="shared" si="4"/>
        <v>19.976999999999997</v>
      </c>
      <c r="H22" s="314">
        <f t="shared" si="4"/>
        <v>20.234000000000002</v>
      </c>
      <c r="I22" s="314">
        <f t="shared" si="4"/>
        <v>21.363</v>
      </c>
      <c r="J22" s="314">
        <f t="shared" si="4"/>
        <v>21.606000000000002</v>
      </c>
      <c r="K22" s="314">
        <f t="shared" si="4"/>
        <v>21.204999999999998</v>
      </c>
      <c r="L22" s="314">
        <f t="shared" si="4"/>
        <v>22.220000000000002</v>
      </c>
      <c r="M22" s="314">
        <f t="shared" si="4"/>
        <v>18.829000000000001</v>
      </c>
      <c r="N22" s="138"/>
      <c r="O22" s="108">
        <f>SUM(B22:M22)</f>
        <v>251.369</v>
      </c>
      <c r="P22" s="108">
        <f>O22/12</f>
        <v>20.947416666666665</v>
      </c>
      <c r="Q22" s="108">
        <f>P22/30</f>
        <v>0.69824722222222213</v>
      </c>
      <c r="R22" s="108">
        <f>Q22/24</f>
        <v>2.9093634259259257E-2</v>
      </c>
    </row>
    <row r="23" spans="1:28" s="115" customFormat="1" ht="19.5" thickBot="1" x14ac:dyDescent="0.35">
      <c r="A23" s="139" t="s">
        <v>12</v>
      </c>
      <c r="B23" s="140">
        <f>B16+B13+B10+B17+B18+B19+B20+B7</f>
        <v>33284.85</v>
      </c>
      <c r="C23" s="141">
        <f t="shared" ref="C23:M23" si="5">C16+C13+C10+C17+C18+C19+C20+C7</f>
        <v>34802.53</v>
      </c>
      <c r="D23" s="140">
        <f t="shared" si="5"/>
        <v>36088.553</v>
      </c>
      <c r="E23" s="142">
        <f t="shared" si="5"/>
        <v>31328.657999999999</v>
      </c>
      <c r="F23" s="142">
        <f t="shared" si="5"/>
        <v>29797.825000000001</v>
      </c>
      <c r="G23" s="142">
        <f t="shared" si="5"/>
        <v>44180.260999999999</v>
      </c>
      <c r="H23" s="142">
        <f t="shared" si="5"/>
        <v>48729.114999999998</v>
      </c>
      <c r="I23" s="142">
        <f t="shared" si="5"/>
        <v>50164.072999999997</v>
      </c>
      <c r="J23" s="142">
        <f t="shared" si="5"/>
        <v>35414.826000000001</v>
      </c>
      <c r="K23" s="142">
        <f t="shared" si="5"/>
        <v>34401.480000000003</v>
      </c>
      <c r="L23" s="142">
        <f>L16+L13+L10+L17+L18+L19+L20+L7</f>
        <v>36126.032000000007</v>
      </c>
      <c r="M23" s="142">
        <f t="shared" si="5"/>
        <v>37787.162000000004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Complete!D16</f>
        <v>10593</v>
      </c>
      <c r="C29" s="150">
        <f>B29</f>
        <v>10593</v>
      </c>
      <c r="D29" s="151">
        <f>C29</f>
        <v>10593</v>
      </c>
      <c r="E29" s="151">
        <f>D29</f>
        <v>10593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215" t="s">
        <v>72</v>
      </c>
      <c r="B31" s="153">
        <f>O5</f>
        <v>1059.46</v>
      </c>
      <c r="C31" s="154">
        <f>P5</f>
        <v>88.288333333333341</v>
      </c>
      <c r="D31" s="154">
        <f>Q5</f>
        <v>2.9429444444444446</v>
      </c>
      <c r="E31" s="154">
        <f>R5</f>
        <v>0.1226226851851852</v>
      </c>
      <c r="F31" s="154"/>
      <c r="AB31" s="155">
        <f>SUM(B22:M22)</f>
        <v>251.369</v>
      </c>
    </row>
    <row r="32" spans="1:28" x14ac:dyDescent="0.3">
      <c r="A32" s="116" t="s">
        <v>5</v>
      </c>
      <c r="B32" s="117">
        <f>O8</f>
        <v>157.60500000000002</v>
      </c>
      <c r="C32" s="207">
        <f>P8</f>
        <v>13.133750000000001</v>
      </c>
      <c r="D32" s="207">
        <f>Q8</f>
        <v>0.43779166666666669</v>
      </c>
      <c r="E32" s="207">
        <f>R8</f>
        <v>1.8241319444444445E-2</v>
      </c>
      <c r="F32" s="156"/>
      <c r="AB32" s="143">
        <f>AB31/12</f>
        <v>20.947416666666665</v>
      </c>
    </row>
    <row r="33" spans="1:28" x14ac:dyDescent="0.3">
      <c r="A33" s="103" t="s">
        <v>48</v>
      </c>
      <c r="B33" s="104">
        <f>O11</f>
        <v>55.489999999999995</v>
      </c>
      <c r="C33" s="206">
        <f>P11</f>
        <v>4.6241666666666665</v>
      </c>
      <c r="D33" s="206">
        <f>Q11</f>
        <v>0.15413888888888888</v>
      </c>
      <c r="E33" s="206">
        <f>R11</f>
        <v>6.4224537037037037E-3</v>
      </c>
      <c r="F33" s="157"/>
      <c r="AB33" s="88">
        <f>AB32/30</f>
        <v>0.69824722222222213</v>
      </c>
    </row>
    <row r="34" spans="1:28" ht="19.5" thickBot="1" x14ac:dyDescent="0.35">
      <c r="A34" s="131" t="s">
        <v>9</v>
      </c>
      <c r="B34" s="319">
        <f>O14</f>
        <v>38.274000000000001</v>
      </c>
      <c r="C34" s="315">
        <f>P14</f>
        <v>3.1895000000000002</v>
      </c>
      <c r="D34" s="315">
        <f>Q14</f>
        <v>0.10631666666666667</v>
      </c>
      <c r="E34" s="315">
        <f>R14</f>
        <v>4.429861111111111E-3</v>
      </c>
      <c r="F34" s="158"/>
      <c r="AB34" s="88">
        <f>AB33/24</f>
        <v>2.9093634259259257E-2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6" t="s">
        <v>73</v>
      </c>
      <c r="B36" s="314">
        <f>SUM(B32:B34)</f>
        <v>251.36900000000003</v>
      </c>
      <c r="C36" s="314">
        <f>SUM(C32:C34)</f>
        <v>20.947416666666665</v>
      </c>
      <c r="D36" s="314">
        <f>SUM(D32:D34)</f>
        <v>0.69824722222222224</v>
      </c>
      <c r="E36" s="314">
        <f>SUM(E32:E34)</f>
        <v>2.909363425925926E-2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216">
        <f>B36/B29*1000</f>
        <v>23.729727178325312</v>
      </c>
      <c r="C38" s="216">
        <f>C36/C29*1000</f>
        <v>1.9774772648604422</v>
      </c>
      <c r="D38" s="216">
        <f>D36/D29*1000</f>
        <v>6.591590882868141E-2</v>
      </c>
      <c r="E38" s="216">
        <f>E36/E29*1000</f>
        <v>2.7464962011950591E-3</v>
      </c>
      <c r="F38" s="217" t="s">
        <v>11</v>
      </c>
      <c r="G38" s="155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64.96719518862767</v>
      </c>
      <c r="C76" s="168">
        <f t="shared" si="6"/>
        <v>65.500273373428101</v>
      </c>
      <c r="D76" s="168">
        <f t="shared" si="6"/>
        <v>75.599781301257522</v>
      </c>
      <c r="E76" s="168">
        <f t="shared" si="6"/>
        <v>62.200109349371246</v>
      </c>
      <c r="F76" s="168">
        <f t="shared" si="6"/>
        <v>9.0000000000000018</v>
      </c>
      <c r="G76" s="168">
        <f t="shared" si="6"/>
        <v>1.5002733734281029</v>
      </c>
      <c r="H76" s="168">
        <f t="shared" ref="H76:M76" si="7">H17/20.16</f>
        <v>136.69990079365078</v>
      </c>
      <c r="I76" s="168">
        <f t="shared" si="7"/>
        <v>111.1999007936508</v>
      </c>
      <c r="J76" s="168">
        <f t="shared" si="7"/>
        <v>125.99999999999999</v>
      </c>
      <c r="K76" s="168">
        <f t="shared" si="7"/>
        <v>113.30059523809523</v>
      </c>
      <c r="L76" s="168">
        <f t="shared" si="7"/>
        <v>132.19990079365078</v>
      </c>
      <c r="M76" s="169">
        <f t="shared" si="7"/>
        <v>241.80009920634919</v>
      </c>
      <c r="N76" s="170">
        <f>SUM(B76:M76)</f>
        <v>1139.9680294115094</v>
      </c>
      <c r="O76" s="195">
        <f>SUM(C76:N76)</f>
        <v>2214.9688636343908</v>
      </c>
      <c r="P76" s="196">
        <f>O76</f>
        <v>2214.9688636343908</v>
      </c>
      <c r="Q76" s="197">
        <f>P76/12</f>
        <v>184.58073863619924</v>
      </c>
      <c r="R76" s="197">
        <f>Q76/30</f>
        <v>6.1526912878733082</v>
      </c>
      <c r="S76" s="198">
        <f>R76/24</f>
        <v>0.25636213699472116</v>
      </c>
    </row>
  </sheetData>
  <mergeCells count="1">
    <mergeCell ref="A39:L53"/>
  </mergeCells>
  <pageMargins left="1" right="1" top="1" bottom="1" header="0.5" footer="0.5"/>
  <pageSetup paperSize="9" scale="40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opLeftCell="A16" zoomScale="62" zoomScaleNormal="62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16.7109375" style="90" customWidth="1"/>
    <col min="3" max="4" width="16" style="88" customWidth="1"/>
    <col min="5" max="5" width="16.5703125" style="88" bestFit="1" customWidth="1"/>
    <col min="6" max="6" width="16.7109375" style="88" hidden="1" customWidth="1"/>
    <col min="7" max="7" width="12.28515625" style="89" hidden="1" customWidth="1"/>
    <col min="8" max="8" width="14.7109375" style="89" hidden="1" customWidth="1"/>
    <col min="9" max="9" width="12.42578125" style="89" hidden="1" customWidth="1"/>
    <col min="10" max="10" width="14" style="89" hidden="1" customWidth="1"/>
    <col min="11" max="14" width="9.42578125" style="89" hidden="1" customWidth="1"/>
    <col min="15" max="15" width="9.140625" style="89" hidden="1" customWidth="1"/>
    <col min="16" max="16" width="9.42578125" style="89" hidden="1" customWidth="1"/>
    <col min="17" max="19" width="0" style="89" hidden="1" customWidth="1"/>
    <col min="20" max="16384" width="9.140625" style="89"/>
  </cols>
  <sheetData>
    <row r="1" spans="1:16" ht="19.5" thickBot="1" x14ac:dyDescent="0.35">
      <c r="A1" s="76" t="str">
        <f>Complete!B17</f>
        <v>Elliot Mobility (Pty) Ltd</v>
      </c>
      <c r="B1" s="174"/>
      <c r="C1" s="175" t="str">
        <f>Complete!A17</f>
        <v>5 Travertine</v>
      </c>
    </row>
    <row r="2" spans="1:16" ht="19.5" thickBot="1" x14ac:dyDescent="0.35"/>
    <row r="3" spans="1:16" ht="19.5" thickBot="1" x14ac:dyDescent="0.35">
      <c r="A3" s="137" t="s">
        <v>3</v>
      </c>
      <c r="B3" s="178" t="s">
        <v>59</v>
      </c>
      <c r="C3" s="177" t="s">
        <v>60</v>
      </c>
      <c r="D3" s="176" t="s">
        <v>61</v>
      </c>
      <c r="E3" s="178" t="s">
        <v>62</v>
      </c>
      <c r="F3" s="95" t="s">
        <v>71</v>
      </c>
      <c r="G3" s="96" t="s">
        <v>52</v>
      </c>
      <c r="H3" s="96" t="s">
        <v>49</v>
      </c>
      <c r="I3" s="96" t="s">
        <v>50</v>
      </c>
      <c r="J3" s="96" t="s">
        <v>51</v>
      </c>
      <c r="K3" s="97" t="s">
        <v>74</v>
      </c>
    </row>
    <row r="4" spans="1:16" x14ac:dyDescent="0.3">
      <c r="A4" s="98" t="s">
        <v>11</v>
      </c>
      <c r="B4" s="205" t="s">
        <v>11</v>
      </c>
      <c r="C4" s="100"/>
      <c r="D4" s="101"/>
      <c r="E4" s="102"/>
    </row>
    <row r="5" spans="1:16" x14ac:dyDescent="0.3">
      <c r="A5" s="103" t="s">
        <v>69</v>
      </c>
      <c r="B5" s="206">
        <v>34.619999999999997</v>
      </c>
      <c r="C5" s="105">
        <v>29</v>
      </c>
      <c r="D5" s="106">
        <v>42.6</v>
      </c>
      <c r="E5" s="107">
        <v>44.17</v>
      </c>
      <c r="F5" s="100"/>
      <c r="G5" s="108">
        <f>SUM(B5:E5)</f>
        <v>150.38999999999999</v>
      </c>
      <c r="H5" s="108">
        <f>G5/12</f>
        <v>12.532499999999999</v>
      </c>
      <c r="I5" s="108">
        <f>H5/30</f>
        <v>0.41774999999999995</v>
      </c>
      <c r="J5" s="108">
        <f>I5/24</f>
        <v>1.7406249999999998E-2</v>
      </c>
      <c r="K5" s="89">
        <v>0</v>
      </c>
      <c r="L5" s="89">
        <v>0</v>
      </c>
      <c r="M5" s="89">
        <v>0</v>
      </c>
      <c r="N5" s="89">
        <v>0</v>
      </c>
      <c r="P5" s="108">
        <f>G5</f>
        <v>150.38999999999999</v>
      </c>
    </row>
    <row r="6" spans="1:16" x14ac:dyDescent="0.3">
      <c r="A6" s="103" t="s">
        <v>4</v>
      </c>
      <c r="B6" s="232">
        <v>156.5</v>
      </c>
      <c r="C6" s="233">
        <v>156.6</v>
      </c>
      <c r="D6" s="231">
        <v>156.6</v>
      </c>
      <c r="E6" s="232">
        <v>156.6</v>
      </c>
      <c r="F6" s="320"/>
      <c r="G6" s="321"/>
      <c r="H6" s="321"/>
      <c r="I6" s="321"/>
      <c r="J6" s="321"/>
      <c r="K6" s="321"/>
      <c r="L6" s="321"/>
      <c r="M6" s="321"/>
    </row>
    <row r="7" spans="1:16" s="115" customFormat="1" ht="19.5" thickBot="1" x14ac:dyDescent="0.35">
      <c r="A7" s="121" t="s">
        <v>6</v>
      </c>
      <c r="B7" s="122">
        <f>B5*B6</f>
        <v>5418.03</v>
      </c>
      <c r="C7" s="111">
        <f>C6*C5</f>
        <v>4541.3999999999996</v>
      </c>
      <c r="D7" s="112">
        <f>D6*D5</f>
        <v>6671.16</v>
      </c>
      <c r="E7" s="113">
        <f>E6*E5</f>
        <v>6917.0219999999999</v>
      </c>
      <c r="F7" s="114"/>
      <c r="G7" s="108"/>
      <c r="H7" s="108"/>
      <c r="I7" s="108"/>
      <c r="J7" s="108"/>
    </row>
    <row r="8" spans="1:16" ht="19.5" thickTop="1" x14ac:dyDescent="0.3">
      <c r="A8" s="116" t="s">
        <v>75</v>
      </c>
      <c r="B8" s="207">
        <v>1.694</v>
      </c>
      <c r="C8" s="238">
        <v>1.0389999999999999</v>
      </c>
      <c r="D8" s="124">
        <v>5.9160000000000004</v>
      </c>
      <c r="E8" s="207">
        <v>7.7949999999999999</v>
      </c>
      <c r="F8" s="138"/>
      <c r="G8" s="237">
        <f>SUM(B8:E8)</f>
        <v>16.444000000000003</v>
      </c>
      <c r="H8" s="237">
        <f>G8/12</f>
        <v>1.3703333333333336</v>
      </c>
      <c r="I8" s="237">
        <f>H8/30</f>
        <v>4.5677777777777789E-2</v>
      </c>
      <c r="J8" s="237">
        <f>I8/24</f>
        <v>1.9032407407407412E-3</v>
      </c>
      <c r="K8" s="237"/>
      <c r="L8" s="237"/>
      <c r="M8" s="237"/>
    </row>
    <row r="9" spans="1:16" x14ac:dyDescent="0.3">
      <c r="A9" s="103" t="s">
        <v>7</v>
      </c>
      <c r="B9" s="232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320"/>
      <c r="G9" s="321"/>
      <c r="H9" s="321"/>
      <c r="I9" s="321"/>
      <c r="J9" s="321"/>
      <c r="K9" s="321"/>
      <c r="L9" s="321"/>
      <c r="M9" s="321"/>
    </row>
    <row r="10" spans="1:16" s="115" customFormat="1" ht="19.5" thickBot="1" x14ac:dyDescent="0.35">
      <c r="A10" s="121"/>
      <c r="B10" s="323">
        <f>SUM(B8*B9)*1000</f>
        <v>1256.9479999999999</v>
      </c>
      <c r="C10" s="323">
        <f t="shared" ref="C10:M10" si="0">SUM(C8*C9)*1000</f>
        <v>770.93799999999987</v>
      </c>
      <c r="D10" s="323">
        <f t="shared" si="0"/>
        <v>4389.6719999999996</v>
      </c>
      <c r="E10" s="323">
        <f t="shared" si="0"/>
        <v>5783.8899999999994</v>
      </c>
      <c r="F10" s="323">
        <f t="shared" si="0"/>
        <v>0</v>
      </c>
      <c r="G10" s="323">
        <f t="shared" si="0"/>
        <v>0</v>
      </c>
      <c r="H10" s="323">
        <f t="shared" si="0"/>
        <v>0</v>
      </c>
      <c r="I10" s="323">
        <f t="shared" si="0"/>
        <v>0</v>
      </c>
      <c r="J10" s="323">
        <f t="shared" si="0"/>
        <v>0</v>
      </c>
      <c r="K10" s="323">
        <f t="shared" si="0"/>
        <v>0</v>
      </c>
      <c r="L10" s="323">
        <f t="shared" si="0"/>
        <v>0</v>
      </c>
      <c r="M10" s="323">
        <f t="shared" si="0"/>
        <v>0</v>
      </c>
    </row>
    <row r="11" spans="1:16" ht="19.5" thickTop="1" x14ac:dyDescent="0.3">
      <c r="A11" s="116" t="s">
        <v>76</v>
      </c>
      <c r="B11" s="207">
        <v>3.831</v>
      </c>
      <c r="C11" s="238">
        <v>0.47699999999999998</v>
      </c>
      <c r="D11" s="124">
        <v>3.91</v>
      </c>
      <c r="E11" s="207">
        <v>3.0190000000000001</v>
      </c>
      <c r="F11" s="138"/>
      <c r="G11" s="237">
        <f>SUM(B11:E11)</f>
        <v>11.237</v>
      </c>
      <c r="H11" s="237">
        <f>G11/12</f>
        <v>0.93641666666666667</v>
      </c>
      <c r="I11" s="237">
        <f>H11/30</f>
        <v>3.1213888888888888E-2</v>
      </c>
      <c r="J11" s="237">
        <f>I11/24</f>
        <v>1.3005787037037037E-3</v>
      </c>
      <c r="K11" s="237"/>
      <c r="L11" s="237"/>
      <c r="M11" s="237"/>
    </row>
    <row r="12" spans="1:16" x14ac:dyDescent="0.3">
      <c r="A12" s="103" t="s">
        <v>8</v>
      </c>
      <c r="B12" s="232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320"/>
      <c r="G12" s="321"/>
      <c r="H12" s="321"/>
      <c r="I12" s="321"/>
      <c r="J12" s="321"/>
      <c r="K12" s="321"/>
      <c r="L12" s="321"/>
      <c r="M12" s="321"/>
    </row>
    <row r="13" spans="1:16" s="115" customFormat="1" ht="19.5" thickBot="1" x14ac:dyDescent="0.35">
      <c r="A13" s="121"/>
      <c r="B13" s="122">
        <f>SUM(B11*B12*1000)</f>
        <v>4601.0309999999999</v>
      </c>
      <c r="C13" s="122">
        <f t="shared" ref="C13:M13" si="1">SUM(C11*C12*1000)</f>
        <v>572.87699999999995</v>
      </c>
      <c r="D13" s="122">
        <f t="shared" si="1"/>
        <v>4695.9100000000008</v>
      </c>
      <c r="E13" s="122">
        <f t="shared" si="1"/>
        <v>3625.8190000000004</v>
      </c>
      <c r="F13" s="122">
        <f t="shared" si="1"/>
        <v>0</v>
      </c>
      <c r="G13" s="122">
        <f t="shared" si="1"/>
        <v>0</v>
      </c>
      <c r="H13" s="122">
        <f t="shared" si="1"/>
        <v>0</v>
      </c>
      <c r="I13" s="122">
        <f t="shared" si="1"/>
        <v>0</v>
      </c>
      <c r="J13" s="122">
        <f t="shared" si="1"/>
        <v>0</v>
      </c>
      <c r="K13" s="122">
        <f t="shared" si="1"/>
        <v>0</v>
      </c>
      <c r="L13" s="122">
        <f t="shared" si="1"/>
        <v>0</v>
      </c>
      <c r="M13" s="122">
        <f t="shared" si="1"/>
        <v>0</v>
      </c>
    </row>
    <row r="14" spans="1:16" ht="19.5" thickTop="1" x14ac:dyDescent="0.3">
      <c r="A14" s="116" t="s">
        <v>77</v>
      </c>
      <c r="B14" s="207">
        <v>3.2170000000000001</v>
      </c>
      <c r="C14" s="118">
        <v>2.0790000000000002</v>
      </c>
      <c r="D14" s="119">
        <v>7.665</v>
      </c>
      <c r="E14" s="120">
        <v>12.409000000000001</v>
      </c>
      <c r="F14" s="100"/>
      <c r="G14" s="108">
        <f>SUM(B14:E14)</f>
        <v>25.37</v>
      </c>
      <c r="H14" s="108">
        <f>G14/12</f>
        <v>2.1141666666666667</v>
      </c>
      <c r="I14" s="108">
        <f>H14/30</f>
        <v>7.0472222222222228E-2</v>
      </c>
      <c r="J14" s="108">
        <f>I14/24</f>
        <v>2.9363425925925928E-3</v>
      </c>
    </row>
    <row r="15" spans="1:16" x14ac:dyDescent="0.3">
      <c r="A15" s="103" t="s">
        <v>70</v>
      </c>
      <c r="B15" s="232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320"/>
      <c r="G15" s="321"/>
      <c r="H15" s="321"/>
      <c r="I15" s="321"/>
      <c r="J15" s="321"/>
      <c r="K15" s="321"/>
      <c r="L15" s="321"/>
      <c r="M15" s="321"/>
    </row>
    <row r="16" spans="1:16" s="115" customFormat="1" ht="19.5" thickBot="1" x14ac:dyDescent="0.35">
      <c r="A16" s="121"/>
      <c r="B16" s="122">
        <f>SUM(B14*B15)*1000</f>
        <v>1688.925</v>
      </c>
      <c r="C16" s="122">
        <f t="shared" ref="C16:M16" si="2">SUM(C14*C15)*1000</f>
        <v>1091.4750000000001</v>
      </c>
      <c r="D16" s="122">
        <f t="shared" si="2"/>
        <v>4024.1250000000005</v>
      </c>
      <c r="E16" s="122">
        <f t="shared" si="2"/>
        <v>6514.7250000000004</v>
      </c>
      <c r="F16" s="122">
        <f t="shared" si="2"/>
        <v>0</v>
      </c>
      <c r="G16" s="122">
        <f t="shared" si="2"/>
        <v>0</v>
      </c>
      <c r="H16" s="122">
        <f t="shared" si="2"/>
        <v>0</v>
      </c>
      <c r="I16" s="122">
        <f t="shared" si="2"/>
        <v>0</v>
      </c>
      <c r="J16" s="122">
        <f t="shared" si="2"/>
        <v>0</v>
      </c>
      <c r="K16" s="122">
        <f t="shared" si="2"/>
        <v>0</v>
      </c>
      <c r="L16" s="122">
        <f t="shared" si="2"/>
        <v>0</v>
      </c>
      <c r="M16" s="122">
        <f t="shared" si="2"/>
        <v>0</v>
      </c>
    </row>
    <row r="17" spans="1:13" ht="19.5" thickTop="1" x14ac:dyDescent="0.3">
      <c r="A17" s="116" t="s">
        <v>2</v>
      </c>
      <c r="B17" s="208">
        <v>1183.3599999999999</v>
      </c>
      <c r="C17" s="118">
        <v>782.81</v>
      </c>
      <c r="D17" s="119">
        <v>6626.47</v>
      </c>
      <c r="E17" s="120">
        <v>5646.12</v>
      </c>
      <c r="F17" s="100"/>
      <c r="G17" s="108">
        <f>SUM(B17:E17)</f>
        <v>14238.759999999998</v>
      </c>
      <c r="H17" s="108">
        <f>G17/12</f>
        <v>1186.5633333333333</v>
      </c>
      <c r="I17" s="108">
        <f>H17/30</f>
        <v>39.55211111111111</v>
      </c>
      <c r="J17" s="108">
        <f>I17/24</f>
        <v>1.6480046296296296</v>
      </c>
    </row>
    <row r="18" spans="1:13" x14ac:dyDescent="0.3">
      <c r="A18" s="103" t="s">
        <v>1</v>
      </c>
      <c r="B18" s="209">
        <v>352.62</v>
      </c>
      <c r="C18" s="118">
        <v>233.26</v>
      </c>
      <c r="D18" s="106">
        <v>1974.54</v>
      </c>
      <c r="E18" s="107">
        <v>1682.42</v>
      </c>
      <c r="F18" s="100"/>
      <c r="G18" s="108">
        <f>SUM(B18:E18)</f>
        <v>4242.84</v>
      </c>
      <c r="H18" s="108">
        <f>G18/12</f>
        <v>353.57</v>
      </c>
      <c r="I18" s="108">
        <f>H18/30</f>
        <v>11.785666666666666</v>
      </c>
      <c r="J18" s="108">
        <f>I18/24</f>
        <v>0.49106944444444439</v>
      </c>
    </row>
    <row r="19" spans="1:13" x14ac:dyDescent="0.3">
      <c r="A19" s="103" t="s">
        <v>0</v>
      </c>
      <c r="B19" s="209">
        <v>134.41</v>
      </c>
      <c r="C19" s="105">
        <v>134.41</v>
      </c>
      <c r="D19" s="106">
        <v>134.41</v>
      </c>
      <c r="E19" s="107">
        <v>134.41</v>
      </c>
      <c r="F19" s="100"/>
      <c r="G19" s="108">
        <f>SUM(B19:E19)</f>
        <v>537.64</v>
      </c>
      <c r="H19" s="108">
        <f>G19/12</f>
        <v>44.803333333333335</v>
      </c>
      <c r="I19" s="108">
        <f>H19/30</f>
        <v>1.4934444444444446</v>
      </c>
      <c r="J19" s="108">
        <f>I19/24</f>
        <v>6.222685185185186E-2</v>
      </c>
    </row>
    <row r="20" spans="1:13" ht="19.5" thickBot="1" x14ac:dyDescent="0.35">
      <c r="A20" s="131" t="s">
        <v>10</v>
      </c>
      <c r="B20" s="210">
        <v>221.88</v>
      </c>
      <c r="C20" s="211">
        <v>221.88</v>
      </c>
      <c r="D20" s="212">
        <v>221.88</v>
      </c>
      <c r="E20" s="213">
        <v>221.88</v>
      </c>
      <c r="F20" s="100"/>
      <c r="G20" s="108">
        <f>SUM(B20:E20)</f>
        <v>887.52</v>
      </c>
      <c r="H20" s="108">
        <f>G20/12</f>
        <v>73.959999999999994</v>
      </c>
      <c r="I20" s="108">
        <f>H20/30</f>
        <v>2.4653333333333332</v>
      </c>
      <c r="J20" s="108">
        <f>I20/24</f>
        <v>0.10272222222222221</v>
      </c>
    </row>
    <row r="21" spans="1:13" ht="19.5" thickBot="1" x14ac:dyDescent="0.35">
      <c r="B21" s="136"/>
      <c r="C21" s="100"/>
      <c r="D21" s="101"/>
      <c r="E21" s="102"/>
      <c r="G21" s="108"/>
      <c r="H21" s="108"/>
      <c r="I21" s="108"/>
      <c r="J21" s="108"/>
    </row>
    <row r="22" spans="1:13" ht="19.5" thickBot="1" x14ac:dyDescent="0.35">
      <c r="A22" s="186" t="s">
        <v>81</v>
      </c>
      <c r="B22" s="314">
        <f>B8+B11+B14</f>
        <v>8.7420000000000009</v>
      </c>
      <c r="C22" s="314">
        <f>C8+C11+C14</f>
        <v>3.5950000000000002</v>
      </c>
      <c r="D22" s="314">
        <f>D8+D11+D14</f>
        <v>17.491</v>
      </c>
      <c r="E22" s="314">
        <f>E8+E11+E14</f>
        <v>23.222999999999999</v>
      </c>
      <c r="F22" s="138"/>
      <c r="G22" s="237">
        <f>SUM(B22:E22)</f>
        <v>53.051000000000002</v>
      </c>
      <c r="H22" s="237">
        <f>G22/12</f>
        <v>4.4209166666666668</v>
      </c>
      <c r="I22" s="237">
        <f>H22/30</f>
        <v>0.14736388888888891</v>
      </c>
      <c r="J22" s="237">
        <f>I22/24</f>
        <v>6.1401620370370377E-3</v>
      </c>
      <c r="K22" s="237"/>
      <c r="L22" s="237"/>
      <c r="M22" s="237"/>
    </row>
    <row r="23" spans="1:13" s="115" customFormat="1" ht="19.5" thickBot="1" x14ac:dyDescent="0.35">
      <c r="A23" s="115" t="s">
        <v>12</v>
      </c>
      <c r="B23" s="140">
        <f>B16+B13+B10+B17+B18+B19+B20+B7</f>
        <v>14857.204000000002</v>
      </c>
      <c r="C23" s="141">
        <f>C16+C13+C10+C17+C18+C19+C20+C7</f>
        <v>8349.0499999999993</v>
      </c>
      <c r="D23" s="140">
        <f>D16+D13+D10+D17+D18+D19+D20+D7</f>
        <v>28738.167000000005</v>
      </c>
      <c r="E23" s="142">
        <f>E16+E13+E10+E17+E18+E19+E20+E7</f>
        <v>30526.286000000004</v>
      </c>
      <c r="F23" s="90"/>
    </row>
    <row r="24" spans="1:13" s="115" customFormat="1" x14ac:dyDescent="0.3">
      <c r="B24" s="123"/>
      <c r="C24" s="123"/>
      <c r="D24" s="123"/>
      <c r="E24" s="123"/>
      <c r="F24" s="90"/>
    </row>
    <row r="25" spans="1:13" s="115" customFormat="1" x14ac:dyDescent="0.3">
      <c r="B25" s="138"/>
      <c r="C25" s="138"/>
      <c r="D25" s="138"/>
      <c r="E25" s="138"/>
      <c r="F25" s="90"/>
    </row>
    <row r="26" spans="1:13" s="115" customFormat="1" x14ac:dyDescent="0.3">
      <c r="B26" s="123"/>
      <c r="C26" s="123"/>
      <c r="D26" s="123"/>
      <c r="E26" s="123"/>
      <c r="F26" s="90"/>
    </row>
    <row r="27" spans="1:13" ht="19.5" thickBot="1" x14ac:dyDescent="0.35"/>
    <row r="28" spans="1:13" ht="19.5" thickBot="1" x14ac:dyDescent="0.35">
      <c r="A28" s="187" t="s">
        <v>53</v>
      </c>
      <c r="B28" s="145" t="s">
        <v>54</v>
      </c>
      <c r="C28" s="147" t="s">
        <v>44</v>
      </c>
      <c r="D28" s="147" t="s">
        <v>45</v>
      </c>
      <c r="E28" s="147" t="s">
        <v>46</v>
      </c>
    </row>
    <row r="29" spans="1:13" ht="19.5" thickBot="1" x14ac:dyDescent="0.35">
      <c r="A29" s="148" t="s">
        <v>43</v>
      </c>
      <c r="B29" s="149">
        <f>Complete!D17</f>
        <v>12818</v>
      </c>
      <c r="C29" s="151">
        <f>B29</f>
        <v>12818</v>
      </c>
      <c r="D29" s="151">
        <f>C29</f>
        <v>12818</v>
      </c>
      <c r="E29" s="151">
        <f>D29</f>
        <v>12818</v>
      </c>
    </row>
    <row r="30" spans="1:13" ht="19.5" thickBot="1" x14ac:dyDescent="0.35">
      <c r="B30" s="143"/>
    </row>
    <row r="31" spans="1:13" ht="19.5" thickBot="1" x14ac:dyDescent="0.35">
      <c r="A31" s="188" t="s">
        <v>72</v>
      </c>
      <c r="B31" s="153">
        <f>G5</f>
        <v>150.38999999999999</v>
      </c>
      <c r="C31" s="154">
        <f>H5</f>
        <v>12.532499999999999</v>
      </c>
      <c r="D31" s="154">
        <f>I5</f>
        <v>0.41774999999999995</v>
      </c>
      <c r="E31" s="154">
        <f>J5</f>
        <v>1.7406249999999998E-2</v>
      </c>
    </row>
    <row r="32" spans="1:13" x14ac:dyDescent="0.3">
      <c r="A32" s="116" t="s">
        <v>5</v>
      </c>
      <c r="B32" s="124">
        <f>G8</f>
        <v>16.444000000000003</v>
      </c>
      <c r="C32" s="207">
        <f>H8</f>
        <v>1.3703333333333336</v>
      </c>
      <c r="D32" s="207">
        <f>I8</f>
        <v>4.5677777777777789E-2</v>
      </c>
      <c r="E32" s="207">
        <f>J8</f>
        <v>1.9032407407407412E-3</v>
      </c>
    </row>
    <row r="33" spans="1:12" x14ac:dyDescent="0.3">
      <c r="A33" s="103" t="s">
        <v>48</v>
      </c>
      <c r="B33" s="104">
        <f>G11</f>
        <v>11.237</v>
      </c>
      <c r="C33" s="206">
        <f>H11</f>
        <v>0.93641666666666667</v>
      </c>
      <c r="D33" s="206">
        <f>I11</f>
        <v>3.1213888888888888E-2</v>
      </c>
      <c r="E33" s="206">
        <f>J11</f>
        <v>1.3005787037037037E-3</v>
      </c>
    </row>
    <row r="34" spans="1:12" ht="19.5" thickBot="1" x14ac:dyDescent="0.35">
      <c r="A34" s="131" t="s">
        <v>9</v>
      </c>
      <c r="B34" s="319">
        <f>G14</f>
        <v>25.37</v>
      </c>
      <c r="C34" s="315">
        <f>H14</f>
        <v>2.1141666666666667</v>
      </c>
      <c r="D34" s="315">
        <f>I14</f>
        <v>7.0472222222222228E-2</v>
      </c>
      <c r="E34" s="315">
        <f>J14</f>
        <v>2.9363425925925928E-3</v>
      </c>
    </row>
    <row r="35" spans="1:12" ht="19.5" thickBot="1" x14ac:dyDescent="0.35">
      <c r="B35" s="155"/>
      <c r="C35" s="155"/>
      <c r="D35" s="155"/>
      <c r="E35" s="155"/>
    </row>
    <row r="36" spans="1:12" ht="19.5" thickBot="1" x14ac:dyDescent="0.35">
      <c r="A36" s="186" t="s">
        <v>73</v>
      </c>
      <c r="B36" s="314">
        <f>SUM(B32:B34)</f>
        <v>53.051000000000002</v>
      </c>
      <c r="C36" s="314">
        <f>SUM(C32:C34)</f>
        <v>4.4209166666666668</v>
      </c>
      <c r="D36" s="314">
        <f>SUM(D32:D34)</f>
        <v>0.14736388888888891</v>
      </c>
      <c r="E36" s="314">
        <f>SUM(E32:E34)</f>
        <v>6.1401620370370377E-3</v>
      </c>
      <c r="F36" s="143"/>
    </row>
    <row r="37" spans="1:12" ht="19.5" thickBot="1" x14ac:dyDescent="0.35">
      <c r="B37" s="155"/>
      <c r="C37" s="155"/>
      <c r="D37" s="155"/>
      <c r="E37" s="155"/>
    </row>
    <row r="38" spans="1:12" ht="19.5" thickBot="1" x14ac:dyDescent="0.35">
      <c r="A38" s="189" t="s">
        <v>47</v>
      </c>
      <c r="B38" s="190">
        <f>B36/B29*1000</f>
        <v>4.1387892026837259</v>
      </c>
      <c r="C38" s="190">
        <f>C36/C29*1000</f>
        <v>0.34489910022364384</v>
      </c>
      <c r="D38" s="190">
        <f>D36/D29*1000</f>
        <v>1.1496636674121463E-2</v>
      </c>
      <c r="E38" s="190">
        <f>E36/E29*1000</f>
        <v>4.7902652808839432E-4</v>
      </c>
    </row>
    <row r="39" spans="1:12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12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12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12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12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12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12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12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12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12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3">B17/18.29</f>
        <v>64.699835975943131</v>
      </c>
      <c r="C76" s="168">
        <f t="shared" si="3"/>
        <v>42.799890650628761</v>
      </c>
      <c r="D76" s="168">
        <f t="shared" si="3"/>
        <v>362.30016402405687</v>
      </c>
      <c r="E76" s="168">
        <f t="shared" si="3"/>
        <v>308.69983597594313</v>
      </c>
      <c r="F76" s="168">
        <f t="shared" si="3"/>
        <v>0</v>
      </c>
      <c r="G76" s="168">
        <f t="shared" si="3"/>
        <v>778.49972662657183</v>
      </c>
      <c r="H76" s="168">
        <f t="shared" ref="H76:M76" si="4">H17/20.16</f>
        <v>58.857308201058196</v>
      </c>
      <c r="I76" s="168">
        <f t="shared" si="4"/>
        <v>1.9619102733686067</v>
      </c>
      <c r="J76" s="168">
        <f t="shared" si="4"/>
        <v>8.1746261390358607E-2</v>
      </c>
      <c r="K76" s="168">
        <f t="shared" si="4"/>
        <v>0</v>
      </c>
      <c r="L76" s="168">
        <f t="shared" si="4"/>
        <v>0</v>
      </c>
      <c r="M76" s="169">
        <f t="shared" si="4"/>
        <v>0</v>
      </c>
      <c r="N76" s="170">
        <f>SUM(B76:M76)</f>
        <v>1617.900417988961</v>
      </c>
      <c r="O76" s="195">
        <f>SUM(C76:N76)</f>
        <v>3171.1010000019787</v>
      </c>
      <c r="P76" s="196">
        <f>O76</f>
        <v>3171.1010000019787</v>
      </c>
      <c r="Q76" s="197">
        <f>P76/12</f>
        <v>264.25841666683158</v>
      </c>
      <c r="R76" s="197">
        <f>Q76/30</f>
        <v>8.8086138888943868</v>
      </c>
      <c r="S76" s="198">
        <f>R76/24</f>
        <v>0.36702557870393276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0"/>
  <sheetViews>
    <sheetView zoomScale="66" zoomScaleNormal="66" workbookViewId="0">
      <selection activeCell="A60" sqref="A60"/>
    </sheetView>
  </sheetViews>
  <sheetFormatPr defaultRowHeight="18.75" x14ac:dyDescent="0.3"/>
  <cols>
    <col min="1" max="1" width="29.140625" style="89" customWidth="1"/>
    <col min="2" max="8" width="16" style="88" customWidth="1"/>
    <col min="9" max="9" width="16.7109375" style="88" customWidth="1"/>
    <col min="10" max="10" width="16.7109375" style="88" hidden="1" customWidth="1"/>
    <col min="11" max="11" width="12.28515625" style="89" hidden="1" customWidth="1"/>
    <col min="12" max="12" width="14.7109375" style="89" hidden="1" customWidth="1"/>
    <col min="13" max="13" width="12.42578125" style="89" hidden="1" customWidth="1"/>
    <col min="14" max="14" width="14" style="89" hidden="1" customWidth="1"/>
    <col min="15" max="18" width="9.42578125" style="89" hidden="1" customWidth="1"/>
    <col min="19" max="19" width="9.140625" style="89" hidden="1" customWidth="1"/>
    <col min="20" max="20" width="9.42578125" style="89" hidden="1" customWidth="1"/>
    <col min="21" max="23" width="9.140625" style="89" hidden="1" customWidth="1"/>
    <col min="24" max="25" width="0" style="89" hidden="1" customWidth="1"/>
    <col min="26" max="16384" width="9.140625" style="89"/>
  </cols>
  <sheetData>
    <row r="1" spans="1:20" ht="19.5" thickBot="1" x14ac:dyDescent="0.35">
      <c r="A1" s="76" t="str">
        <f>Complete!B19</f>
        <v>IHL Medical</v>
      </c>
      <c r="B1" s="199"/>
      <c r="C1" s="85" t="str">
        <f>Complete!A19</f>
        <v>5 Travertine</v>
      </c>
    </row>
    <row r="2" spans="1:20" ht="19.5" thickBot="1" x14ac:dyDescent="0.35"/>
    <row r="3" spans="1:20" ht="19.5" thickBot="1" x14ac:dyDescent="0.35">
      <c r="A3" s="137" t="s">
        <v>3</v>
      </c>
      <c r="B3" s="178" t="s">
        <v>63</v>
      </c>
      <c r="C3" s="178" t="s">
        <v>64</v>
      </c>
      <c r="D3" s="178" t="s">
        <v>65</v>
      </c>
      <c r="E3" s="178" t="s">
        <v>66</v>
      </c>
      <c r="F3" s="178" t="s">
        <v>67</v>
      </c>
      <c r="G3" s="178" t="s">
        <v>68</v>
      </c>
      <c r="H3" s="178" t="s">
        <v>57</v>
      </c>
      <c r="I3" s="178" t="s">
        <v>58</v>
      </c>
      <c r="J3" s="95" t="s">
        <v>71</v>
      </c>
      <c r="K3" s="96" t="s">
        <v>52</v>
      </c>
      <c r="L3" s="96" t="s">
        <v>49</v>
      </c>
      <c r="M3" s="96" t="s">
        <v>50</v>
      </c>
      <c r="N3" s="96" t="s">
        <v>51</v>
      </c>
      <c r="O3" s="97" t="s">
        <v>74</v>
      </c>
    </row>
    <row r="4" spans="1:20" x14ac:dyDescent="0.3">
      <c r="A4" s="98" t="s">
        <v>11</v>
      </c>
      <c r="B4" s="200"/>
      <c r="C4" s="102"/>
      <c r="D4" s="102"/>
      <c r="E4" s="102"/>
      <c r="F4" s="102"/>
      <c r="G4" s="102"/>
      <c r="H4" s="102"/>
      <c r="I4" s="102"/>
    </row>
    <row r="5" spans="1:20" x14ac:dyDescent="0.3">
      <c r="A5" s="103" t="s">
        <v>69</v>
      </c>
      <c r="B5" s="107">
        <v>70.900000000000006</v>
      </c>
      <c r="C5" s="107">
        <v>71.73</v>
      </c>
      <c r="D5" s="107">
        <v>85.93</v>
      </c>
      <c r="E5" s="107">
        <v>229.57</v>
      </c>
      <c r="F5" s="107">
        <v>250.49</v>
      </c>
      <c r="G5" s="107">
        <v>254.79</v>
      </c>
      <c r="H5" s="107">
        <v>254.88</v>
      </c>
      <c r="I5" s="107">
        <v>257.48</v>
      </c>
      <c r="J5" s="100"/>
      <c r="K5" s="108">
        <f>SUM(B5:I5)</f>
        <v>1475.77</v>
      </c>
      <c r="L5" s="108">
        <f>K5/12</f>
        <v>122.98083333333334</v>
      </c>
      <c r="M5" s="108">
        <f>L5/30</f>
        <v>4.0993611111111115</v>
      </c>
      <c r="N5" s="108">
        <f>M5/24</f>
        <v>0.17080671296296299</v>
      </c>
      <c r="O5" s="89">
        <v>0</v>
      </c>
      <c r="P5" s="89">
        <v>0</v>
      </c>
      <c r="Q5" s="89">
        <v>0</v>
      </c>
      <c r="R5" s="89">
        <v>0</v>
      </c>
      <c r="T5" s="108">
        <f>K5</f>
        <v>1475.77</v>
      </c>
    </row>
    <row r="6" spans="1:20" x14ac:dyDescent="0.3">
      <c r="A6" s="103" t="s">
        <v>4</v>
      </c>
      <c r="B6" s="232">
        <v>156.6</v>
      </c>
      <c r="C6" s="232">
        <v>156.6</v>
      </c>
      <c r="D6" s="232">
        <v>159.5</v>
      </c>
      <c r="E6" s="232">
        <v>159.5</v>
      </c>
      <c r="F6" s="232">
        <v>159.5</v>
      </c>
      <c r="G6" s="232">
        <v>159.5</v>
      </c>
      <c r="H6" s="232">
        <v>159.5</v>
      </c>
      <c r="I6" s="232">
        <v>159.5</v>
      </c>
      <c r="J6" s="320"/>
      <c r="K6" s="321"/>
      <c r="L6" s="321"/>
      <c r="M6" s="321"/>
      <c r="N6" s="108"/>
    </row>
    <row r="7" spans="1:20" s="115" customFormat="1" ht="19.5" thickBot="1" x14ac:dyDescent="0.35">
      <c r="A7" s="121" t="s">
        <v>6</v>
      </c>
      <c r="B7" s="113">
        <f t="shared" ref="B7:I7" si="0">B6*B5</f>
        <v>11102.94</v>
      </c>
      <c r="C7" s="113">
        <f t="shared" si="0"/>
        <v>11232.918</v>
      </c>
      <c r="D7" s="113">
        <f t="shared" si="0"/>
        <v>13705.835000000001</v>
      </c>
      <c r="E7" s="113">
        <f t="shared" si="0"/>
        <v>36616.415000000001</v>
      </c>
      <c r="F7" s="113">
        <f t="shared" si="0"/>
        <v>39953.154999999999</v>
      </c>
      <c r="G7" s="113">
        <f t="shared" si="0"/>
        <v>40639.004999999997</v>
      </c>
      <c r="H7" s="113">
        <f t="shared" si="0"/>
        <v>40653.360000000001</v>
      </c>
      <c r="I7" s="113">
        <f t="shared" si="0"/>
        <v>41068.060000000005</v>
      </c>
      <c r="J7" s="114"/>
      <c r="K7" s="108"/>
      <c r="L7" s="108"/>
      <c r="M7" s="108"/>
      <c r="N7" s="108"/>
    </row>
    <row r="8" spans="1:20" ht="19.5" thickTop="1" x14ac:dyDescent="0.3">
      <c r="A8" s="116" t="s">
        <v>75</v>
      </c>
      <c r="B8" s="207">
        <v>12.183999999999999</v>
      </c>
      <c r="C8" s="207">
        <v>11.615</v>
      </c>
      <c r="D8" s="207">
        <v>13.625</v>
      </c>
      <c r="E8" s="207">
        <v>26.585000000000001</v>
      </c>
      <c r="F8" s="207">
        <v>35.042999999999999</v>
      </c>
      <c r="G8" s="207">
        <v>36.668999999999997</v>
      </c>
      <c r="H8" s="207">
        <v>41.295999999999999</v>
      </c>
      <c r="I8" s="207">
        <v>37.04</v>
      </c>
      <c r="J8" s="138"/>
      <c r="K8" s="237">
        <f>SUM(B8:I8)</f>
        <v>214.05699999999999</v>
      </c>
      <c r="L8" s="237">
        <f>K8/12</f>
        <v>17.838083333333334</v>
      </c>
      <c r="M8" s="237">
        <f>L8/30</f>
        <v>0.59460277777777781</v>
      </c>
      <c r="N8" s="108">
        <f>M8/24</f>
        <v>2.4775115740740743E-2</v>
      </c>
    </row>
    <row r="9" spans="1:20" x14ac:dyDescent="0.3">
      <c r="A9" s="103" t="s">
        <v>7</v>
      </c>
      <c r="B9" s="232">
        <v>0.74199999999999999</v>
      </c>
      <c r="C9" s="232">
        <v>1.1455</v>
      </c>
      <c r="D9" s="232">
        <v>1.167</v>
      </c>
      <c r="E9" s="232">
        <v>1.167</v>
      </c>
      <c r="F9" s="232">
        <v>0.75600000000000001</v>
      </c>
      <c r="G9" s="232">
        <v>0.75600000000000001</v>
      </c>
      <c r="H9" s="232">
        <v>0.75600000000000001</v>
      </c>
      <c r="I9" s="232">
        <v>0.75600000000000001</v>
      </c>
      <c r="J9" s="320"/>
      <c r="K9" s="321"/>
      <c r="L9" s="321"/>
      <c r="M9" s="321"/>
      <c r="N9" s="108"/>
    </row>
    <row r="10" spans="1:20" s="115" customFormat="1" ht="19.5" thickBot="1" x14ac:dyDescent="0.35">
      <c r="A10" s="121"/>
      <c r="B10" s="323">
        <f>SUM(B8*B9)*1000</f>
        <v>9040.5280000000002</v>
      </c>
      <c r="C10" s="323">
        <f t="shared" ref="C10:M10" si="1">SUM(C8*C9)*1000</f>
        <v>13304.9825</v>
      </c>
      <c r="D10" s="323">
        <f t="shared" si="1"/>
        <v>15900.375</v>
      </c>
      <c r="E10" s="323">
        <f t="shared" si="1"/>
        <v>31024.695</v>
      </c>
      <c r="F10" s="323">
        <f t="shared" si="1"/>
        <v>26492.508000000002</v>
      </c>
      <c r="G10" s="323">
        <f t="shared" si="1"/>
        <v>27721.763999999996</v>
      </c>
      <c r="H10" s="323">
        <f t="shared" si="1"/>
        <v>31219.775999999998</v>
      </c>
      <c r="I10" s="323">
        <f t="shared" si="1"/>
        <v>28002.240000000002</v>
      </c>
      <c r="J10" s="323">
        <f t="shared" si="1"/>
        <v>0</v>
      </c>
      <c r="K10" s="323">
        <f t="shared" si="1"/>
        <v>0</v>
      </c>
      <c r="L10" s="323">
        <f t="shared" si="1"/>
        <v>0</v>
      </c>
      <c r="M10" s="323">
        <f t="shared" si="1"/>
        <v>0</v>
      </c>
      <c r="N10" s="108"/>
    </row>
    <row r="11" spans="1:20" ht="19.5" thickTop="1" x14ac:dyDescent="0.3">
      <c r="A11" s="116" t="s">
        <v>76</v>
      </c>
      <c r="B11" s="207">
        <v>3.831</v>
      </c>
      <c r="C11" s="207">
        <v>4.4039999999999999</v>
      </c>
      <c r="D11" s="207">
        <v>3.91</v>
      </c>
      <c r="E11" s="207">
        <v>11.529</v>
      </c>
      <c r="F11" s="207">
        <v>11.452</v>
      </c>
      <c r="G11" s="207">
        <v>13.488</v>
      </c>
      <c r="H11" s="207">
        <v>15.339</v>
      </c>
      <c r="I11" s="207">
        <v>14.054</v>
      </c>
      <c r="J11" s="138"/>
      <c r="K11" s="237">
        <f>SUM(B11:I11)</f>
        <v>78.006999999999991</v>
      </c>
      <c r="L11" s="237">
        <f>K11/12</f>
        <v>6.5005833333333323</v>
      </c>
      <c r="M11" s="237">
        <f>L11/30</f>
        <v>0.21668611111111108</v>
      </c>
      <c r="N11" s="108">
        <f>M11/24</f>
        <v>9.0285879629629622E-3</v>
      </c>
    </row>
    <row r="12" spans="1:20" x14ac:dyDescent="0.3">
      <c r="A12" s="103" t="s">
        <v>8</v>
      </c>
      <c r="B12" s="232">
        <v>1.2010000000000001</v>
      </c>
      <c r="C12" s="232">
        <v>3.1360000000000001</v>
      </c>
      <c r="D12" s="232">
        <v>3.1949999999999998</v>
      </c>
      <c r="E12" s="232">
        <v>3.1949999999999998</v>
      </c>
      <c r="F12" s="232">
        <v>1.224</v>
      </c>
      <c r="G12" s="232">
        <v>1.224</v>
      </c>
      <c r="H12" s="232">
        <v>1.224</v>
      </c>
      <c r="I12" s="232">
        <v>1.224</v>
      </c>
      <c r="J12" s="320"/>
      <c r="K12" s="321"/>
      <c r="L12" s="321"/>
      <c r="M12" s="321"/>
      <c r="N12" s="108"/>
    </row>
    <row r="13" spans="1:20" s="115" customFormat="1" ht="19.5" thickBot="1" x14ac:dyDescent="0.35">
      <c r="A13" s="121"/>
      <c r="B13" s="122">
        <f>SUM(B11*B12*1000)</f>
        <v>4601.0309999999999</v>
      </c>
      <c r="C13" s="122">
        <f t="shared" ref="C13:M13" si="2">SUM(C11*C12*1000)</f>
        <v>13810.944000000001</v>
      </c>
      <c r="D13" s="122">
        <f t="shared" si="2"/>
        <v>12492.45</v>
      </c>
      <c r="E13" s="122">
        <f t="shared" si="2"/>
        <v>36835.154999999999</v>
      </c>
      <c r="F13" s="122">
        <f t="shared" si="2"/>
        <v>14017.248</v>
      </c>
      <c r="G13" s="122">
        <f t="shared" si="2"/>
        <v>16509.311999999998</v>
      </c>
      <c r="H13" s="122">
        <f t="shared" si="2"/>
        <v>18774.936000000002</v>
      </c>
      <c r="I13" s="122">
        <f t="shared" si="2"/>
        <v>17202.096000000001</v>
      </c>
      <c r="J13" s="122">
        <f t="shared" si="2"/>
        <v>0</v>
      </c>
      <c r="K13" s="122">
        <f t="shared" si="2"/>
        <v>0</v>
      </c>
      <c r="L13" s="122">
        <f t="shared" si="2"/>
        <v>0</v>
      </c>
      <c r="M13" s="122">
        <f t="shared" si="2"/>
        <v>0</v>
      </c>
      <c r="N13" s="108"/>
    </row>
    <row r="14" spans="1:20" ht="19.5" thickTop="1" x14ac:dyDescent="0.3">
      <c r="A14" s="116" t="s">
        <v>77</v>
      </c>
      <c r="B14" s="120">
        <v>11.782999999999999</v>
      </c>
      <c r="C14" s="120">
        <v>6.4109999999999996</v>
      </c>
      <c r="D14" s="120">
        <v>6.9290000000000003</v>
      </c>
      <c r="E14" s="120">
        <v>23.254999999999999</v>
      </c>
      <c r="F14" s="120">
        <v>27.873999999999999</v>
      </c>
      <c r="G14" s="120">
        <v>28.771000000000001</v>
      </c>
      <c r="H14" s="120">
        <v>25.951000000000001</v>
      </c>
      <c r="I14" s="120">
        <v>37.738999999999997</v>
      </c>
      <c r="J14" s="100"/>
      <c r="K14" s="108">
        <f>SUM(B14:I14)</f>
        <v>168.71299999999999</v>
      </c>
      <c r="L14" s="108">
        <f>K14/12</f>
        <v>14.059416666666666</v>
      </c>
      <c r="M14" s="108">
        <f>L14/30</f>
        <v>0.46864722222222216</v>
      </c>
      <c r="N14" s="108">
        <f>M14/24</f>
        <v>1.9526967592592589E-2</v>
      </c>
    </row>
    <row r="15" spans="1:20" x14ac:dyDescent="0.3">
      <c r="A15" s="103" t="s">
        <v>70</v>
      </c>
      <c r="B15" s="232">
        <v>0.52500000000000002</v>
      </c>
      <c r="C15" s="232">
        <v>0.61</v>
      </c>
      <c r="D15" s="232">
        <v>0.622</v>
      </c>
      <c r="E15" s="232">
        <v>0.622</v>
      </c>
      <c r="F15" s="232">
        <v>0.53500000000000003</v>
      </c>
      <c r="G15" s="232">
        <v>0.53500000000000003</v>
      </c>
      <c r="H15" s="232">
        <v>0.53500000000000003</v>
      </c>
      <c r="I15" s="232">
        <v>0.53500000000000003</v>
      </c>
      <c r="J15" s="320"/>
      <c r="K15" s="321"/>
      <c r="L15" s="321"/>
      <c r="M15" s="321"/>
      <c r="N15" s="108"/>
    </row>
    <row r="16" spans="1:20" s="115" customFormat="1" ht="19.5" thickBot="1" x14ac:dyDescent="0.35">
      <c r="A16" s="121"/>
      <c r="B16" s="201">
        <f>SUM(B14*B15)*1000</f>
        <v>6186.0749999999998</v>
      </c>
      <c r="C16" s="201">
        <f t="shared" ref="C16:M16" si="3">SUM(C14*C15)*1000</f>
        <v>3910.7099999999996</v>
      </c>
      <c r="D16" s="201">
        <f t="shared" si="3"/>
        <v>4309.8379999999997</v>
      </c>
      <c r="E16" s="201">
        <f t="shared" si="3"/>
        <v>14464.609999999999</v>
      </c>
      <c r="F16" s="201">
        <f t="shared" si="3"/>
        <v>14912.59</v>
      </c>
      <c r="G16" s="201">
        <f t="shared" si="3"/>
        <v>15392.485000000001</v>
      </c>
      <c r="H16" s="201">
        <f t="shared" si="3"/>
        <v>13883.785000000002</v>
      </c>
      <c r="I16" s="201">
        <f t="shared" si="3"/>
        <v>20190.365000000002</v>
      </c>
      <c r="J16" s="201">
        <f t="shared" si="3"/>
        <v>0</v>
      </c>
      <c r="K16" s="201">
        <f t="shared" si="3"/>
        <v>0</v>
      </c>
      <c r="L16" s="201">
        <f t="shared" si="3"/>
        <v>0</v>
      </c>
      <c r="M16" s="201">
        <f t="shared" si="3"/>
        <v>0</v>
      </c>
      <c r="N16" s="108"/>
    </row>
    <row r="17" spans="1:14" ht="19.5" thickTop="1" x14ac:dyDescent="0.3">
      <c r="A17" s="116" t="s">
        <v>2</v>
      </c>
      <c r="B17" s="202">
        <v>4554.21</v>
      </c>
      <c r="C17" s="202">
        <v>2588.04</v>
      </c>
      <c r="D17" s="202">
        <v>3715.49</v>
      </c>
      <c r="E17" s="202">
        <v>4671.07</v>
      </c>
      <c r="F17" s="202">
        <v>4161.0200000000004</v>
      </c>
      <c r="G17" s="202">
        <v>4453.34</v>
      </c>
      <c r="H17" s="202">
        <v>3935.23</v>
      </c>
      <c r="I17" s="202">
        <v>5390.78</v>
      </c>
      <c r="J17" s="100"/>
      <c r="K17" s="108">
        <f>SUM(B17:I17)</f>
        <v>33469.18</v>
      </c>
      <c r="L17" s="108">
        <f>K17/12</f>
        <v>2789.0983333333334</v>
      </c>
      <c r="M17" s="108">
        <f>L17/30</f>
        <v>92.969944444444451</v>
      </c>
      <c r="N17" s="108">
        <f>M17/24</f>
        <v>3.8737476851851853</v>
      </c>
    </row>
    <row r="18" spans="1:14" x14ac:dyDescent="0.3">
      <c r="A18" s="103" t="s">
        <v>1</v>
      </c>
      <c r="B18" s="203">
        <v>1357.05</v>
      </c>
      <c r="C18" s="203">
        <v>771.18</v>
      </c>
      <c r="D18" s="203">
        <v>1107.6400000000001</v>
      </c>
      <c r="E18" s="203">
        <v>1392.52</v>
      </c>
      <c r="F18" s="203">
        <v>1240.46</v>
      </c>
      <c r="G18" s="203">
        <v>1327.61</v>
      </c>
      <c r="H18" s="203">
        <v>1173.75</v>
      </c>
      <c r="I18" s="203">
        <v>1607.07</v>
      </c>
      <c r="J18" s="100"/>
      <c r="K18" s="108">
        <f>SUM(B18:I18)</f>
        <v>9977.2799999999988</v>
      </c>
      <c r="L18" s="108">
        <f>K18/12</f>
        <v>831.43999999999994</v>
      </c>
      <c r="M18" s="108">
        <f>L18/30</f>
        <v>27.714666666666666</v>
      </c>
      <c r="N18" s="108">
        <f>M18/24</f>
        <v>1.1547777777777777</v>
      </c>
    </row>
    <row r="19" spans="1:14" x14ac:dyDescent="0.3">
      <c r="A19" s="103" t="s">
        <v>0</v>
      </c>
      <c r="B19" s="203">
        <v>134.41</v>
      </c>
      <c r="C19" s="203">
        <v>134.41</v>
      </c>
      <c r="D19" s="203">
        <v>144.49</v>
      </c>
      <c r="E19" s="203">
        <v>144.49</v>
      </c>
      <c r="F19" s="203">
        <v>144.49</v>
      </c>
      <c r="G19" s="203">
        <v>144.49</v>
      </c>
      <c r="H19" s="203">
        <v>144.49</v>
      </c>
      <c r="I19" s="203">
        <v>144.49</v>
      </c>
      <c r="J19" s="100"/>
      <c r="K19" s="108">
        <f>SUM(B19:I19)</f>
        <v>1135.76</v>
      </c>
      <c r="L19" s="108">
        <f>K19/12</f>
        <v>94.646666666666661</v>
      </c>
      <c r="M19" s="108">
        <f>L19/30</f>
        <v>3.1548888888888889</v>
      </c>
      <c r="N19" s="108">
        <f>M19/24</f>
        <v>0.13145370370370371</v>
      </c>
    </row>
    <row r="20" spans="1:14" ht="19.5" thickBot="1" x14ac:dyDescent="0.35">
      <c r="A20" s="131" t="s">
        <v>10</v>
      </c>
      <c r="B20" s="204">
        <v>221.88</v>
      </c>
      <c r="C20" s="204">
        <v>221.88</v>
      </c>
      <c r="D20" s="204">
        <v>226.47</v>
      </c>
      <c r="E20" s="204">
        <v>226.47</v>
      </c>
      <c r="F20" s="204">
        <v>226.47</v>
      </c>
      <c r="G20" s="204">
        <v>226.47</v>
      </c>
      <c r="H20" s="204">
        <v>226.47</v>
      </c>
      <c r="I20" s="204">
        <v>226.47</v>
      </c>
      <c r="J20" s="100"/>
      <c r="K20" s="108">
        <f>SUM(B20:I20)</f>
        <v>1802.5800000000002</v>
      </c>
      <c r="L20" s="108">
        <f>K20/12</f>
        <v>150.215</v>
      </c>
      <c r="M20" s="108">
        <f>L20/30</f>
        <v>5.0071666666666665</v>
      </c>
      <c r="N20" s="108">
        <f>M20/24</f>
        <v>0.20863194444444444</v>
      </c>
    </row>
    <row r="21" spans="1:14" ht="19.5" thickBot="1" x14ac:dyDescent="0.35">
      <c r="B21" s="101"/>
      <c r="C21" s="102"/>
      <c r="D21" s="102"/>
      <c r="E21" s="102"/>
      <c r="F21" s="102"/>
      <c r="G21" s="102"/>
      <c r="H21" s="102"/>
      <c r="I21" s="102"/>
      <c r="K21" s="108"/>
      <c r="L21" s="108"/>
      <c r="M21" s="108"/>
      <c r="N21" s="108"/>
    </row>
    <row r="22" spans="1:14" ht="19.5" thickBot="1" x14ac:dyDescent="0.35">
      <c r="A22" s="186" t="s">
        <v>81</v>
      </c>
      <c r="B22" s="314">
        <f t="shared" ref="B22:I22" si="4">B8+B11+B14</f>
        <v>27.798000000000002</v>
      </c>
      <c r="C22" s="314">
        <f t="shared" si="4"/>
        <v>22.43</v>
      </c>
      <c r="D22" s="314">
        <f t="shared" si="4"/>
        <v>24.463999999999999</v>
      </c>
      <c r="E22" s="314">
        <f t="shared" si="4"/>
        <v>61.369</v>
      </c>
      <c r="F22" s="314">
        <f t="shared" si="4"/>
        <v>74.369</v>
      </c>
      <c r="G22" s="314">
        <f t="shared" si="4"/>
        <v>78.927999999999997</v>
      </c>
      <c r="H22" s="314">
        <f t="shared" si="4"/>
        <v>82.585999999999999</v>
      </c>
      <c r="I22" s="314">
        <f t="shared" si="4"/>
        <v>88.832999999999998</v>
      </c>
      <c r="J22" s="138"/>
      <c r="K22" s="237">
        <f>SUM(B22:I22)</f>
        <v>460.77700000000004</v>
      </c>
      <c r="L22" s="237">
        <f>K22/12</f>
        <v>38.398083333333339</v>
      </c>
      <c r="M22" s="237">
        <f>L22/30</f>
        <v>1.2799361111111114</v>
      </c>
      <c r="N22" s="108">
        <f>M22/24</f>
        <v>5.333067129629631E-2</v>
      </c>
    </row>
    <row r="23" spans="1:14" s="115" customFormat="1" ht="19.5" thickBot="1" x14ac:dyDescent="0.35">
      <c r="A23" s="115" t="s">
        <v>12</v>
      </c>
      <c r="B23" s="140">
        <f t="shared" ref="B23:I23" si="5">B16+B13+B10+B17+B18+B19+B20+B7</f>
        <v>37198.123999999996</v>
      </c>
      <c r="C23" s="142">
        <f t="shared" si="5"/>
        <v>45975.0645</v>
      </c>
      <c r="D23" s="142">
        <f t="shared" si="5"/>
        <v>51602.587999999996</v>
      </c>
      <c r="E23" s="142">
        <f t="shared" si="5"/>
        <v>125375.42500000002</v>
      </c>
      <c r="F23" s="142">
        <f t="shared" si="5"/>
        <v>101147.94100000001</v>
      </c>
      <c r="G23" s="142">
        <f t="shared" si="5"/>
        <v>106414.476</v>
      </c>
      <c r="H23" s="142">
        <f>H16+H13+H10+H17+H18+H19+H20+H7</f>
        <v>110011.79700000001</v>
      </c>
      <c r="I23" s="142">
        <f t="shared" si="5"/>
        <v>113831.57100000003</v>
      </c>
      <c r="J23" s="90"/>
    </row>
    <row r="24" spans="1:14" s="115" customFormat="1" x14ac:dyDescent="0.3">
      <c r="B24" s="123"/>
      <c r="C24" s="123"/>
      <c r="D24" s="123"/>
      <c r="E24" s="123"/>
      <c r="F24" s="123"/>
      <c r="G24" s="123"/>
      <c r="H24" s="123"/>
      <c r="I24" s="123"/>
      <c r="J24" s="90"/>
    </row>
    <row r="25" spans="1:14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90"/>
    </row>
    <row r="26" spans="1:14" s="115" customFormat="1" x14ac:dyDescent="0.3">
      <c r="B26" s="123"/>
      <c r="C26" s="123"/>
      <c r="D26" s="123"/>
      <c r="E26" s="123"/>
      <c r="F26" s="123"/>
      <c r="G26" s="123"/>
      <c r="H26" s="123"/>
      <c r="I26" s="123"/>
      <c r="J26" s="90"/>
    </row>
    <row r="27" spans="1:14" ht="19.5" thickBot="1" x14ac:dyDescent="0.35"/>
    <row r="28" spans="1:14" ht="19.5" thickBot="1" x14ac:dyDescent="0.35">
      <c r="A28" s="187" t="s">
        <v>53</v>
      </c>
      <c r="B28" s="145" t="s">
        <v>54</v>
      </c>
      <c r="C28" s="147" t="s">
        <v>44</v>
      </c>
      <c r="D28" s="147" t="s">
        <v>45</v>
      </c>
      <c r="E28" s="147" t="s">
        <v>46</v>
      </c>
    </row>
    <row r="29" spans="1:14" ht="19.5" thickBot="1" x14ac:dyDescent="0.35">
      <c r="A29" s="148" t="s">
        <v>43</v>
      </c>
      <c r="B29" s="149">
        <f>Complete!D17</f>
        <v>12818</v>
      </c>
      <c r="C29" s="151">
        <f>B29</f>
        <v>12818</v>
      </c>
      <c r="D29" s="151">
        <f>C29</f>
        <v>12818</v>
      </c>
      <c r="E29" s="151">
        <f>D29</f>
        <v>12818</v>
      </c>
    </row>
    <row r="30" spans="1:14" ht="19.5" thickBot="1" x14ac:dyDescent="0.35">
      <c r="B30" s="143"/>
    </row>
    <row r="31" spans="1:14" ht="19.5" thickBot="1" x14ac:dyDescent="0.35">
      <c r="A31" s="188" t="s">
        <v>72</v>
      </c>
      <c r="B31" s="154">
        <f>K5</f>
        <v>1475.77</v>
      </c>
      <c r="C31" s="154">
        <f>L5</f>
        <v>122.98083333333334</v>
      </c>
      <c r="D31" s="154">
        <f>M5</f>
        <v>4.0993611111111115</v>
      </c>
      <c r="E31" s="154">
        <f>N5</f>
        <v>0.17080671296296299</v>
      </c>
    </row>
    <row r="32" spans="1:14" x14ac:dyDescent="0.3">
      <c r="A32" s="116" t="s">
        <v>5</v>
      </c>
      <c r="B32" s="317">
        <f>K8</f>
        <v>214.05699999999999</v>
      </c>
      <c r="C32" s="317">
        <f>L8</f>
        <v>17.838083333333334</v>
      </c>
      <c r="D32" s="317">
        <f>M8</f>
        <v>0.59460277777777781</v>
      </c>
      <c r="E32" s="317">
        <f>N8</f>
        <v>2.4775115740740743E-2</v>
      </c>
    </row>
    <row r="33" spans="1:12" x14ac:dyDescent="0.3">
      <c r="A33" s="103" t="s">
        <v>48</v>
      </c>
      <c r="B33" s="318">
        <f>K11</f>
        <v>78.006999999999991</v>
      </c>
      <c r="C33" s="318">
        <f>L11</f>
        <v>6.5005833333333323</v>
      </c>
      <c r="D33" s="318">
        <f>M11</f>
        <v>0.21668611111111108</v>
      </c>
      <c r="E33" s="318">
        <f>N11</f>
        <v>9.0285879629629622E-3</v>
      </c>
    </row>
    <row r="34" spans="1:12" ht="19.5" thickBot="1" x14ac:dyDescent="0.35">
      <c r="A34" s="131" t="s">
        <v>9</v>
      </c>
      <c r="B34" s="316">
        <f>K14</f>
        <v>168.71299999999999</v>
      </c>
      <c r="C34" s="316">
        <f>L14</f>
        <v>14.059416666666666</v>
      </c>
      <c r="D34" s="316">
        <f>M14</f>
        <v>0.46864722222222216</v>
      </c>
      <c r="E34" s="316">
        <f>N14</f>
        <v>1.9526967592592589E-2</v>
      </c>
    </row>
    <row r="35" spans="1:12" ht="19.5" thickBot="1" x14ac:dyDescent="0.35">
      <c r="B35" s="155"/>
      <c r="C35" s="155"/>
      <c r="D35" s="155"/>
      <c r="E35" s="155"/>
    </row>
    <row r="36" spans="1:12" ht="19.5" thickBot="1" x14ac:dyDescent="0.35">
      <c r="A36" s="186" t="s">
        <v>73</v>
      </c>
      <c r="B36" s="314">
        <f>SUM(B32:B34)</f>
        <v>460.77699999999993</v>
      </c>
      <c r="C36" s="314">
        <f>SUM(C32:C34)</f>
        <v>38.398083333333332</v>
      </c>
      <c r="D36" s="314">
        <f>SUM(D32:D34)</f>
        <v>1.2799361111111112</v>
      </c>
      <c r="E36" s="314">
        <f>SUM(E32:E34)</f>
        <v>5.3330671296296289E-2</v>
      </c>
      <c r="F36" s="143"/>
    </row>
    <row r="37" spans="1:12" ht="19.5" thickBot="1" x14ac:dyDescent="0.35">
      <c r="B37" s="155"/>
      <c r="C37" s="155"/>
      <c r="D37" s="155"/>
      <c r="E37" s="155"/>
    </row>
    <row r="38" spans="1:12" ht="19.5" thickBot="1" x14ac:dyDescent="0.35">
      <c r="A38" s="189" t="s">
        <v>47</v>
      </c>
      <c r="B38" s="190">
        <f>B36/B29*1000</f>
        <v>35.947651739740984</v>
      </c>
      <c r="C38" s="190">
        <f>C36/C29*1000</f>
        <v>2.9956376449784154</v>
      </c>
      <c r="D38" s="190">
        <f>D36/D29*1000</f>
        <v>9.9854588165947195E-2</v>
      </c>
      <c r="E38" s="190">
        <f>E36/E29*1000</f>
        <v>4.1606078402477986E-3</v>
      </c>
    </row>
    <row r="39" spans="1:12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12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12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12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12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12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12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12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12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12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3" spans="1:19" x14ac:dyDescent="0.3">
      <c r="H73" s="89"/>
      <c r="I73" s="89"/>
      <c r="J73" s="89"/>
    </row>
    <row r="74" spans="1:19" ht="19.5" thickBot="1" x14ac:dyDescent="0.35">
      <c r="H74" s="89"/>
      <c r="I74" s="89"/>
      <c r="J74" s="89"/>
    </row>
    <row r="75" spans="1:19" x14ac:dyDescent="0.3">
      <c r="H75" s="89"/>
      <c r="I75" s="89"/>
      <c r="J75" s="89"/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F17/18.29</f>
        <v>227.50246036085295</v>
      </c>
      <c r="C76" s="168">
        <f t="shared" si="6"/>
        <v>243.48496446145435</v>
      </c>
      <c r="D76" s="168">
        <f t="shared" si="6"/>
        <v>215.15746309458723</v>
      </c>
      <c r="E76" s="168">
        <f t="shared" si="6"/>
        <v>294.73920174958994</v>
      </c>
      <c r="F76" s="168">
        <f t="shared" si="6"/>
        <v>0</v>
      </c>
      <c r="G76" s="168">
        <f t="shared" si="6"/>
        <v>1829.9168944778569</v>
      </c>
      <c r="H76" s="89"/>
      <c r="I76" s="89"/>
      <c r="J76" s="89"/>
      <c r="O76" s="195">
        <f>SUM(C76:N76)</f>
        <v>2583.2985237834882</v>
      </c>
      <c r="P76" s="196">
        <f>O76</f>
        <v>2583.2985237834882</v>
      </c>
      <c r="Q76" s="197">
        <f>P76/12</f>
        <v>215.27487698195736</v>
      </c>
      <c r="R76" s="197">
        <f>Q76/30</f>
        <v>7.1758292327319122</v>
      </c>
      <c r="S76" s="198">
        <f>R76/24</f>
        <v>0.29899288469716301</v>
      </c>
    </row>
    <row r="77" spans="1:19" x14ac:dyDescent="0.3">
      <c r="H77" s="89"/>
      <c r="I77" s="89"/>
      <c r="J77" s="89"/>
    </row>
    <row r="78" spans="1:19" x14ac:dyDescent="0.3">
      <c r="H78" s="89"/>
      <c r="I78" s="89"/>
      <c r="J78" s="89"/>
    </row>
    <row r="79" spans="1:19" x14ac:dyDescent="0.3">
      <c r="H79" s="89"/>
      <c r="I79" s="89"/>
      <c r="J79" s="89"/>
    </row>
    <row r="80" spans="1:19" x14ac:dyDescent="0.3">
      <c r="H80" s="89"/>
      <c r="I80" s="89"/>
      <c r="J80" s="89"/>
    </row>
  </sheetData>
  <mergeCells count="1">
    <mergeCell ref="A39:L53"/>
  </mergeCells>
  <pageMargins left="1" right="1" top="1" bottom="1" header="0.5" footer="0.5"/>
  <pageSetup paperSize="9" scale="40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topLeftCell="B17" zoomScale="71" zoomScaleNormal="71" workbookViewId="0">
      <selection activeCell="D41" sqref="D41"/>
    </sheetView>
  </sheetViews>
  <sheetFormatPr defaultColWidth="7.140625" defaultRowHeight="18.75" x14ac:dyDescent="0.3"/>
  <cols>
    <col min="1" max="1" width="22.85546875" style="241" customWidth="1"/>
    <col min="2" max="2" width="62.28515625" style="241" customWidth="1"/>
    <col min="3" max="3" width="13.7109375" style="241" customWidth="1"/>
    <col min="4" max="4" width="21.28515625" style="247" customWidth="1"/>
    <col min="5" max="7" width="13.42578125" style="247" customWidth="1"/>
    <col min="8" max="8" width="1.85546875" style="247" customWidth="1"/>
    <col min="9" max="10" width="1.85546875" style="241" customWidth="1"/>
    <col min="11" max="11" width="19.5703125" style="241" customWidth="1"/>
    <col min="12" max="12" width="62" style="241" customWidth="1"/>
    <col min="13" max="13" width="16" style="247" customWidth="1"/>
    <col min="14" max="17" width="16" style="241" customWidth="1"/>
    <col min="18" max="16384" width="7.140625" style="241"/>
  </cols>
  <sheetData>
    <row r="1" spans="1:17" ht="19.5" thickBot="1" x14ac:dyDescent="0.35">
      <c r="A1" s="81"/>
      <c r="B1" s="80"/>
      <c r="C1" s="80"/>
      <c r="D1" s="430" t="s">
        <v>82</v>
      </c>
      <c r="E1" s="431"/>
      <c r="F1" s="431"/>
      <c r="G1" s="432"/>
      <c r="M1" s="305"/>
      <c r="N1" s="436" t="s">
        <v>85</v>
      </c>
      <c r="O1" s="434"/>
      <c r="P1" s="434"/>
      <c r="Q1" s="435"/>
    </row>
    <row r="2" spans="1:17" ht="19.5" thickBot="1" x14ac:dyDescent="0.35">
      <c r="A2" s="253"/>
      <c r="B2" s="254" t="s">
        <v>14</v>
      </c>
      <c r="C2" s="253" t="str">
        <f>Complete!D1</f>
        <v>GLA (M²)</v>
      </c>
      <c r="D2" s="255" t="s">
        <v>54</v>
      </c>
      <c r="E2" s="256" t="s">
        <v>44</v>
      </c>
      <c r="F2" s="256" t="s">
        <v>45</v>
      </c>
      <c r="G2" s="256" t="s">
        <v>55</v>
      </c>
      <c r="K2" s="257"/>
      <c r="L2" s="258" t="s">
        <v>14</v>
      </c>
      <c r="M2" s="259" t="str">
        <f t="shared" ref="M2:M17" si="0">C23</f>
        <v>GLA (M²)</v>
      </c>
      <c r="N2" s="311" t="s">
        <v>54</v>
      </c>
      <c r="O2" s="309" t="s">
        <v>44</v>
      </c>
      <c r="P2" s="309" t="s">
        <v>45</v>
      </c>
      <c r="Q2" s="259" t="s">
        <v>55</v>
      </c>
    </row>
    <row r="3" spans="1:17" x14ac:dyDescent="0.3">
      <c r="A3" s="260" t="str">
        <f>Complete!A2</f>
        <v>1 Shale Avenue</v>
      </c>
      <c r="B3" s="261" t="str">
        <f>Complete!B2</f>
        <v>Saint-Gobain</v>
      </c>
      <c r="C3" s="262">
        <f>Complete!D2</f>
        <v>7905</v>
      </c>
      <c r="D3" s="263">
        <f>'Saint - Gobain'!B36</f>
        <v>477239</v>
      </c>
      <c r="E3" s="328">
        <f>'Saint - Gobain'!C36*1000</f>
        <v>39769.916666666657</v>
      </c>
      <c r="F3" s="328">
        <f>'Saint - Gobain'!D36*1000</f>
        <v>1325.6638888888888</v>
      </c>
      <c r="G3" s="328">
        <f>'Saint - Gobain'!E36*1000</f>
        <v>55.235995370370368</v>
      </c>
      <c r="H3" s="264"/>
      <c r="I3" s="245"/>
      <c r="J3" s="245"/>
      <c r="K3" s="260" t="str">
        <f t="shared" ref="K3:K17" si="1">A24</f>
        <v>1 Shale Avenue</v>
      </c>
      <c r="L3" s="331" t="str">
        <f t="shared" ref="L3:L17" si="2">B24</f>
        <v>Saint-Gobain</v>
      </c>
      <c r="M3" s="332">
        <f t="shared" si="0"/>
        <v>7905</v>
      </c>
      <c r="N3" s="310">
        <f>'[1]BPB Gypsum'!O76</f>
        <v>2425.3162963107607</v>
      </c>
      <c r="O3" s="310">
        <f>'[1]BPB Gypsum'!P76</f>
        <v>202.10969135923006</v>
      </c>
      <c r="P3" s="310">
        <f>'[1]BPB Gypsum'!Q76</f>
        <v>6.7369897119743349</v>
      </c>
      <c r="Q3" s="308">
        <f>'[1]BPB Gypsum'!R76</f>
        <v>0.28070790466559731</v>
      </c>
    </row>
    <row r="4" spans="1:17" x14ac:dyDescent="0.3">
      <c r="A4" s="265" t="str">
        <f>Complete!A3</f>
        <v>1 Quartz Close</v>
      </c>
      <c r="B4" s="266" t="str">
        <f>Complete!B3</f>
        <v>Eli Lilly South Africa (Pty) Ltd</v>
      </c>
      <c r="C4" s="267">
        <f>Complete!D3</f>
        <v>2092</v>
      </c>
      <c r="D4" s="268">
        <f>'Eli-Lilly'!B36*1000</f>
        <v>213032</v>
      </c>
      <c r="E4" s="329">
        <f>'Eli-Lilly'!C36*1000</f>
        <v>17752.666666666668</v>
      </c>
      <c r="F4" s="329">
        <f>'Eli-Lilly'!D36</f>
        <v>0.59175555555555559</v>
      </c>
      <c r="G4" s="329">
        <f>'Eli-Lilly'!E36</f>
        <v>2.4656481481481484E-2</v>
      </c>
      <c r="K4" s="269" t="str">
        <f t="shared" si="1"/>
        <v>1 Quartz Close</v>
      </c>
      <c r="L4" s="270" t="str">
        <f t="shared" si="2"/>
        <v>Eli Lilly South Africa (Pty) Ltd</v>
      </c>
      <c r="M4" s="271">
        <f t="shared" si="0"/>
        <v>2092</v>
      </c>
      <c r="N4" s="306">
        <f>'[1]Eli-Lilly'!O76</f>
        <v>2107.4994109453514</v>
      </c>
      <c r="O4" s="306">
        <f>'[1]Eli-Lilly'!P76</f>
        <v>2107.4994109453514</v>
      </c>
      <c r="P4" s="306">
        <f>'[1]Eli-Lilly'!Q76</f>
        <v>175.62495091211261</v>
      </c>
      <c r="Q4" s="272">
        <f>'[1]Eli-Lilly'!R76</f>
        <v>5.8541650304037534</v>
      </c>
    </row>
    <row r="5" spans="1:17" x14ac:dyDescent="0.3">
      <c r="A5" s="265" t="str">
        <f>Complete!A4</f>
        <v>2 Quartz Close</v>
      </c>
      <c r="B5" s="266" t="str">
        <f>Complete!B4</f>
        <v>Digistics (Pty) Ltd</v>
      </c>
      <c r="C5" s="267">
        <f>Complete!D4</f>
        <v>7821</v>
      </c>
      <c r="D5" s="268">
        <f>Digistics!B36*1000</f>
        <v>2536479.0000000005</v>
      </c>
      <c r="E5" s="329">
        <f>Digistics!C36*1000</f>
        <v>211373.25000000003</v>
      </c>
      <c r="F5" s="329">
        <f>Digistics!D36*1000</f>
        <v>7045.7750000000005</v>
      </c>
      <c r="G5" s="329">
        <f>Digistics!E36*1000</f>
        <v>293.57395833333339</v>
      </c>
      <c r="K5" s="269" t="str">
        <f t="shared" si="1"/>
        <v>2 Quartz Close</v>
      </c>
      <c r="L5" s="270" t="str">
        <f t="shared" si="2"/>
        <v>Digistics (Pty) Ltd</v>
      </c>
      <c r="M5" s="271">
        <f t="shared" si="0"/>
        <v>7821</v>
      </c>
      <c r="N5" s="306">
        <f>[1]Digistics!O76</f>
        <v>20699.400218698742</v>
      </c>
      <c r="O5" s="306">
        <f>[1]Digistics!P76</f>
        <v>20699.400218698742</v>
      </c>
      <c r="P5" s="306">
        <f>[1]Digistics!Q76</f>
        <v>1724.9500182248951</v>
      </c>
      <c r="Q5" s="272">
        <f>[1]Digistics!R76</f>
        <v>57.498333940829838</v>
      </c>
    </row>
    <row r="6" spans="1:17" x14ac:dyDescent="0.3">
      <c r="A6" s="265" t="str">
        <f>Complete!A5</f>
        <v>1 Slate Road</v>
      </c>
      <c r="B6" s="266" t="str">
        <f>Complete!B5</f>
        <v>Deposita Systems (Pty) Ltd</v>
      </c>
      <c r="C6" s="267">
        <f>Complete!D5</f>
        <v>4320</v>
      </c>
      <c r="D6" s="268">
        <f>Deposita!B36*1000</f>
        <v>427418</v>
      </c>
      <c r="E6" s="329">
        <f>Deposita!C36*1000</f>
        <v>35618.166666666664</v>
      </c>
      <c r="F6" s="329">
        <f>Deposita!D36*1000</f>
        <v>1187.2722222222224</v>
      </c>
      <c r="G6" s="329">
        <f>Deposita!E36*1000</f>
        <v>49.469675925925927</v>
      </c>
      <c r="K6" s="269" t="str">
        <f t="shared" si="1"/>
        <v>1 Slate Road</v>
      </c>
      <c r="L6" s="270" t="str">
        <f t="shared" si="2"/>
        <v>Desposita</v>
      </c>
      <c r="M6" s="271">
        <f t="shared" si="0"/>
        <v>4320</v>
      </c>
      <c r="N6" s="306">
        <f>[1]Deposita!P76</f>
        <v>4750.8997874847046</v>
      </c>
      <c r="O6" s="306">
        <f>[1]Deposita!Q76</f>
        <v>395.9083156237254</v>
      </c>
      <c r="P6" s="306">
        <f>[1]Deposita!R76</f>
        <v>13.19694385412418</v>
      </c>
      <c r="Q6" s="272">
        <f>[1]Deposita!S76</f>
        <v>0.54987266058850748</v>
      </c>
    </row>
    <row r="7" spans="1:17" x14ac:dyDescent="0.3">
      <c r="A7" s="265" t="str">
        <f>Complete!A6</f>
        <v>2 Slate Road</v>
      </c>
      <c r="B7" s="266" t="str">
        <f>Complete!B6</f>
        <v>Landis and Gyr (Pty) Ltd</v>
      </c>
      <c r="C7" s="267">
        <f>Complete!D6</f>
        <v>4600</v>
      </c>
      <c r="D7" s="268">
        <f>'Landis and Gyr'!B36*1000</f>
        <v>701671</v>
      </c>
      <c r="E7" s="329">
        <f>'Landis and Gyr'!C36*1000</f>
        <v>58472.583333333336</v>
      </c>
      <c r="F7" s="329">
        <f>'Landis and Gyr'!D36*1000</f>
        <v>1949.0861111111112</v>
      </c>
      <c r="G7" s="329">
        <f>'Landis and Gyr'!E36*1000</f>
        <v>81.211921296296296</v>
      </c>
      <c r="K7" s="269" t="str">
        <f t="shared" si="1"/>
        <v>2 Slate Road</v>
      </c>
      <c r="L7" s="270" t="str">
        <f t="shared" si="2"/>
        <v>Landis and Gyr (Pty) Ltd</v>
      </c>
      <c r="M7" s="271">
        <f t="shared" si="0"/>
        <v>4600</v>
      </c>
      <c r="N7" s="306">
        <f>'[1]Landis and Gyr'!P76</f>
        <v>6071.4006640153784</v>
      </c>
      <c r="O7" s="306">
        <f>'[1]Landis and Gyr'!Q76</f>
        <v>505.95005533461489</v>
      </c>
      <c r="P7" s="306">
        <f>'[1]Landis and Gyr'!R76</f>
        <v>16.865001844487164</v>
      </c>
      <c r="Q7" s="272">
        <f>'[1]Landis and Gyr'!S76</f>
        <v>0.70270841018696517</v>
      </c>
    </row>
    <row r="8" spans="1:17" x14ac:dyDescent="0.3">
      <c r="A8" s="265" t="str">
        <f>Complete!A7</f>
        <v>3 Slate Road</v>
      </c>
      <c r="B8" s="266" t="str">
        <f>Complete!B7</f>
        <v>Premium Ideas SA (Pty) Ltd / Morvest</v>
      </c>
      <c r="C8" s="267">
        <f>Complete!D7</f>
        <v>5129</v>
      </c>
      <c r="D8" s="268">
        <f>'Premium Ideas - Morvest'!B36*1000</f>
        <v>1726224.0000000002</v>
      </c>
      <c r="E8" s="329">
        <f>'Premium Ideas - Morvest'!C36*1000</f>
        <v>143852</v>
      </c>
      <c r="F8" s="329">
        <f>'Premium Ideas - Morvest'!D36*1000</f>
        <v>4795.0666666666666</v>
      </c>
      <c r="G8" s="329">
        <f>'Premium Ideas - Morvest'!E36*1000</f>
        <v>199.79444444444448</v>
      </c>
      <c r="K8" s="269" t="str">
        <f t="shared" si="1"/>
        <v>3 Slate Road</v>
      </c>
      <c r="L8" s="270" t="str">
        <f t="shared" si="2"/>
        <v>Premium Ideas SA (Pty) Ltd / Morvest</v>
      </c>
      <c r="M8" s="271">
        <f t="shared" si="0"/>
        <v>8612</v>
      </c>
      <c r="N8" s="306">
        <f>'[1]Premium Ideas - Morvest'!P76</f>
        <v>8248.5348198555894</v>
      </c>
      <c r="O8" s="306">
        <f>'[1]Premium Ideas - Morvest'!Q76</f>
        <v>687.37790165463241</v>
      </c>
      <c r="P8" s="306">
        <f>'[1]Premium Ideas - Morvest'!R76</f>
        <v>22.912596721821082</v>
      </c>
      <c r="Q8" s="272">
        <f>'[1]Premium Ideas - Morvest'!S76</f>
        <v>0.95469153007587837</v>
      </c>
    </row>
    <row r="9" spans="1:17" x14ac:dyDescent="0.3">
      <c r="A9" s="265" t="str">
        <f>Complete!A8</f>
        <v>3 Slate Road</v>
      </c>
      <c r="B9" s="266" t="str">
        <f>Complete!B8</f>
        <v>Premium Ideas SA (Pty) Ltd / Morvest</v>
      </c>
      <c r="C9" s="267">
        <f>Complete!D8</f>
        <v>3483</v>
      </c>
      <c r="D9" s="268">
        <f>'Premium Ideas - Morvest'!B36*1000</f>
        <v>1726224.0000000002</v>
      </c>
      <c r="E9" s="329">
        <f>'Premium Ideas - Morvest'!C36*1000</f>
        <v>143852</v>
      </c>
      <c r="F9" s="329">
        <f>'Premium Ideas - Morvest'!D36*1000</f>
        <v>4795.0666666666666</v>
      </c>
      <c r="G9" s="329">
        <f>'Premium Ideas - Morvest'!E36*1000</f>
        <v>199.79444444444448</v>
      </c>
      <c r="K9" s="269" t="str">
        <f t="shared" si="1"/>
        <v>3 Slate Road</v>
      </c>
      <c r="L9" s="270" t="str">
        <f t="shared" si="2"/>
        <v>Premium Ideas SA (Pty) Ltd / Morvest</v>
      </c>
      <c r="M9" s="271">
        <f t="shared" si="0"/>
        <v>8612</v>
      </c>
      <c r="N9" s="306">
        <f>'[1]Premium Ideas - Morvest'!P76</f>
        <v>8248.5348198555894</v>
      </c>
      <c r="O9" s="306">
        <f>'[1]Premium Ideas - Morvest'!Q76</f>
        <v>687.37790165463241</v>
      </c>
      <c r="P9" s="306">
        <f>'[1]Premium Ideas - Morvest'!R76</f>
        <v>22.912596721821082</v>
      </c>
      <c r="Q9" s="272">
        <f>'[1]Premium Ideas - Morvest'!S76</f>
        <v>0.95469153007587837</v>
      </c>
    </row>
    <row r="10" spans="1:17" x14ac:dyDescent="0.3">
      <c r="A10" s="265" t="str">
        <f>Complete!A9</f>
        <v>4 Slate Road</v>
      </c>
      <c r="B10" s="266" t="str">
        <f>Complete!B9</f>
        <v>Zodiac Pool Care South Africa (Pty) Ltd</v>
      </c>
      <c r="C10" s="267">
        <f>Complete!D9</f>
        <v>7312</v>
      </c>
      <c r="D10" s="268">
        <f>Zodiac!B36*1000</f>
        <v>298299</v>
      </c>
      <c r="E10" s="329">
        <f>Zodiac!C36*1000</f>
        <v>24858.25</v>
      </c>
      <c r="F10" s="329">
        <f>Zodiac!D36*1000</f>
        <v>828.60833333333323</v>
      </c>
      <c r="G10" s="329">
        <f>Zodiac!E36*1000</f>
        <v>34.525347222222216</v>
      </c>
      <c r="K10" s="269" t="str">
        <f t="shared" si="1"/>
        <v>4 Slate Road</v>
      </c>
      <c r="L10" s="270" t="str">
        <f t="shared" si="2"/>
        <v>Zodiac Pool Care South Africa (Pty) Ltd</v>
      </c>
      <c r="M10" s="271">
        <f t="shared" si="0"/>
        <v>7312</v>
      </c>
      <c r="N10" s="306">
        <f>[1]Zodiac!P76</f>
        <v>2995.3055978633483</v>
      </c>
      <c r="O10" s="306">
        <f>[1]Zodiac!Q76</f>
        <v>249.60879982194569</v>
      </c>
      <c r="P10" s="306">
        <f>[1]Zodiac!R76</f>
        <v>8.3202933273981898</v>
      </c>
      <c r="Q10" s="272">
        <f>[1]Zodiac!S76</f>
        <v>0.34667888864159124</v>
      </c>
    </row>
    <row r="11" spans="1:17" x14ac:dyDescent="0.3">
      <c r="A11" s="265" t="str">
        <f>Complete!A10</f>
        <v>5 Slate Road</v>
      </c>
      <c r="B11" s="266" t="str">
        <f>Complete!B10</f>
        <v>Uti Material Handling (Pty) Ltd</v>
      </c>
      <c r="C11" s="267">
        <f>Complete!D12+Complete!D10</f>
        <v>11131</v>
      </c>
      <c r="D11" s="268">
        <f>UTI!B36*1000</f>
        <v>418070.00000000006</v>
      </c>
      <c r="E11" s="329">
        <f>UTI!C36*1000</f>
        <v>34839.166666666672</v>
      </c>
      <c r="F11" s="329">
        <f>UTI!D36*1000</f>
        <v>1161.3055555555559</v>
      </c>
      <c r="G11" s="329">
        <f>UTI!E36*1000</f>
        <v>48.387731481481481</v>
      </c>
      <c r="K11" s="269" t="str">
        <f t="shared" si="1"/>
        <v>5 Slate Road</v>
      </c>
      <c r="L11" s="270" t="str">
        <f t="shared" si="2"/>
        <v>Uti Material Handling (Pty) Ltd</v>
      </c>
      <c r="M11" s="271">
        <f>9562+1569</f>
        <v>11131</v>
      </c>
      <c r="N11" s="306">
        <f>[1]UTI!P76</f>
        <v>3263.410826021679</v>
      </c>
      <c r="O11" s="306">
        <f>[1]UTI!Q76</f>
        <v>271.95090216847325</v>
      </c>
      <c r="P11" s="306">
        <f>[1]UTI!R76</f>
        <v>9.0650300722824415</v>
      </c>
      <c r="Q11" s="272">
        <f>[1]UTI!S76</f>
        <v>0.37770958634510171</v>
      </c>
    </row>
    <row r="12" spans="1:17" x14ac:dyDescent="0.3">
      <c r="A12" s="265" t="str">
        <f>Complete!A11</f>
        <v>6 Slate Road</v>
      </c>
      <c r="B12" s="266" t="str">
        <f>Complete!B11</f>
        <v>CSD Targus Distribution (Pty) Ltd</v>
      </c>
      <c r="C12" s="267">
        <f>Complete!D11</f>
        <v>1883</v>
      </c>
      <c r="D12" s="268">
        <f>'CSD Targus'!B36*1000</f>
        <v>76378.999999999985</v>
      </c>
      <c r="E12" s="329">
        <f>'CSD Targus'!C36*1000</f>
        <v>6364.9166666666661</v>
      </c>
      <c r="F12" s="329">
        <f>'CSD Targus'!D36*1000</f>
        <v>212.16388888888886</v>
      </c>
      <c r="G12" s="329">
        <f>'CSD Targus'!E36*1000</f>
        <v>8.8401620370370377</v>
      </c>
      <c r="K12" s="269" t="str">
        <f t="shared" si="1"/>
        <v>6 Slate Road</v>
      </c>
      <c r="L12" s="270" t="str">
        <f t="shared" si="2"/>
        <v>CSD Targus Distribution (Pty) Ltd</v>
      </c>
      <c r="M12" s="271">
        <f t="shared" si="0"/>
        <v>1883</v>
      </c>
      <c r="N12" s="306">
        <f>'[1]CSD Targus'!P76</f>
        <v>2303.3995141112764</v>
      </c>
      <c r="O12" s="306">
        <f>'[1]CSD Targus'!Q76</f>
        <v>191.94995950927304</v>
      </c>
      <c r="P12" s="306">
        <f>'[1]CSD Targus'!R76</f>
        <v>6.3983319836424348</v>
      </c>
      <c r="Q12" s="272">
        <f>'[1]CSD Targus'!S76</f>
        <v>0.26659716598510147</v>
      </c>
    </row>
    <row r="13" spans="1:17" x14ac:dyDescent="0.3">
      <c r="A13" s="265" t="str">
        <f>Complete!A12</f>
        <v>6 Slate Road</v>
      </c>
      <c r="B13" s="266" t="str">
        <f>Complete!B12</f>
        <v>Uti Material Handling (Pty) Ltd</v>
      </c>
      <c r="C13" s="267">
        <f>Complete!D12</f>
        <v>1569</v>
      </c>
      <c r="D13" s="268">
        <f>'UTI 2'!B36*1000</f>
        <v>17515</v>
      </c>
      <c r="E13" s="329">
        <f>'UTI 2'!C36*1000</f>
        <v>1459.5833333333335</v>
      </c>
      <c r="F13" s="329">
        <f>'UTI 2'!D36*1000</f>
        <v>48.652777777777779</v>
      </c>
      <c r="G13" s="329">
        <f>'UTI 2'!E36*1000</f>
        <v>2.027199074074074</v>
      </c>
      <c r="K13" s="269" t="str">
        <f t="shared" si="1"/>
        <v>6 Slate Road</v>
      </c>
      <c r="L13" s="270" t="str">
        <f t="shared" si="2"/>
        <v>Uti Material Handling (Pty) Ltd</v>
      </c>
      <c r="M13" s="271">
        <v>0</v>
      </c>
      <c r="N13" s="306">
        <f>'[1]UTI 2'!P76</f>
        <v>0</v>
      </c>
      <c r="O13" s="306">
        <f>'[1]UTI 2'!Q76</f>
        <v>0</v>
      </c>
      <c r="P13" s="306">
        <f>'[1]UTI 2'!R76</f>
        <v>0</v>
      </c>
      <c r="Q13" s="272">
        <f>'[1]UTI 2'!S76</f>
        <v>0</v>
      </c>
    </row>
    <row r="14" spans="1:17" x14ac:dyDescent="0.3">
      <c r="A14" s="265" t="str">
        <f>Complete!A13</f>
        <v>1 Travertine</v>
      </c>
      <c r="B14" s="266" t="str">
        <f>Complete!B13</f>
        <v>Alaris Antennas (formerly known as Poynting)</v>
      </c>
      <c r="C14" s="267">
        <f>Complete!D13</f>
        <v>2594</v>
      </c>
      <c r="D14" s="268">
        <f>Alaris!B36*1000</f>
        <v>240646</v>
      </c>
      <c r="E14" s="329">
        <f>Alaris!C36*1000</f>
        <v>20053.833333333328</v>
      </c>
      <c r="F14" s="329">
        <f>Alaris!D36*1000</f>
        <v>668.46111111111111</v>
      </c>
      <c r="G14" s="329">
        <f>Alaris!E36*1000</f>
        <v>27.852546296296293</v>
      </c>
      <c r="K14" s="269" t="str">
        <f t="shared" si="1"/>
        <v>1 Travertine</v>
      </c>
      <c r="L14" s="270" t="str">
        <f t="shared" si="2"/>
        <v>Alaris Antennas (formerly known as Poynting)</v>
      </c>
      <c r="M14" s="271">
        <f t="shared" si="0"/>
        <v>2594</v>
      </c>
      <c r="N14" s="306">
        <f>[1]Alaris!P76</f>
        <v>2823.4700802546276</v>
      </c>
      <c r="O14" s="306">
        <f>[1]Alaris!Q76</f>
        <v>235.2891733545523</v>
      </c>
      <c r="P14" s="306">
        <f>[1]Alaris!R76</f>
        <v>7.8429724451517435</v>
      </c>
      <c r="Q14" s="272">
        <f>[1]Alaris!S76</f>
        <v>0.32679051854798929</v>
      </c>
    </row>
    <row r="15" spans="1:17" x14ac:dyDescent="0.3">
      <c r="A15" s="265" t="str">
        <f>Complete!A14</f>
        <v>2 Travertine</v>
      </c>
      <c r="B15" s="266" t="str">
        <f>Complete!B14</f>
        <v>Elliot Mobility (Pty) Ltd</v>
      </c>
      <c r="C15" s="267">
        <f>Complete!D14</f>
        <v>12584</v>
      </c>
      <c r="D15" s="268">
        <f>'Elliot Mobility 2 Travertine'!B36*1000</f>
        <v>224031.99999999997</v>
      </c>
      <c r="E15" s="329">
        <f>'Elliot Mobility 2 Travertine'!C36*1000</f>
        <v>18669.333333333332</v>
      </c>
      <c r="F15" s="329">
        <f>'Elliot Mobility 2 Travertine'!D36*1000</f>
        <v>622.31111111111102</v>
      </c>
      <c r="G15" s="329">
        <f>'Elliot Mobility 2 Travertine'!E36*1000</f>
        <v>25.92962962962963</v>
      </c>
      <c r="K15" s="269" t="str">
        <f t="shared" si="1"/>
        <v>2 Travertine</v>
      </c>
      <c r="L15" s="270" t="str">
        <f t="shared" si="2"/>
        <v>Elliot Mobility (Pty) Ltd</v>
      </c>
      <c r="M15" s="271">
        <f t="shared" si="0"/>
        <v>12584</v>
      </c>
      <c r="N15" s="306">
        <f>'[1]Elliot Mobility 2 Travertine'!$P$76</f>
        <v>11002.02460360853</v>
      </c>
      <c r="O15" s="306">
        <f>'[1]Elliot Mobility 2 Travertine'!Q76</f>
        <v>916.83538363404421</v>
      </c>
      <c r="P15" s="306">
        <f>'[1]Elliot Mobility 2 Travertine'!R76</f>
        <v>30.561179454468139</v>
      </c>
      <c r="Q15" s="272">
        <f>'[1]Elliot Mobility 2 Travertine'!S76</f>
        <v>1.2733824772695057</v>
      </c>
    </row>
    <row r="16" spans="1:17" x14ac:dyDescent="0.3">
      <c r="A16" s="265" t="str">
        <f>Complete!A15</f>
        <v>3 Travertine</v>
      </c>
      <c r="B16" s="266" t="str">
        <f>Complete!B15</f>
        <v>Shoprite Checkers (Pty) Ltd T/A Checkers Food Service</v>
      </c>
      <c r="C16" s="267">
        <f>Complete!D15</f>
        <v>8031</v>
      </c>
      <c r="D16" s="268">
        <f>Shoprite!B36*1000</f>
        <v>936114.99999999988</v>
      </c>
      <c r="E16" s="329">
        <f>Shoprite!C36*1000</f>
        <v>78009.583333333328</v>
      </c>
      <c r="F16" s="329">
        <f>Shoprite!D36*1000</f>
        <v>2600.3194444444443</v>
      </c>
      <c r="G16" s="329">
        <f>Shoprite!E36*1000</f>
        <v>108.3466435185185</v>
      </c>
      <c r="K16" s="269" t="str">
        <f t="shared" si="1"/>
        <v>3 Travertine</v>
      </c>
      <c r="L16" s="270" t="str">
        <f t="shared" si="2"/>
        <v>Shoprite Checkers (Pty) Ltd T/A Checkers Food Service</v>
      </c>
      <c r="M16" s="271">
        <f t="shared" si="0"/>
        <v>8031</v>
      </c>
      <c r="N16" s="306">
        <f>[1]Shoprite!P76</f>
        <v>4619.0994797226349</v>
      </c>
      <c r="O16" s="306">
        <f>[1]Shoprite!Q76</f>
        <v>384.92495664355289</v>
      </c>
      <c r="P16" s="306">
        <f>[1]Shoprite!R76</f>
        <v>12.83083188811843</v>
      </c>
      <c r="Q16" s="272">
        <f>[1]Shoprite!S76</f>
        <v>0.53461799533826793</v>
      </c>
    </row>
    <row r="17" spans="1:17" x14ac:dyDescent="0.3">
      <c r="A17" s="265" t="str">
        <f>Complete!A16</f>
        <v>4 Travertine</v>
      </c>
      <c r="B17" s="266" t="str">
        <f>Complete!B16</f>
        <v>Mazda Southern Africa (Pty) Ltd</v>
      </c>
      <c r="C17" s="267">
        <f>Complete!D16</f>
        <v>10593</v>
      </c>
      <c r="D17" s="268">
        <f>Mazda!B36*1000</f>
        <v>251369.00000000003</v>
      </c>
      <c r="E17" s="329">
        <f>Mazda!C36*1000</f>
        <v>20947.416666666664</v>
      </c>
      <c r="F17" s="329">
        <f>Mazda!D36*1000</f>
        <v>698.24722222222226</v>
      </c>
      <c r="G17" s="329">
        <f>Mazda!E36*1000</f>
        <v>29.093634259259261</v>
      </c>
      <c r="K17" s="269" t="str">
        <f t="shared" si="1"/>
        <v>4 Travertine</v>
      </c>
      <c r="L17" s="270" t="str">
        <f t="shared" si="2"/>
        <v>Mazda Southern Africa (Pty) Ltd</v>
      </c>
      <c r="M17" s="271">
        <f t="shared" si="0"/>
        <v>10593</v>
      </c>
      <c r="N17" s="306">
        <f>[1]Mazda!P76</f>
        <v>2214.9688636343908</v>
      </c>
      <c r="O17" s="306">
        <f>[1]Mazda!Q76</f>
        <v>184.58073863619924</v>
      </c>
      <c r="P17" s="306">
        <f>[1]Mazda!R76</f>
        <v>6.1526912878733082</v>
      </c>
      <c r="Q17" s="272">
        <f>[1]Mazda!S76</f>
        <v>0.25636213699472116</v>
      </c>
    </row>
    <row r="18" spans="1:17" x14ac:dyDescent="0.3">
      <c r="A18" s="265" t="str">
        <f>Complete!A17</f>
        <v>5 Travertine</v>
      </c>
      <c r="B18" s="266" t="str">
        <f>Complete!B17</f>
        <v>Elliot Mobility (Pty) Ltd</v>
      </c>
      <c r="C18" s="267">
        <f>Complete!D17</f>
        <v>12818</v>
      </c>
      <c r="D18" s="268">
        <f>'Elliot Mobility 5 Travertine'!B36*1000</f>
        <v>53051</v>
      </c>
      <c r="E18" s="329">
        <f>'Elliot Mobility 5 Travertine'!C36*1000</f>
        <v>4420.916666666667</v>
      </c>
      <c r="F18" s="329">
        <f>'Elliot Mobility 5 Travertine'!D36*1000</f>
        <v>147.36388888888891</v>
      </c>
      <c r="G18" s="329">
        <f>'Elliot Mobility 5 Travertine'!E36*1000</f>
        <v>6.1401620370370376</v>
      </c>
      <c r="K18" s="269" t="s">
        <v>40</v>
      </c>
      <c r="L18" s="270" t="str">
        <f>B39</f>
        <v>Elliot Mobility (Pty) Ltd</v>
      </c>
      <c r="M18" s="271">
        <f>D39</f>
        <v>53051</v>
      </c>
      <c r="N18" s="306">
        <f>'[1]Elliot Mobility 5 Travertine'!P76</f>
        <v>3171.1010000019787</v>
      </c>
      <c r="O18" s="306">
        <f>'[1]Elliot Mobility 5 Travertine'!Q76</f>
        <v>264.25841666683158</v>
      </c>
      <c r="P18" s="306">
        <f>'[1]Elliot Mobility 5 Travertine'!R76</f>
        <v>8.8086138888943868</v>
      </c>
      <c r="Q18" s="272">
        <f>'[1]Elliot Mobility 5 Travertine'!S76</f>
        <v>0.36702557870393276</v>
      </c>
    </row>
    <row r="19" spans="1:17" x14ac:dyDescent="0.3">
      <c r="A19" s="265" t="str">
        <f>Complete!A18</f>
        <v>6 Travertine</v>
      </c>
      <c r="B19" s="266" t="str">
        <f>Complete!B18</f>
        <v>Tevo (Pty) Ltd</v>
      </c>
      <c r="C19" s="267">
        <f>Complete!D18</f>
        <v>7950</v>
      </c>
      <c r="D19" s="268">
        <f>Tevo!B36*1000</f>
        <v>365085.00000000006</v>
      </c>
      <c r="E19" s="329">
        <f>Tevo!C36*1000</f>
        <v>30423.750000000004</v>
      </c>
      <c r="F19" s="329">
        <f>Tevo!D36*1000</f>
        <v>1014.1250000000001</v>
      </c>
      <c r="G19" s="329">
        <f>Tevo!E36*1000</f>
        <v>42.255208333333336</v>
      </c>
      <c r="K19" s="269" t="str">
        <f>A40</f>
        <v>6 Travertine</v>
      </c>
      <c r="L19" s="270" t="str">
        <f>B40</f>
        <v>Tevo (Pty) Ltd</v>
      </c>
      <c r="M19" s="271">
        <f>C40</f>
        <v>7950</v>
      </c>
      <c r="N19" s="306">
        <f>[1]Tevo!P76</f>
        <v>3944.3001640240564</v>
      </c>
      <c r="O19" s="306">
        <f>[1]Tevo!Q76</f>
        <v>328.69168033533805</v>
      </c>
      <c r="P19" s="306">
        <f>[1]Tevo!R76</f>
        <v>10.956389344511269</v>
      </c>
      <c r="Q19" s="272">
        <f>[1]Tevo!S76</f>
        <v>0.45651622268796954</v>
      </c>
    </row>
    <row r="20" spans="1:17" ht="19.5" thickBot="1" x14ac:dyDescent="0.35">
      <c r="A20" s="273" t="s">
        <v>40</v>
      </c>
      <c r="B20" s="274" t="s">
        <v>83</v>
      </c>
      <c r="C20" s="275">
        <f>Complete!D19</f>
        <v>12818</v>
      </c>
      <c r="D20" s="276">
        <f>'IHL Medical'!B36*1000</f>
        <v>460776.99999999994</v>
      </c>
      <c r="E20" s="330">
        <f>'IHL Medical'!C36*1000</f>
        <v>38398.083333333336</v>
      </c>
      <c r="F20" s="330">
        <f>'IHL Medical'!D36*1000</f>
        <v>1279.9361111111111</v>
      </c>
      <c r="G20" s="330">
        <f>'IHL Medical'!E36*1000</f>
        <v>53.330671296296288</v>
      </c>
      <c r="K20" s="253" t="str">
        <f>A41</f>
        <v>5 Travertine</v>
      </c>
      <c r="L20" s="277" t="str">
        <f>B41</f>
        <v>IHL Medical</v>
      </c>
      <c r="M20" s="278">
        <f>C41</f>
        <v>12818</v>
      </c>
      <c r="N20" s="307">
        <f>'[1]IHL Medical'!P76</f>
        <v>2583.2985237834882</v>
      </c>
      <c r="O20" s="307">
        <f>'[1]IHL Medical'!Q76</f>
        <v>215.27487698195736</v>
      </c>
      <c r="P20" s="307">
        <f>'[1]IHL Medical'!R76</f>
        <v>7.1758292327319122</v>
      </c>
      <c r="Q20" s="279">
        <f>'[1]IHL Medical'!S76</f>
        <v>0.29899288469716301</v>
      </c>
    </row>
    <row r="21" spans="1:17" ht="19.5" thickBot="1" x14ac:dyDescent="0.35"/>
    <row r="22" spans="1:17" ht="19.5" thickBot="1" x14ac:dyDescent="0.35">
      <c r="C22" s="280"/>
      <c r="D22" s="433" t="s">
        <v>56</v>
      </c>
      <c r="E22" s="434"/>
      <c r="F22" s="434"/>
      <c r="G22" s="435"/>
      <c r="H22" s="241"/>
    </row>
    <row r="23" spans="1:17" ht="19.5" thickBot="1" x14ac:dyDescent="0.35">
      <c r="A23" s="281"/>
      <c r="B23" s="258" t="s">
        <v>14</v>
      </c>
      <c r="C23" s="256" t="str">
        <f>C2</f>
        <v>GLA (M²)</v>
      </c>
      <c r="D23" s="282" t="s">
        <v>54</v>
      </c>
      <c r="E23" s="283" t="s">
        <v>44</v>
      </c>
      <c r="F23" s="283" t="s">
        <v>45</v>
      </c>
      <c r="G23" s="284" t="s">
        <v>55</v>
      </c>
      <c r="H23" s="241"/>
    </row>
    <row r="24" spans="1:17" x14ac:dyDescent="0.3">
      <c r="A24" s="285" t="str">
        <f t="shared" ref="A24:B26" si="3">A3</f>
        <v>1 Shale Avenue</v>
      </c>
      <c r="B24" s="286" t="str">
        <f t="shared" si="3"/>
        <v>Saint-Gobain</v>
      </c>
      <c r="C24" s="287">
        <f>C3</f>
        <v>7905</v>
      </c>
      <c r="D24" s="288">
        <f>'Saint - Gobain'!B38*1000</f>
        <v>60371.790006325115</v>
      </c>
      <c r="E24" s="325">
        <f>'Saint - Gobain'!C38*1000</f>
        <v>5.0309825005270916</v>
      </c>
      <c r="F24" s="325">
        <f>'Saint - Gobain'!D38*1000</f>
        <v>0.16769941668423641</v>
      </c>
      <c r="G24" s="325">
        <f>'Saint - Gobain'!E38*1000</f>
        <v>6.9874756951765178E-3</v>
      </c>
      <c r="H24" s="241"/>
    </row>
    <row r="25" spans="1:17" x14ac:dyDescent="0.3">
      <c r="A25" s="265" t="str">
        <f t="shared" si="3"/>
        <v>1 Quartz Close</v>
      </c>
      <c r="B25" s="289" t="str">
        <f t="shared" si="3"/>
        <v>Eli Lilly South Africa (Pty) Ltd</v>
      </c>
      <c r="C25" s="290">
        <f>C4</f>
        <v>2092</v>
      </c>
      <c r="D25" s="291">
        <f>'Eli-Lilly'!B38*1000</f>
        <v>101831.7399617591</v>
      </c>
      <c r="E25" s="326">
        <f>'Eli-Lilly'!C38*1000</f>
        <v>8485.9783301465905</v>
      </c>
      <c r="F25" s="326">
        <f>'Eli-Lilly'!D38*1000</f>
        <v>282.86594433821972</v>
      </c>
      <c r="G25" s="326">
        <f>'Eli-Lilly'!E38*1000</f>
        <v>11.786081014092488</v>
      </c>
      <c r="H25" s="241"/>
    </row>
    <row r="26" spans="1:17" x14ac:dyDescent="0.3">
      <c r="A26" s="265" t="str">
        <f t="shared" si="3"/>
        <v>2 Quartz Close</v>
      </c>
      <c r="B26" s="289" t="str">
        <f t="shared" si="3"/>
        <v>Digistics (Pty) Ltd</v>
      </c>
      <c r="C26" s="290">
        <f>C5</f>
        <v>7821</v>
      </c>
      <c r="D26" s="291">
        <f>Digistics!B38*1000</f>
        <v>324316.45569620252</v>
      </c>
      <c r="E26" s="326">
        <f>Digistics!C38*1000</f>
        <v>27026.371308016885</v>
      </c>
      <c r="F26" s="326">
        <f>Digistics!D38*1000</f>
        <v>900.87904360056268</v>
      </c>
      <c r="G26" s="326">
        <f>Digistics!E38*1000</f>
        <v>37.536626816690116</v>
      </c>
      <c r="H26" s="241"/>
    </row>
    <row r="27" spans="1:17" x14ac:dyDescent="0.3">
      <c r="A27" s="265" t="str">
        <f>A6</f>
        <v>1 Slate Road</v>
      </c>
      <c r="B27" s="289" t="s">
        <v>84</v>
      </c>
      <c r="C27" s="290">
        <f>C6</f>
        <v>4320</v>
      </c>
      <c r="D27" s="291">
        <f>Deposita!B38*1000</f>
        <v>98939.351851851854</v>
      </c>
      <c r="E27" s="326">
        <f>Deposita!C38*1000</f>
        <v>8244.9459876543206</v>
      </c>
      <c r="F27" s="326">
        <f>Deposita!D38*1000</f>
        <v>274.83153292181066</v>
      </c>
      <c r="G27" s="326">
        <f>Deposita!E38*1000</f>
        <v>11.451313871742112</v>
      </c>
      <c r="H27" s="241"/>
    </row>
    <row r="28" spans="1:17" x14ac:dyDescent="0.3">
      <c r="A28" s="292" t="str">
        <f t="shared" ref="A28:C38" si="4">A7</f>
        <v>2 Slate Road</v>
      </c>
      <c r="B28" s="289" t="str">
        <f t="shared" si="4"/>
        <v>Landis and Gyr (Pty) Ltd</v>
      </c>
      <c r="C28" s="290">
        <f t="shared" si="4"/>
        <v>4600</v>
      </c>
      <c r="D28" s="291">
        <f>'Landis and Gyr'!B38*1000</f>
        <v>152537.17391304349</v>
      </c>
      <c r="E28" s="326">
        <f>'Landis and Gyr'!C38*1000</f>
        <v>12711.43115942029</v>
      </c>
      <c r="F28" s="326">
        <f>'Landis and Gyr'!D38*1000</f>
        <v>423.71437198067633</v>
      </c>
      <c r="G28" s="326">
        <f>'Landis and Gyr'!E38*1000</f>
        <v>17.654765499194848</v>
      </c>
    </row>
    <row r="29" spans="1:17" x14ac:dyDescent="0.3">
      <c r="A29" s="265" t="str">
        <f t="shared" si="4"/>
        <v>3 Slate Road</v>
      </c>
      <c r="B29" s="289" t="str">
        <f t="shared" si="4"/>
        <v>Premium Ideas SA (Pty) Ltd / Morvest</v>
      </c>
      <c r="C29" s="324">
        <f>C8+C9</f>
        <v>8612</v>
      </c>
      <c r="D29" s="291">
        <f>'Premium Ideas - Morvest'!B38*1000</f>
        <v>200444.03158383653</v>
      </c>
      <c r="E29" s="326">
        <f>'Premium Ideas - Morvest'!C38*1000</f>
        <v>16703.669298653043</v>
      </c>
      <c r="F29" s="326">
        <f>'Premium Ideas - Morvest'!D38*1000</f>
        <v>556.78897662176814</v>
      </c>
      <c r="G29" s="326">
        <f>'Premium Ideas - Morvest'!E38*1000</f>
        <v>23.199540692573674</v>
      </c>
    </row>
    <row r="30" spans="1:17" x14ac:dyDescent="0.3">
      <c r="A30" s="265" t="str">
        <f t="shared" si="4"/>
        <v>3 Slate Road</v>
      </c>
      <c r="B30" s="289" t="str">
        <f t="shared" si="4"/>
        <v>Premium Ideas SA (Pty) Ltd / Morvest</v>
      </c>
      <c r="C30" s="324">
        <f>C9+C8</f>
        <v>8612</v>
      </c>
      <c r="D30" s="291">
        <f>'Premium Ideas - Morvest'!B38*1000</f>
        <v>200444.03158383653</v>
      </c>
      <c r="E30" s="326">
        <f>'Premium Ideas - Morvest'!C38*1000</f>
        <v>16703.669298653043</v>
      </c>
      <c r="F30" s="326">
        <f>'Premium Ideas - Morvest'!D38*1000</f>
        <v>556.78897662176814</v>
      </c>
      <c r="G30" s="326">
        <f>'Premium Ideas - Morvest'!E38*1000</f>
        <v>23.199540692573674</v>
      </c>
    </row>
    <row r="31" spans="1:17" x14ac:dyDescent="0.3">
      <c r="A31" s="293" t="str">
        <f t="shared" si="4"/>
        <v>4 Slate Road</v>
      </c>
      <c r="B31" s="289" t="str">
        <f t="shared" si="4"/>
        <v>Zodiac Pool Care South Africa (Pty) Ltd</v>
      </c>
      <c r="C31" s="312">
        <f t="shared" si="4"/>
        <v>7312</v>
      </c>
      <c r="D31" s="291">
        <f>Zodiac!B38*1000</f>
        <v>40795.815098468265</v>
      </c>
      <c r="E31" s="326">
        <f>Zodiac!C38*1000</f>
        <v>3399.6512582056894</v>
      </c>
      <c r="F31" s="326">
        <f>Zodiac!D38*1000</f>
        <v>113.3217086068563</v>
      </c>
      <c r="G31" s="326">
        <f>Zodiac!E38*1000</f>
        <v>4.7217378586190133</v>
      </c>
    </row>
    <row r="32" spans="1:17" x14ac:dyDescent="0.3">
      <c r="A32" s="265" t="str">
        <f t="shared" si="4"/>
        <v>5 Slate Road</v>
      </c>
      <c r="B32" s="289" t="str">
        <f t="shared" si="4"/>
        <v>Uti Material Handling (Pty) Ltd</v>
      </c>
      <c r="C32" s="312">
        <f t="shared" si="4"/>
        <v>11131</v>
      </c>
      <c r="D32" s="291">
        <f>UTI!B38*1000</f>
        <v>43722.024681029077</v>
      </c>
      <c r="E32" s="326">
        <f>UTI!C38*1000</f>
        <v>3643.5020567524234</v>
      </c>
      <c r="F32" s="326">
        <f>UTI!D38*1000</f>
        <v>121.45006855841413</v>
      </c>
      <c r="G32" s="326">
        <f>UTI!E38*1000</f>
        <v>5.060419523267254</v>
      </c>
    </row>
    <row r="33" spans="1:8" x14ac:dyDescent="0.3">
      <c r="A33" s="265" t="str">
        <f t="shared" si="4"/>
        <v>6 Slate Road</v>
      </c>
      <c r="B33" s="289" t="str">
        <f t="shared" si="4"/>
        <v>CSD Targus Distribution (Pty) Ltd</v>
      </c>
      <c r="C33" s="312">
        <f t="shared" si="4"/>
        <v>1883</v>
      </c>
      <c r="D33" s="291">
        <f>'CSD Targus'!B38*1000</f>
        <v>40562.40042485395</v>
      </c>
      <c r="E33" s="326">
        <f>'CSD Targus'!C38*1000</f>
        <v>3380.2000354044962</v>
      </c>
      <c r="F33" s="326">
        <f>'CSD Targus'!D38*1000</f>
        <v>112.67333451348321</v>
      </c>
      <c r="G33" s="326">
        <f>'CSD Targus'!E38*1000</f>
        <v>4.6947222713951335</v>
      </c>
    </row>
    <row r="34" spans="1:8" x14ac:dyDescent="0.3">
      <c r="A34" s="265" t="str">
        <f t="shared" si="4"/>
        <v>6 Slate Road</v>
      </c>
      <c r="B34" s="289" t="str">
        <f t="shared" si="4"/>
        <v>Uti Material Handling (Pty) Ltd</v>
      </c>
      <c r="C34" s="312">
        <f t="shared" si="4"/>
        <v>1569</v>
      </c>
      <c r="D34" s="291">
        <f>'UTI 2'!B38*1000</f>
        <v>11163.161249203315</v>
      </c>
      <c r="E34" s="326">
        <f>'UTI 2'!C38*1000</f>
        <v>930.26343743360962</v>
      </c>
      <c r="F34" s="326">
        <f>'UTI 2'!D38*1000</f>
        <v>31.008781247786988</v>
      </c>
      <c r="G34" s="326">
        <f>'UTI 2'!E38*1000</f>
        <v>1.2920325519911242</v>
      </c>
    </row>
    <row r="35" spans="1:8" x14ac:dyDescent="0.3">
      <c r="A35" s="265" t="str">
        <f t="shared" si="4"/>
        <v>1 Travertine</v>
      </c>
      <c r="B35" s="289" t="str">
        <f t="shared" si="4"/>
        <v>Alaris Antennas (formerly known as Poynting)</v>
      </c>
      <c r="C35" s="312">
        <f t="shared" si="4"/>
        <v>2594</v>
      </c>
      <c r="D35" s="291">
        <f>Alaris!B38*1000</f>
        <v>92770.239013107159</v>
      </c>
      <c r="E35" s="326">
        <f>Alaris!C38*1000</f>
        <v>7730.8532510922623</v>
      </c>
      <c r="F35" s="326">
        <f>Alaris!D38*1000</f>
        <v>257.69510836974212</v>
      </c>
      <c r="G35" s="326">
        <f>Alaris!E38*1000</f>
        <v>10.737296182072587</v>
      </c>
    </row>
    <row r="36" spans="1:8" x14ac:dyDescent="0.3">
      <c r="A36" s="294" t="str">
        <f t="shared" si="4"/>
        <v>2 Travertine</v>
      </c>
      <c r="B36" s="289" t="str">
        <f t="shared" si="4"/>
        <v>Elliot Mobility (Pty) Ltd</v>
      </c>
      <c r="C36" s="312">
        <f t="shared" si="4"/>
        <v>12584</v>
      </c>
      <c r="D36" s="291">
        <f>'Elliot Mobility 2 Travertine'!B38*1000</f>
        <v>17802.924348378896</v>
      </c>
      <c r="E36" s="326">
        <f>'Elliot Mobility 2 Travertine'!C38*1000</f>
        <v>1483.5770290315743</v>
      </c>
      <c r="F36" s="326">
        <f>'Elliot Mobility 2 Travertine'!D38*1000</f>
        <v>49.452567634385808</v>
      </c>
      <c r="G36" s="326">
        <f>'Elliot Mobility 2 Travertine'!E38*1000</f>
        <v>2.0605236514327423</v>
      </c>
    </row>
    <row r="37" spans="1:8" x14ac:dyDescent="0.3">
      <c r="A37" s="265" t="str">
        <f t="shared" si="4"/>
        <v>3 Travertine</v>
      </c>
      <c r="B37" s="289" t="str">
        <f t="shared" si="4"/>
        <v>Shoprite Checkers (Pty) Ltd T/A Checkers Food Service</v>
      </c>
      <c r="C37" s="290">
        <f t="shared" si="4"/>
        <v>8031</v>
      </c>
      <c r="D37" s="291">
        <f>Shoprite!B38*1000</f>
        <v>116562.69455858547</v>
      </c>
      <c r="E37" s="326">
        <f>Shoprite!C38*1000</f>
        <v>9713.5578798821225</v>
      </c>
      <c r="F37" s="326">
        <f>Shoprite!D38*1000</f>
        <v>323.78526266273747</v>
      </c>
      <c r="G37" s="326">
        <f>Shoprite!E38*1000</f>
        <v>13.491052610947392</v>
      </c>
    </row>
    <row r="38" spans="1:8" x14ac:dyDescent="0.3">
      <c r="A38" s="103" t="str">
        <f t="shared" si="4"/>
        <v>4 Travertine</v>
      </c>
      <c r="B38" s="289" t="str">
        <f t="shared" si="4"/>
        <v>Mazda Southern Africa (Pty) Ltd</v>
      </c>
      <c r="C38" s="324">
        <f>C17</f>
        <v>10593</v>
      </c>
      <c r="D38" s="291">
        <f>Mazda!B36*1000</f>
        <v>251369.00000000003</v>
      </c>
      <c r="E38" s="326">
        <f>Shoprite!C38*1000</f>
        <v>9713.5578798821225</v>
      </c>
      <c r="F38" s="326">
        <f>Shoprite!D38*1000</f>
        <v>323.78526266273747</v>
      </c>
      <c r="G38" s="326">
        <f>Shoprite!E38*1000</f>
        <v>13.491052610947392</v>
      </c>
    </row>
    <row r="39" spans="1:8" x14ac:dyDescent="0.3">
      <c r="A39" s="265" t="s">
        <v>40</v>
      </c>
      <c r="B39" s="289" t="str">
        <f>B18</f>
        <v>Elliot Mobility (Pty) Ltd</v>
      </c>
      <c r="C39" s="290">
        <f>C18</f>
        <v>12818</v>
      </c>
      <c r="D39" s="291">
        <f>'Elliot Mobility 5 Travertine'!B36*1000</f>
        <v>53051</v>
      </c>
      <c r="E39" s="326">
        <f>'Elliot Mobility 5 Travertine'!C36*1000</f>
        <v>4420.916666666667</v>
      </c>
      <c r="F39" s="326">
        <f>'Elliot Mobility 5 Travertine'!D36*1000</f>
        <v>147.36388888888891</v>
      </c>
      <c r="G39" s="326">
        <f>'Elliot Mobility 5 Travertine'!E36*1000</f>
        <v>6.1401620370370376</v>
      </c>
    </row>
    <row r="40" spans="1:8" x14ac:dyDescent="0.3">
      <c r="A40" s="265" t="str">
        <f>A19</f>
        <v>6 Travertine</v>
      </c>
      <c r="B40" s="289" t="str">
        <f>B19</f>
        <v>Tevo (Pty) Ltd</v>
      </c>
      <c r="C40" s="290">
        <f>C19</f>
        <v>7950</v>
      </c>
      <c r="D40" s="291">
        <f>Tevo!B38*1000</f>
        <v>45922.641509433968</v>
      </c>
      <c r="E40" s="326">
        <f>Tevo!C38*1000</f>
        <v>3826.8867924528308</v>
      </c>
      <c r="F40" s="326">
        <f>Tevo!D38*1000</f>
        <v>127.56289308176102</v>
      </c>
      <c r="G40" s="326">
        <f>Tevo!E38*1000</f>
        <v>5.3151205450733761</v>
      </c>
      <c r="H40" s="241"/>
    </row>
    <row r="41" spans="1:8" ht="19.5" thickBot="1" x14ac:dyDescent="0.35">
      <c r="A41" s="273" t="str">
        <f>A20</f>
        <v>5 Travertine</v>
      </c>
      <c r="B41" s="254" t="str">
        <f>B20</f>
        <v>IHL Medical</v>
      </c>
      <c r="C41" s="295">
        <f>C20</f>
        <v>12818</v>
      </c>
      <c r="D41" s="296">
        <f>'IHL Medical'!B38*1000</f>
        <v>35947.651739740984</v>
      </c>
      <c r="E41" s="327">
        <f>'IHL Medical'!C38*1000</f>
        <v>2995.6376449784157</v>
      </c>
      <c r="F41" s="327">
        <f>'IHL Medical'!D38*1000</f>
        <v>99.854588165947192</v>
      </c>
      <c r="G41" s="327">
        <f>'IHL Medical'!E38*1000</f>
        <v>4.1606078402477991</v>
      </c>
      <c r="H41" s="241"/>
    </row>
    <row r="42" spans="1:8" x14ac:dyDescent="0.3">
      <c r="C42" s="247"/>
      <c r="D42" s="241"/>
      <c r="E42" s="241"/>
      <c r="F42" s="241"/>
      <c r="G42" s="241"/>
      <c r="H42" s="241"/>
    </row>
  </sheetData>
  <mergeCells count="3">
    <mergeCell ref="D1:G1"/>
    <mergeCell ref="D22:G22"/>
    <mergeCell ref="N1:Q1"/>
  </mergeCells>
  <pageMargins left="0.70866141732283472" right="0.70866141732283472" top="0.74803149606299213" bottom="0.74803149606299213" header="0.31496062992125984" footer="0.31496062992125984"/>
  <pageSetup paperSize="9" scale="39" fitToHeight="2" orientation="landscape" r:id="rId1"/>
  <rowBreaks count="1" manualBreakCount="1">
    <brk id="1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6"/>
  <sheetViews>
    <sheetView topLeftCell="A27" zoomScale="73" zoomScaleNormal="73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16.7109375" style="90" customWidth="1"/>
    <col min="3" max="4" width="16" style="88" customWidth="1"/>
    <col min="5" max="5" width="15.85546875" style="88" bestFit="1" customWidth="1"/>
    <col min="6" max="12" width="16" style="88" customWidth="1"/>
    <col min="13" max="13" width="16.710937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7" width="0" style="89" hidden="1" customWidth="1"/>
    <col min="28" max="16384" width="9.140625" style="89"/>
  </cols>
  <sheetData>
    <row r="1" spans="1:24" ht="19.5" thickBot="1" x14ac:dyDescent="0.35">
      <c r="A1" s="76" t="str">
        <f>Complete!B18</f>
        <v>Tevo (Pty) Ltd</v>
      </c>
      <c r="B1" s="174"/>
      <c r="C1" s="175" t="str">
        <f>Complete!A18</f>
        <v>6 Travertine</v>
      </c>
    </row>
    <row r="2" spans="1:24" ht="19.5" thickBot="1" x14ac:dyDescent="0.35"/>
    <row r="3" spans="1:24" ht="19.5" thickBot="1" x14ac:dyDescent="0.35">
      <c r="A3" s="137" t="s">
        <v>3</v>
      </c>
      <c r="B3" s="176" t="s">
        <v>59</v>
      </c>
      <c r="C3" s="177" t="s">
        <v>60</v>
      </c>
      <c r="D3" s="176" t="s">
        <v>61</v>
      </c>
      <c r="E3" s="178" t="s">
        <v>62</v>
      </c>
      <c r="F3" s="178" t="s">
        <v>63</v>
      </c>
      <c r="G3" s="178" t="s">
        <v>64</v>
      </c>
      <c r="H3" s="178" t="s">
        <v>65</v>
      </c>
      <c r="I3" s="178" t="s">
        <v>66</v>
      </c>
      <c r="J3" s="178" t="s">
        <v>67</v>
      </c>
      <c r="K3" s="178" t="s">
        <v>68</v>
      </c>
      <c r="L3" s="178" t="s">
        <v>57</v>
      </c>
      <c r="M3" s="178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179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80" t="s">
        <v>69</v>
      </c>
      <c r="B5" s="104">
        <v>101.38</v>
      </c>
      <c r="C5" s="105">
        <v>100.49</v>
      </c>
      <c r="D5" s="106">
        <v>96</v>
      </c>
      <c r="E5" s="107">
        <v>95.99</v>
      </c>
      <c r="F5" s="107">
        <v>102.7</v>
      </c>
      <c r="G5" s="107">
        <v>113</v>
      </c>
      <c r="H5" s="107">
        <v>110.7</v>
      </c>
      <c r="I5" s="107">
        <v>109.25</v>
      </c>
      <c r="J5" s="107">
        <v>90.54</v>
      </c>
      <c r="K5" s="107">
        <v>95.75</v>
      </c>
      <c r="L5" s="107">
        <v>91.64</v>
      </c>
      <c r="M5" s="107">
        <v>93.25</v>
      </c>
      <c r="N5" s="100"/>
      <c r="O5" s="108">
        <f>SUM(B5:M5)</f>
        <v>1200.69</v>
      </c>
      <c r="P5" s="108">
        <f>O5/12</f>
        <v>100.0575</v>
      </c>
      <c r="Q5" s="108">
        <f>P5/30</f>
        <v>3.3352500000000003</v>
      </c>
      <c r="R5" s="108">
        <f>Q5/24</f>
        <v>0.13896875</v>
      </c>
      <c r="S5" s="89">
        <v>0</v>
      </c>
      <c r="T5" s="89">
        <v>0</v>
      </c>
      <c r="U5" s="89">
        <v>0</v>
      </c>
      <c r="V5" s="89">
        <v>0</v>
      </c>
      <c r="X5" s="108">
        <f>O5</f>
        <v>1200.69</v>
      </c>
    </row>
    <row r="6" spans="1:24" x14ac:dyDescent="0.3">
      <c r="A6" s="180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81" t="s">
        <v>6</v>
      </c>
      <c r="B7" s="110">
        <f>B5*B6</f>
        <v>15865.97</v>
      </c>
      <c r="C7" s="111">
        <f t="shared" ref="C7:M7" si="0">C6*C5</f>
        <v>15736.733999999999</v>
      </c>
      <c r="D7" s="112">
        <f t="shared" si="0"/>
        <v>15033.599999999999</v>
      </c>
      <c r="E7" s="113">
        <f t="shared" si="0"/>
        <v>15032.033999999998</v>
      </c>
      <c r="F7" s="113">
        <f t="shared" si="0"/>
        <v>16082.82</v>
      </c>
      <c r="G7" s="113">
        <f t="shared" si="0"/>
        <v>17695.8</v>
      </c>
      <c r="H7" s="113">
        <f t="shared" si="0"/>
        <v>17656.650000000001</v>
      </c>
      <c r="I7" s="113">
        <f t="shared" si="0"/>
        <v>17425.375</v>
      </c>
      <c r="J7" s="113">
        <f t="shared" si="0"/>
        <v>14441.130000000001</v>
      </c>
      <c r="K7" s="113">
        <f t="shared" si="0"/>
        <v>15272.125</v>
      </c>
      <c r="L7" s="113">
        <f t="shared" si="0"/>
        <v>14616.58</v>
      </c>
      <c r="M7" s="113">
        <f t="shared" si="0"/>
        <v>14873.375</v>
      </c>
      <c r="N7" s="114"/>
      <c r="O7" s="108"/>
      <c r="P7" s="108"/>
      <c r="Q7" s="108"/>
      <c r="R7" s="108"/>
    </row>
    <row r="8" spans="1:24" ht="19.5" thickTop="1" x14ac:dyDescent="0.3">
      <c r="A8" s="182" t="s">
        <v>75</v>
      </c>
      <c r="B8" s="124">
        <v>16.829000000000001</v>
      </c>
      <c r="C8" s="238">
        <v>18.553999999999998</v>
      </c>
      <c r="D8" s="124">
        <v>17.798999999999999</v>
      </c>
      <c r="E8" s="207">
        <v>13.837999999999999</v>
      </c>
      <c r="F8" s="207">
        <v>16.727</v>
      </c>
      <c r="G8" s="207">
        <v>17.509</v>
      </c>
      <c r="H8" s="207">
        <v>17.835000000000001</v>
      </c>
      <c r="I8" s="207">
        <v>18.768999999999998</v>
      </c>
      <c r="J8" s="207">
        <v>16.225000000000001</v>
      </c>
      <c r="K8" s="207">
        <v>17.378</v>
      </c>
      <c r="L8" s="207">
        <v>18.056999999999999</v>
      </c>
      <c r="M8" s="207">
        <v>15.741</v>
      </c>
      <c r="N8" s="100"/>
      <c r="O8" s="108">
        <f>SUM(B8:M8)</f>
        <v>205.26100000000002</v>
      </c>
      <c r="P8" s="108">
        <f>O8/12</f>
        <v>17.105083333333337</v>
      </c>
      <c r="Q8" s="108">
        <f>P8/30</f>
        <v>0.57016944444444451</v>
      </c>
      <c r="R8" s="108">
        <f>Q8/24</f>
        <v>2.3757060185185187E-2</v>
      </c>
    </row>
    <row r="9" spans="1:24" x14ac:dyDescent="0.3">
      <c r="A9" s="180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81"/>
      <c r="B10" s="322">
        <f>SUM(B8*B9)*1000</f>
        <v>12487.118</v>
      </c>
      <c r="C10" s="322">
        <f t="shared" ref="C10:M10" si="1">SUM(C8*C9)*1000</f>
        <v>13767.067999999997</v>
      </c>
      <c r="D10" s="322">
        <f t="shared" si="1"/>
        <v>13206.857999999998</v>
      </c>
      <c r="E10" s="322">
        <f t="shared" si="1"/>
        <v>10267.795999999998</v>
      </c>
      <c r="F10" s="322">
        <f t="shared" si="1"/>
        <v>12411.433999999999</v>
      </c>
      <c r="G10" s="322">
        <f t="shared" si="1"/>
        <v>20056.559499999999</v>
      </c>
      <c r="H10" s="322">
        <f t="shared" si="1"/>
        <v>20813.445</v>
      </c>
      <c r="I10" s="322">
        <f t="shared" si="1"/>
        <v>21903.422999999999</v>
      </c>
      <c r="J10" s="322">
        <f t="shared" si="1"/>
        <v>12266.100000000002</v>
      </c>
      <c r="K10" s="322">
        <f t="shared" si="1"/>
        <v>13137.768</v>
      </c>
      <c r="L10" s="322">
        <f t="shared" si="1"/>
        <v>13651.091999999999</v>
      </c>
      <c r="M10" s="322">
        <f t="shared" si="1"/>
        <v>11900.196</v>
      </c>
      <c r="N10" s="123"/>
      <c r="O10" s="108"/>
      <c r="P10" s="108"/>
      <c r="Q10" s="108"/>
      <c r="R10" s="108"/>
    </row>
    <row r="11" spans="1:24" ht="19.5" thickTop="1" x14ac:dyDescent="0.3">
      <c r="A11" s="182" t="s">
        <v>76</v>
      </c>
      <c r="B11" s="124">
        <v>3.831</v>
      </c>
      <c r="C11" s="238">
        <v>7.5529999999999999</v>
      </c>
      <c r="D11" s="124">
        <v>3.91</v>
      </c>
      <c r="E11" s="207">
        <v>5.3639999999999999</v>
      </c>
      <c r="F11" s="207">
        <v>6.2290000000000001</v>
      </c>
      <c r="G11" s="207">
        <v>7.2910000000000004</v>
      </c>
      <c r="H11" s="207">
        <v>7.6740000000000004</v>
      </c>
      <c r="I11" s="207">
        <v>8.1080000000000005</v>
      </c>
      <c r="J11" s="207">
        <v>6.827</v>
      </c>
      <c r="K11" s="207">
        <v>7.5490000000000004</v>
      </c>
      <c r="L11" s="207">
        <v>7.9029999999999996</v>
      </c>
      <c r="M11" s="207">
        <v>6.9290000000000003</v>
      </c>
      <c r="N11" s="100"/>
      <c r="O11" s="108">
        <f>SUM(B11:M11)</f>
        <v>79.168000000000006</v>
      </c>
      <c r="P11" s="108">
        <f>O11/12</f>
        <v>6.5973333333333342</v>
      </c>
      <c r="Q11" s="108">
        <f>P11/30</f>
        <v>0.21991111111111114</v>
      </c>
      <c r="R11" s="108">
        <f>Q11/24</f>
        <v>9.1629629629629648E-3</v>
      </c>
    </row>
    <row r="12" spans="1:24" x14ac:dyDescent="0.3">
      <c r="A12" s="180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81"/>
      <c r="B13" s="110">
        <f>SUM(B11*B12*1000)</f>
        <v>4601.0309999999999</v>
      </c>
      <c r="C13" s="110">
        <f t="shared" ref="C13:M13" si="2">SUM(C11*C12*1000)</f>
        <v>9071.1530000000002</v>
      </c>
      <c r="D13" s="110">
        <f t="shared" si="2"/>
        <v>4695.9100000000008</v>
      </c>
      <c r="E13" s="110">
        <f t="shared" si="2"/>
        <v>6442.1639999999998</v>
      </c>
      <c r="F13" s="110">
        <f t="shared" si="2"/>
        <v>7481.0290000000005</v>
      </c>
      <c r="G13" s="110">
        <f t="shared" si="2"/>
        <v>22864.576000000005</v>
      </c>
      <c r="H13" s="110">
        <f t="shared" si="2"/>
        <v>24518.43</v>
      </c>
      <c r="I13" s="110">
        <f t="shared" si="2"/>
        <v>25905.059999999998</v>
      </c>
      <c r="J13" s="110">
        <f t="shared" si="2"/>
        <v>8356.2479999999996</v>
      </c>
      <c r="K13" s="110">
        <f t="shared" si="2"/>
        <v>9239.9760000000006</v>
      </c>
      <c r="L13" s="110">
        <f t="shared" si="2"/>
        <v>9673.271999999999</v>
      </c>
      <c r="M13" s="110">
        <f t="shared" si="2"/>
        <v>8481.0960000000014</v>
      </c>
      <c r="N13" s="123"/>
      <c r="O13" s="108"/>
      <c r="P13" s="108"/>
      <c r="Q13" s="108"/>
      <c r="R13" s="108"/>
    </row>
    <row r="14" spans="1:24" ht="19.5" thickTop="1" x14ac:dyDescent="0.3">
      <c r="A14" s="182" t="s">
        <v>77</v>
      </c>
      <c r="B14" s="124">
        <v>5.5190000000000001</v>
      </c>
      <c r="C14" s="118">
        <v>9.4139999999999997</v>
      </c>
      <c r="D14" s="119">
        <v>5.2370000000000001</v>
      </c>
      <c r="E14" s="120">
        <v>5.1050000000000004</v>
      </c>
      <c r="F14" s="120">
        <v>4.8719999999999999</v>
      </c>
      <c r="G14" s="120">
        <v>5.0549999999999997</v>
      </c>
      <c r="H14" s="120">
        <v>6.8719999999999999</v>
      </c>
      <c r="I14" s="120">
        <v>6.3940000000000001</v>
      </c>
      <c r="J14" s="120">
        <v>5.7519999999999998</v>
      </c>
      <c r="K14" s="120">
        <v>5.4459999999999997</v>
      </c>
      <c r="L14" s="120">
        <v>10.535</v>
      </c>
      <c r="M14" s="120">
        <v>10.455</v>
      </c>
      <c r="N14" s="100"/>
      <c r="O14" s="108">
        <f>SUM(B14:M14)</f>
        <v>80.655999999999992</v>
      </c>
      <c r="P14" s="108">
        <f>O14/12</f>
        <v>6.7213333333333329</v>
      </c>
      <c r="Q14" s="108">
        <f>P14/30</f>
        <v>0.22404444444444443</v>
      </c>
      <c r="R14" s="108">
        <f>Q14/24</f>
        <v>9.3351851851851842E-3</v>
      </c>
    </row>
    <row r="15" spans="1:24" x14ac:dyDescent="0.3">
      <c r="A15" s="180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81"/>
      <c r="B16" s="110">
        <f>SUM(B14*B15)*1000</f>
        <v>2897.4749999999999</v>
      </c>
      <c r="C16" s="110">
        <f t="shared" ref="C16:M16" si="3">SUM(C14*C15)*1000</f>
        <v>4942.3500000000004</v>
      </c>
      <c r="D16" s="110">
        <f t="shared" si="3"/>
        <v>2749.4250000000002</v>
      </c>
      <c r="E16" s="110">
        <f t="shared" si="3"/>
        <v>2680.1250000000005</v>
      </c>
      <c r="F16" s="110">
        <f t="shared" si="3"/>
        <v>2557.7999999999997</v>
      </c>
      <c r="G16" s="110">
        <f t="shared" si="3"/>
        <v>3083.5499999999997</v>
      </c>
      <c r="H16" s="110">
        <f t="shared" si="3"/>
        <v>4274.3839999999991</v>
      </c>
      <c r="I16" s="110">
        <f t="shared" si="3"/>
        <v>3977.0680000000002</v>
      </c>
      <c r="J16" s="110">
        <f t="shared" si="3"/>
        <v>3077.32</v>
      </c>
      <c r="K16" s="110">
        <f t="shared" si="3"/>
        <v>2913.6099999999997</v>
      </c>
      <c r="L16" s="110">
        <f t="shared" si="3"/>
        <v>5636.2250000000004</v>
      </c>
      <c r="M16" s="110">
        <f t="shared" si="3"/>
        <v>5593.4250000000011</v>
      </c>
      <c r="N16" s="123"/>
      <c r="O16" s="108"/>
      <c r="P16" s="108"/>
      <c r="Q16" s="108"/>
      <c r="R16" s="108"/>
    </row>
    <row r="17" spans="1:18" ht="19.5" thickTop="1" x14ac:dyDescent="0.3">
      <c r="A17" s="183" t="s">
        <v>2</v>
      </c>
      <c r="B17" s="125">
        <v>2942.86</v>
      </c>
      <c r="C17" s="126">
        <v>2800.2</v>
      </c>
      <c r="D17" s="125">
        <v>3497.05</v>
      </c>
      <c r="E17" s="127">
        <v>2909.94</v>
      </c>
      <c r="F17" s="127">
        <v>3310.49</v>
      </c>
      <c r="G17" s="127">
        <v>3233.67</v>
      </c>
      <c r="H17" s="127">
        <v>4251.74</v>
      </c>
      <c r="I17" s="127">
        <v>604.79999999999995</v>
      </c>
      <c r="J17" s="127">
        <v>4154.9799999999996</v>
      </c>
      <c r="K17" s="127">
        <v>4229.57</v>
      </c>
      <c r="L17" s="127">
        <v>3858.62</v>
      </c>
      <c r="M17" s="127">
        <v>3675.17</v>
      </c>
      <c r="N17" s="100"/>
      <c r="O17" s="108">
        <f>SUM(B17:M17)</f>
        <v>39469.089999999997</v>
      </c>
      <c r="P17" s="108">
        <f>O17/12</f>
        <v>3289.0908333333332</v>
      </c>
      <c r="Q17" s="108">
        <f>P17/30</f>
        <v>109.6363611111111</v>
      </c>
      <c r="R17" s="108">
        <f>Q17/24</f>
        <v>4.5681817129629625</v>
      </c>
    </row>
    <row r="18" spans="1:18" x14ac:dyDescent="0.3">
      <c r="A18" s="184" t="s">
        <v>1</v>
      </c>
      <c r="B18" s="128">
        <v>876.9</v>
      </c>
      <c r="C18" s="126">
        <v>834.4</v>
      </c>
      <c r="D18" s="128">
        <v>1042.04</v>
      </c>
      <c r="E18" s="129">
        <v>867.1</v>
      </c>
      <c r="F18" s="129">
        <v>134.41</v>
      </c>
      <c r="G18" s="129">
        <v>963.56</v>
      </c>
      <c r="H18" s="129">
        <v>1267.51</v>
      </c>
      <c r="I18" s="129">
        <v>180.3</v>
      </c>
      <c r="J18" s="129">
        <v>1238.6600000000001</v>
      </c>
      <c r="K18" s="129">
        <v>1260.9000000000001</v>
      </c>
      <c r="L18" s="129">
        <v>1150.31</v>
      </c>
      <c r="M18" s="129">
        <v>1095.6199999999999</v>
      </c>
      <c r="N18" s="100"/>
      <c r="O18" s="108">
        <f>SUM(B18:M18)</f>
        <v>10911.71</v>
      </c>
      <c r="P18" s="108">
        <f>O18/12</f>
        <v>909.30916666666656</v>
      </c>
      <c r="Q18" s="108">
        <f>P18/30</f>
        <v>30.310305555555551</v>
      </c>
      <c r="R18" s="108">
        <f>Q18/24</f>
        <v>1.262929398148148</v>
      </c>
    </row>
    <row r="19" spans="1:18" x14ac:dyDescent="0.3">
      <c r="A19" s="184" t="s">
        <v>0</v>
      </c>
      <c r="B19" s="128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18" ht="19.5" thickBot="1" x14ac:dyDescent="0.35">
      <c r="A20" s="185" t="s">
        <v>10</v>
      </c>
      <c r="B20" s="132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18" ht="19.5" thickBot="1" x14ac:dyDescent="0.35"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18" ht="19.5" thickBot="1" x14ac:dyDescent="0.35">
      <c r="A22" s="186" t="s">
        <v>81</v>
      </c>
      <c r="B22" s="314">
        <f>B8+B11+B14</f>
        <v>26.179000000000002</v>
      </c>
      <c r="C22" s="314">
        <f>C8+C11+C14</f>
        <v>35.521000000000001</v>
      </c>
      <c r="D22" s="314">
        <f t="shared" ref="D22:M22" si="4">D8+D11+D14</f>
        <v>26.945999999999998</v>
      </c>
      <c r="E22" s="314">
        <f t="shared" si="4"/>
        <v>24.306999999999999</v>
      </c>
      <c r="F22" s="314">
        <f t="shared" si="4"/>
        <v>27.827999999999999</v>
      </c>
      <c r="G22" s="314">
        <f t="shared" si="4"/>
        <v>29.855</v>
      </c>
      <c r="H22" s="314">
        <f t="shared" si="4"/>
        <v>32.381</v>
      </c>
      <c r="I22" s="314">
        <f t="shared" si="4"/>
        <v>33.271000000000001</v>
      </c>
      <c r="J22" s="314">
        <f t="shared" si="4"/>
        <v>28.803999999999998</v>
      </c>
      <c r="K22" s="314">
        <f t="shared" si="4"/>
        <v>30.372999999999998</v>
      </c>
      <c r="L22" s="314">
        <f t="shared" si="4"/>
        <v>36.494999999999997</v>
      </c>
      <c r="M22" s="314">
        <f t="shared" si="4"/>
        <v>33.125</v>
      </c>
      <c r="N22" s="138"/>
      <c r="O22" s="108">
        <f>SUM(B22:M22)</f>
        <v>365.08499999999998</v>
      </c>
      <c r="P22" s="108">
        <f>O22/12</f>
        <v>30.423749999999998</v>
      </c>
      <c r="Q22" s="108">
        <f>P22/30</f>
        <v>1.0141249999999999</v>
      </c>
      <c r="R22" s="108">
        <f>Q22/24</f>
        <v>4.2255208333333329E-2</v>
      </c>
    </row>
    <row r="23" spans="1:18" s="115" customFormat="1" ht="19.5" thickBot="1" x14ac:dyDescent="0.35">
      <c r="A23" s="115" t="s">
        <v>12</v>
      </c>
      <c r="B23" s="140">
        <f>B16+B13+B10+B17+B18+B19+B20+B7</f>
        <v>40027.644</v>
      </c>
      <c r="C23" s="141">
        <f t="shared" ref="C23:M23" si="5">C16+C13+C10+C17+C18+C19+C20+C7</f>
        <v>47508.195</v>
      </c>
      <c r="D23" s="140">
        <f t="shared" si="5"/>
        <v>40581.172999999995</v>
      </c>
      <c r="E23" s="142">
        <f t="shared" si="5"/>
        <v>38555.448999999993</v>
      </c>
      <c r="F23" s="142">
        <f t="shared" si="5"/>
        <v>42334.273000000001</v>
      </c>
      <c r="G23" s="142">
        <f t="shared" si="5"/>
        <v>68254.005499999999</v>
      </c>
      <c r="H23" s="142">
        <f t="shared" si="5"/>
        <v>73153.119000000006</v>
      </c>
      <c r="I23" s="142">
        <f t="shared" si="5"/>
        <v>70366.986000000004</v>
      </c>
      <c r="J23" s="142">
        <f t="shared" si="5"/>
        <v>43905.398000000001</v>
      </c>
      <c r="K23" s="142">
        <f t="shared" si="5"/>
        <v>46424.909</v>
      </c>
      <c r="L23" s="142">
        <f>L16+L13+L10+L17+L18+L19+L20+L7</f>
        <v>48957.059000000001</v>
      </c>
      <c r="M23" s="142">
        <f t="shared" si="5"/>
        <v>45989.842000000004</v>
      </c>
      <c r="N23" s="90"/>
    </row>
    <row r="24" spans="1:18" s="115" customFormat="1" x14ac:dyDescent="0.3"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1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18" s="115" customFormat="1" x14ac:dyDescent="0.3"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18" ht="19.5" thickBot="1" x14ac:dyDescent="0.35"/>
    <row r="28" spans="1:18" ht="19.5" thickBot="1" x14ac:dyDescent="0.35">
      <c r="A28" s="187" t="s">
        <v>53</v>
      </c>
      <c r="B28" s="145" t="s">
        <v>54</v>
      </c>
      <c r="C28" s="147" t="s">
        <v>44</v>
      </c>
      <c r="D28" s="147" t="s">
        <v>45</v>
      </c>
      <c r="E28" s="147" t="s">
        <v>46</v>
      </c>
    </row>
    <row r="29" spans="1:18" ht="19.5" thickBot="1" x14ac:dyDescent="0.35">
      <c r="A29" s="148" t="s">
        <v>43</v>
      </c>
      <c r="B29" s="149">
        <f>Complete!D18</f>
        <v>7950</v>
      </c>
      <c r="C29" s="151">
        <f>B29</f>
        <v>7950</v>
      </c>
      <c r="D29" s="151">
        <f>C29</f>
        <v>7950</v>
      </c>
      <c r="E29" s="151">
        <f>D29</f>
        <v>7950</v>
      </c>
    </row>
    <row r="30" spans="1:18" ht="19.5" thickBot="1" x14ac:dyDescent="0.35">
      <c r="B30" s="143"/>
      <c r="G30" s="88" t="s">
        <v>11</v>
      </c>
    </row>
    <row r="31" spans="1:18" ht="19.5" thickBot="1" x14ac:dyDescent="0.35">
      <c r="A31" s="188" t="s">
        <v>72</v>
      </c>
      <c r="B31" s="153">
        <f>O5</f>
        <v>1200.69</v>
      </c>
      <c r="C31" s="154">
        <f>P5</f>
        <v>100.0575</v>
      </c>
      <c r="D31" s="154">
        <f>Q5</f>
        <v>3.3352500000000003</v>
      </c>
      <c r="E31" s="154">
        <f>R5</f>
        <v>0.13896875</v>
      </c>
      <c r="F31" s="143"/>
    </row>
    <row r="32" spans="1:18" x14ac:dyDescent="0.3">
      <c r="A32" s="116" t="s">
        <v>5</v>
      </c>
      <c r="B32" s="124">
        <f>O8</f>
        <v>205.26100000000002</v>
      </c>
      <c r="C32" s="207">
        <f>P8</f>
        <v>17.105083333333337</v>
      </c>
      <c r="D32" s="207">
        <f>Q8</f>
        <v>0.57016944444444451</v>
      </c>
      <c r="E32" s="207">
        <f>R8</f>
        <v>2.3757060185185187E-2</v>
      </c>
      <c r="F32" s="143"/>
    </row>
    <row r="33" spans="1:12" x14ac:dyDescent="0.3">
      <c r="A33" s="103" t="s">
        <v>48</v>
      </c>
      <c r="B33" s="104">
        <f>O11</f>
        <v>79.168000000000006</v>
      </c>
      <c r="C33" s="206">
        <f>P11</f>
        <v>6.5973333333333342</v>
      </c>
      <c r="D33" s="206">
        <f>Q11</f>
        <v>0.21991111111111114</v>
      </c>
      <c r="E33" s="206">
        <f>R11</f>
        <v>9.1629629629629648E-3</v>
      </c>
      <c r="F33" s="143"/>
    </row>
    <row r="34" spans="1:12" ht="19.5" thickBot="1" x14ac:dyDescent="0.35">
      <c r="A34" s="131" t="s">
        <v>9</v>
      </c>
      <c r="B34" s="319">
        <f>O14</f>
        <v>80.655999999999992</v>
      </c>
      <c r="C34" s="315">
        <f>P14</f>
        <v>6.7213333333333329</v>
      </c>
      <c r="D34" s="315">
        <f>Q14</f>
        <v>0.22404444444444443</v>
      </c>
      <c r="E34" s="315">
        <f>R14</f>
        <v>9.3351851851851842E-3</v>
      </c>
      <c r="F34" s="143"/>
    </row>
    <row r="35" spans="1:12" ht="19.5" thickBot="1" x14ac:dyDescent="0.35">
      <c r="B35" s="155"/>
      <c r="C35" s="155"/>
      <c r="D35" s="155"/>
      <c r="E35" s="155"/>
      <c r="F35" s="143"/>
    </row>
    <row r="36" spans="1:12" ht="19.5" thickBot="1" x14ac:dyDescent="0.35">
      <c r="A36" s="186" t="s">
        <v>73</v>
      </c>
      <c r="B36" s="314">
        <f>SUM(B32:B34)</f>
        <v>365.08500000000004</v>
      </c>
      <c r="C36" s="314">
        <f>SUM(C32:C34)</f>
        <v>30.423750000000005</v>
      </c>
      <c r="D36" s="314">
        <f>SUM(D32:D34)</f>
        <v>1.0141250000000002</v>
      </c>
      <c r="E36" s="314">
        <f>SUM(E32:E34)</f>
        <v>4.2255208333333336E-2</v>
      </c>
      <c r="F36" s="143"/>
    </row>
    <row r="37" spans="1:12" ht="19.5" thickBot="1" x14ac:dyDescent="0.35">
      <c r="B37" s="155"/>
      <c r="C37" s="155"/>
      <c r="D37" s="155"/>
      <c r="E37" s="155"/>
      <c r="F37" s="143"/>
    </row>
    <row r="38" spans="1:12" ht="19.5" thickBot="1" x14ac:dyDescent="0.35">
      <c r="A38" s="189" t="s">
        <v>47</v>
      </c>
      <c r="B38" s="190">
        <f>B36/B29*1000</f>
        <v>45.922641509433966</v>
      </c>
      <c r="C38" s="190">
        <f>C36/C29*1000</f>
        <v>3.8268867924528309</v>
      </c>
      <c r="D38" s="190">
        <f>D36/D29*1000</f>
        <v>0.12756289308176103</v>
      </c>
      <c r="E38" s="190">
        <f>E36/E29*1000</f>
        <v>5.3151205450733758E-3</v>
      </c>
      <c r="F38" s="143"/>
    </row>
    <row r="39" spans="1:12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12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12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12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12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12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12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12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12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12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160.89994532531441</v>
      </c>
      <c r="C76" s="168">
        <f t="shared" si="6"/>
        <v>153.10005467468562</v>
      </c>
      <c r="D76" s="168">
        <f t="shared" si="6"/>
        <v>191.20010934937125</v>
      </c>
      <c r="E76" s="168">
        <f t="shared" si="6"/>
        <v>159.10005467468562</v>
      </c>
      <c r="F76" s="168">
        <f t="shared" si="6"/>
        <v>181</v>
      </c>
      <c r="G76" s="168">
        <f t="shared" si="6"/>
        <v>176.79989065062878</v>
      </c>
      <c r="H76" s="168">
        <f t="shared" ref="H76:M76" si="7">H17/20.16</f>
        <v>210.89980158730157</v>
      </c>
      <c r="I76" s="168">
        <f t="shared" si="7"/>
        <v>29.999999999999996</v>
      </c>
      <c r="J76" s="168">
        <f t="shared" si="7"/>
        <v>206.10019841269838</v>
      </c>
      <c r="K76" s="168">
        <f t="shared" si="7"/>
        <v>209.80009920634919</v>
      </c>
      <c r="L76" s="168">
        <f t="shared" si="7"/>
        <v>191.39980158730157</v>
      </c>
      <c r="M76" s="169">
        <f t="shared" si="7"/>
        <v>182.30009920634922</v>
      </c>
      <c r="N76" s="170">
        <f>SUM(B76:M76)</f>
        <v>2052.6000546746855</v>
      </c>
      <c r="O76" s="195">
        <f>SUM(C76:N76)</f>
        <v>3944.3001640240564</v>
      </c>
      <c r="P76" s="196">
        <f>O76</f>
        <v>3944.3001640240564</v>
      </c>
      <c r="Q76" s="197">
        <f>P76/12</f>
        <v>328.69168033533805</v>
      </c>
      <c r="R76" s="197">
        <f>Q76/30</f>
        <v>10.956389344511269</v>
      </c>
      <c r="S76" s="198">
        <f>R76/24</f>
        <v>0.45651622268796954</v>
      </c>
    </row>
  </sheetData>
  <mergeCells count="1">
    <mergeCell ref="A39:L53"/>
  </mergeCells>
  <pageMargins left="1" right="1" top="1" bottom="1" header="0.5" footer="0.5"/>
  <pageSetup paperSize="9" scale="40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>
      <selection activeCell="F9" sqref="F9"/>
    </sheetView>
  </sheetViews>
  <sheetFormatPr defaultRowHeight="15.75" x14ac:dyDescent="0.25"/>
  <cols>
    <col min="1" max="1" width="29.140625" style="5" customWidth="1"/>
    <col min="2" max="2" width="16.7109375" style="3" customWidth="1"/>
    <col min="3" max="4" width="16" style="4" customWidth="1"/>
    <col min="5" max="5" width="13.28515625" style="4" bestFit="1" customWidth="1"/>
    <col min="6" max="12" width="16" style="4" customWidth="1"/>
    <col min="13" max="14" width="16.7109375" style="4" customWidth="1"/>
    <col min="15" max="15" width="12.28515625" style="5" customWidth="1"/>
    <col min="16" max="16" width="14.7109375" style="5" customWidth="1"/>
    <col min="17" max="17" width="12.42578125" style="5" customWidth="1"/>
    <col min="18" max="18" width="14" style="5" customWidth="1"/>
    <col min="19" max="22" width="9.42578125" style="5" bestFit="1" customWidth="1"/>
    <col min="23" max="23" width="9.140625" style="5"/>
    <col min="24" max="24" width="9.42578125" style="5" bestFit="1" customWidth="1"/>
    <col min="25" max="16384" width="9.140625" style="5"/>
  </cols>
  <sheetData>
    <row r="1" spans="1:24" x14ac:dyDescent="0.25">
      <c r="A1" s="2" t="str">
        <f>Complete!B3</f>
        <v>Eli Lilly South Africa (Pty) Ltd</v>
      </c>
      <c r="C1" s="2" t="str">
        <f>Complete!A3</f>
        <v>1 Quartz Close</v>
      </c>
    </row>
    <row r="2" spans="1:24" ht="16.5" thickBot="1" x14ac:dyDescent="0.3"/>
    <row r="3" spans="1:24" ht="16.5" thickBot="1" x14ac:dyDescent="0.3">
      <c r="A3" s="6" t="s">
        <v>3</v>
      </c>
      <c r="B3" s="7" t="s">
        <v>59</v>
      </c>
      <c r="C3" s="8" t="s">
        <v>60</v>
      </c>
      <c r="D3" s="7" t="s">
        <v>61</v>
      </c>
      <c r="E3" s="9" t="s">
        <v>62</v>
      </c>
      <c r="F3" s="9" t="s">
        <v>63</v>
      </c>
      <c r="G3" s="9" t="s">
        <v>64</v>
      </c>
      <c r="H3" s="9" t="s">
        <v>65</v>
      </c>
      <c r="I3" s="9" t="s">
        <v>66</v>
      </c>
      <c r="J3" s="9" t="s">
        <v>67</v>
      </c>
      <c r="K3" s="9" t="s">
        <v>68</v>
      </c>
      <c r="L3" s="9" t="s">
        <v>57</v>
      </c>
      <c r="M3" s="9" t="s">
        <v>58</v>
      </c>
      <c r="N3" s="10" t="s">
        <v>71</v>
      </c>
      <c r="O3" s="11" t="s">
        <v>52</v>
      </c>
      <c r="P3" s="11" t="s">
        <v>49</v>
      </c>
      <c r="Q3" s="11" t="s">
        <v>50</v>
      </c>
      <c r="R3" s="11" t="s">
        <v>51</v>
      </c>
      <c r="S3" s="12" t="s">
        <v>74</v>
      </c>
    </row>
    <row r="4" spans="1:24" x14ac:dyDescent="0.25">
      <c r="A4" s="13" t="s">
        <v>11</v>
      </c>
      <c r="B4" s="14" t="s">
        <v>11</v>
      </c>
      <c r="C4" s="15"/>
      <c r="D4" s="16"/>
      <c r="E4" s="17"/>
      <c r="F4" s="17"/>
      <c r="G4" s="17"/>
      <c r="H4" s="17"/>
      <c r="I4" s="17"/>
      <c r="J4" s="17"/>
      <c r="K4" s="17"/>
      <c r="L4" s="17"/>
      <c r="M4" s="17"/>
    </row>
    <row r="5" spans="1:24" x14ac:dyDescent="0.25">
      <c r="A5" s="18" t="s">
        <v>69</v>
      </c>
      <c r="B5" s="19"/>
      <c r="C5" s="20"/>
      <c r="D5" s="21"/>
      <c r="E5" s="22"/>
      <c r="F5" s="22"/>
      <c r="G5" s="22"/>
      <c r="H5" s="22"/>
      <c r="I5" s="22"/>
      <c r="J5" s="22"/>
      <c r="K5" s="22"/>
      <c r="L5" s="22"/>
      <c r="M5" s="22"/>
      <c r="N5" s="15"/>
      <c r="O5" s="23">
        <f>SUM(B5:M5)</f>
        <v>0</v>
      </c>
      <c r="P5" s="23">
        <f>O5/12</f>
        <v>0</v>
      </c>
      <c r="Q5" s="23">
        <f>P5/30</f>
        <v>0</v>
      </c>
      <c r="R5" s="23">
        <f>Q5/24</f>
        <v>0</v>
      </c>
      <c r="S5" s="5">
        <v>0</v>
      </c>
      <c r="T5" s="5">
        <v>0</v>
      </c>
      <c r="U5" s="5">
        <v>0</v>
      </c>
      <c r="V5" s="5">
        <v>0</v>
      </c>
      <c r="X5" s="23">
        <f>O5</f>
        <v>0</v>
      </c>
    </row>
    <row r="6" spans="1:24" x14ac:dyDescent="0.25">
      <c r="A6" s="18" t="s">
        <v>4</v>
      </c>
      <c r="B6" s="19">
        <v>156.5</v>
      </c>
      <c r="C6" s="20">
        <v>156.6</v>
      </c>
      <c r="D6" s="21">
        <v>156.6</v>
      </c>
      <c r="E6" s="22">
        <v>156.6</v>
      </c>
      <c r="F6" s="22">
        <v>156.6</v>
      </c>
      <c r="G6" s="22">
        <v>156.6</v>
      </c>
      <c r="H6" s="22">
        <v>159.5</v>
      </c>
      <c r="I6" s="22">
        <v>159.5</v>
      </c>
      <c r="J6" s="22">
        <v>159.5</v>
      </c>
      <c r="K6" s="22">
        <v>159.5</v>
      </c>
      <c r="L6" s="22">
        <v>159.5</v>
      </c>
      <c r="M6" s="22">
        <v>159.5</v>
      </c>
      <c r="N6" s="15"/>
      <c r="O6" s="23"/>
      <c r="P6" s="23"/>
      <c r="Q6" s="23"/>
      <c r="R6" s="23"/>
    </row>
    <row r="7" spans="1:24" s="30" customFormat="1" ht="16.5" thickBot="1" x14ac:dyDescent="0.3">
      <c r="A7" s="24" t="s">
        <v>6</v>
      </c>
      <c r="B7" s="25">
        <f>B5*B6</f>
        <v>0</v>
      </c>
      <c r="C7" s="26">
        <f t="shared" ref="C7:M7" si="0">C6*C5</f>
        <v>0</v>
      </c>
      <c r="D7" s="27">
        <f t="shared" si="0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9"/>
      <c r="O7" s="23"/>
      <c r="P7" s="23"/>
      <c r="Q7" s="23"/>
      <c r="R7" s="23"/>
    </row>
    <row r="8" spans="1:24" ht="16.5" thickTop="1" x14ac:dyDescent="0.25">
      <c r="A8" s="31" t="s">
        <v>75</v>
      </c>
      <c r="B8" s="32"/>
      <c r="C8" s="33"/>
      <c r="D8" s="34"/>
      <c r="E8" s="35"/>
      <c r="F8" s="35"/>
      <c r="G8" s="35"/>
      <c r="H8" s="35"/>
      <c r="I8" s="35"/>
      <c r="J8" s="35"/>
      <c r="K8" s="35"/>
      <c r="L8" s="35"/>
      <c r="M8" s="35"/>
      <c r="N8" s="15"/>
      <c r="O8" s="23">
        <f>SUM(B8:M8)</f>
        <v>0</v>
      </c>
      <c r="P8" s="23">
        <f>O8/12</f>
        <v>0</v>
      </c>
      <c r="Q8" s="23">
        <f>P8/30</f>
        <v>0</v>
      </c>
      <c r="R8" s="23">
        <f>Q8/24</f>
        <v>0</v>
      </c>
    </row>
    <row r="9" spans="1:24" x14ac:dyDescent="0.25">
      <c r="A9" s="18" t="s">
        <v>7</v>
      </c>
      <c r="B9" s="19">
        <v>0.74199999999999999</v>
      </c>
      <c r="C9" s="20">
        <v>0.74199999999999999</v>
      </c>
      <c r="D9" s="21">
        <v>0.74199999999999999</v>
      </c>
      <c r="E9" s="22">
        <v>0.74199999999999999</v>
      </c>
      <c r="F9" s="22">
        <v>0.74199999999999999</v>
      </c>
      <c r="G9" s="22">
        <v>1.1455</v>
      </c>
      <c r="H9" s="22">
        <v>1.167</v>
      </c>
      <c r="I9" s="22">
        <v>1.167</v>
      </c>
      <c r="J9" s="22">
        <v>0.75600000000000001</v>
      </c>
      <c r="K9" s="22">
        <v>0.75600000000000001</v>
      </c>
      <c r="L9" s="22">
        <v>0.75600000000000001</v>
      </c>
      <c r="M9" s="22">
        <v>0.75600000000000001</v>
      </c>
      <c r="N9" s="15"/>
      <c r="O9" s="23"/>
      <c r="P9" s="23"/>
      <c r="Q9" s="23"/>
      <c r="R9" s="23"/>
    </row>
    <row r="10" spans="1:24" s="30" customFormat="1" ht="16.5" thickBot="1" x14ac:dyDescent="0.3">
      <c r="A10" s="24"/>
      <c r="B10" s="25">
        <f>B8*B9</f>
        <v>0</v>
      </c>
      <c r="C10" s="36">
        <f t="shared" ref="C10:M10" si="1">C8*C9</f>
        <v>0</v>
      </c>
      <c r="D10" s="25">
        <f t="shared" si="1"/>
        <v>0</v>
      </c>
      <c r="E10" s="37">
        <f t="shared" si="1"/>
        <v>0</v>
      </c>
      <c r="F10" s="37">
        <f t="shared" si="1"/>
        <v>0</v>
      </c>
      <c r="G10" s="37">
        <f t="shared" si="1"/>
        <v>0</v>
      </c>
      <c r="H10" s="37">
        <f t="shared" si="1"/>
        <v>0</v>
      </c>
      <c r="I10" s="37">
        <f t="shared" si="1"/>
        <v>0</v>
      </c>
      <c r="J10" s="37">
        <f t="shared" si="1"/>
        <v>0</v>
      </c>
      <c r="K10" s="37">
        <f t="shared" si="1"/>
        <v>0</v>
      </c>
      <c r="L10" s="37">
        <f t="shared" si="1"/>
        <v>0</v>
      </c>
      <c r="M10" s="37">
        <f t="shared" si="1"/>
        <v>0</v>
      </c>
      <c r="N10" s="38"/>
      <c r="O10" s="23"/>
      <c r="P10" s="23"/>
      <c r="Q10" s="23"/>
      <c r="R10" s="23"/>
    </row>
    <row r="11" spans="1:24" ht="16.5" thickTop="1" x14ac:dyDescent="0.25">
      <c r="A11" s="31" t="s">
        <v>76</v>
      </c>
      <c r="B11" s="39"/>
      <c r="C11" s="33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15"/>
      <c r="O11" s="23">
        <f>SUM(B11:M11)</f>
        <v>0</v>
      </c>
      <c r="P11" s="23">
        <f>O11/12</f>
        <v>0</v>
      </c>
      <c r="Q11" s="23">
        <f>P11/30</f>
        <v>0</v>
      </c>
      <c r="R11" s="23">
        <f>Q11/24</f>
        <v>0</v>
      </c>
    </row>
    <row r="12" spans="1:24" x14ac:dyDescent="0.25">
      <c r="A12" s="18" t="s">
        <v>8</v>
      </c>
      <c r="B12" s="19">
        <v>1.2010000000000001</v>
      </c>
      <c r="C12" s="20">
        <v>1.2010000000000001</v>
      </c>
      <c r="D12" s="21">
        <v>1.2010000000000001</v>
      </c>
      <c r="E12" s="22">
        <v>1.2010000000000001</v>
      </c>
      <c r="F12" s="22">
        <v>1.2010000000000001</v>
      </c>
      <c r="G12" s="22">
        <v>3.1360000000000001</v>
      </c>
      <c r="H12" s="22">
        <v>3.1949999999999998</v>
      </c>
      <c r="I12" s="22">
        <v>3.1949999999999998</v>
      </c>
      <c r="J12" s="22">
        <v>1.224</v>
      </c>
      <c r="K12" s="22">
        <v>1.224</v>
      </c>
      <c r="L12" s="22">
        <v>1.224</v>
      </c>
      <c r="M12" s="22">
        <v>1.224</v>
      </c>
      <c r="N12" s="15"/>
      <c r="O12" s="23"/>
      <c r="P12" s="23"/>
      <c r="Q12" s="23"/>
      <c r="R12" s="23"/>
    </row>
    <row r="13" spans="1:24" s="30" customFormat="1" ht="16.5" thickBot="1" x14ac:dyDescent="0.3">
      <c r="A13" s="24"/>
      <c r="B13" s="25">
        <f>B11*B12</f>
        <v>0</v>
      </c>
      <c r="C13" s="36">
        <f t="shared" ref="C13:M13" si="2">C11*C12</f>
        <v>0</v>
      </c>
      <c r="D13" s="25">
        <f t="shared" si="2"/>
        <v>0</v>
      </c>
      <c r="E13" s="37">
        <f t="shared" si="2"/>
        <v>0</v>
      </c>
      <c r="F13" s="37">
        <f t="shared" si="2"/>
        <v>0</v>
      </c>
      <c r="G13" s="37">
        <f t="shared" si="2"/>
        <v>0</v>
      </c>
      <c r="H13" s="37">
        <f t="shared" si="2"/>
        <v>0</v>
      </c>
      <c r="I13" s="37">
        <f t="shared" si="2"/>
        <v>0</v>
      </c>
      <c r="J13" s="37">
        <f t="shared" si="2"/>
        <v>0</v>
      </c>
      <c r="K13" s="37">
        <f t="shared" si="2"/>
        <v>0</v>
      </c>
      <c r="L13" s="37">
        <f t="shared" si="2"/>
        <v>0</v>
      </c>
      <c r="M13" s="37">
        <f t="shared" si="2"/>
        <v>0</v>
      </c>
      <c r="N13" s="38"/>
      <c r="O13" s="23"/>
      <c r="P13" s="23"/>
      <c r="Q13" s="23"/>
      <c r="R13" s="23"/>
    </row>
    <row r="14" spans="1:24" ht="16.5" thickTop="1" x14ac:dyDescent="0.25">
      <c r="A14" s="31" t="s">
        <v>77</v>
      </c>
      <c r="B14" s="39"/>
      <c r="C14" s="33"/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15"/>
      <c r="O14" s="23">
        <f>SUM(B14:M14)</f>
        <v>0</v>
      </c>
      <c r="P14" s="23">
        <f>O14/12</f>
        <v>0</v>
      </c>
      <c r="Q14" s="23">
        <f>P14/30</f>
        <v>0</v>
      </c>
      <c r="R14" s="23">
        <f>Q14/24</f>
        <v>0</v>
      </c>
    </row>
    <row r="15" spans="1:24" x14ac:dyDescent="0.25">
      <c r="A15" s="18" t="s">
        <v>70</v>
      </c>
      <c r="B15" s="19">
        <v>0.52500000000000002</v>
      </c>
      <c r="C15" s="20">
        <v>0.52500000000000002</v>
      </c>
      <c r="D15" s="21">
        <v>0.52500000000000002</v>
      </c>
      <c r="E15" s="22">
        <v>0.52500000000000002</v>
      </c>
      <c r="F15" s="22">
        <v>0.52500000000000002</v>
      </c>
      <c r="G15" s="22">
        <v>0.61</v>
      </c>
      <c r="H15" s="22">
        <v>0.622</v>
      </c>
      <c r="I15" s="22">
        <v>0.622</v>
      </c>
      <c r="J15" s="22">
        <v>0.53500000000000003</v>
      </c>
      <c r="K15" s="22">
        <v>0.53500000000000003</v>
      </c>
      <c r="L15" s="22">
        <v>0.53500000000000003</v>
      </c>
      <c r="M15" s="22">
        <v>0.53500000000000003</v>
      </c>
      <c r="N15" s="15"/>
      <c r="O15" s="23"/>
      <c r="P15" s="23"/>
      <c r="Q15" s="23"/>
      <c r="R15" s="23"/>
    </row>
    <row r="16" spans="1:24" s="30" customFormat="1" ht="16.5" thickBot="1" x14ac:dyDescent="0.3">
      <c r="A16" s="24"/>
      <c r="B16" s="25">
        <f>B14*B15</f>
        <v>0</v>
      </c>
      <c r="C16" s="40">
        <f t="shared" ref="C16:M16" si="3">C14*C15</f>
        <v>0</v>
      </c>
      <c r="D16" s="25">
        <f t="shared" si="3"/>
        <v>0</v>
      </c>
      <c r="E16" s="37">
        <f t="shared" si="3"/>
        <v>0</v>
      </c>
      <c r="F16" s="37">
        <f t="shared" si="3"/>
        <v>0</v>
      </c>
      <c r="G16" s="37">
        <f t="shared" si="3"/>
        <v>0</v>
      </c>
      <c r="H16" s="37">
        <f t="shared" si="3"/>
        <v>0</v>
      </c>
      <c r="I16" s="37">
        <f t="shared" si="3"/>
        <v>0</v>
      </c>
      <c r="J16" s="37">
        <f t="shared" si="3"/>
        <v>0</v>
      </c>
      <c r="K16" s="37">
        <f t="shared" si="3"/>
        <v>0</v>
      </c>
      <c r="L16" s="37">
        <f t="shared" si="3"/>
        <v>0</v>
      </c>
      <c r="M16" s="37">
        <f t="shared" si="3"/>
        <v>0</v>
      </c>
      <c r="N16" s="38"/>
      <c r="O16" s="23"/>
      <c r="P16" s="23"/>
      <c r="Q16" s="23"/>
      <c r="R16" s="23"/>
    </row>
    <row r="17" spans="1:18" ht="16.5" thickTop="1" x14ac:dyDescent="0.25">
      <c r="A17" s="41" t="s">
        <v>2</v>
      </c>
      <c r="B17" s="42"/>
      <c r="C17" s="33"/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15"/>
      <c r="O17" s="23">
        <f>SUM(B17:M17)</f>
        <v>0</v>
      </c>
      <c r="P17" s="23">
        <f>O17/12</f>
        <v>0</v>
      </c>
      <c r="Q17" s="23">
        <f>P17/30</f>
        <v>0</v>
      </c>
      <c r="R17" s="23">
        <f>Q17/24</f>
        <v>0</v>
      </c>
    </row>
    <row r="18" spans="1:18" x14ac:dyDescent="0.25">
      <c r="A18" s="43" t="s">
        <v>1</v>
      </c>
      <c r="B18" s="44"/>
      <c r="C18" s="33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15"/>
      <c r="O18" s="23">
        <f>SUM(B18:M18)</f>
        <v>0</v>
      </c>
      <c r="P18" s="23">
        <f>O18/12</f>
        <v>0</v>
      </c>
      <c r="Q18" s="23">
        <f>P18/30</f>
        <v>0</v>
      </c>
      <c r="R18" s="23">
        <f>Q18/24</f>
        <v>0</v>
      </c>
    </row>
    <row r="19" spans="1:18" x14ac:dyDescent="0.25">
      <c r="A19" s="43" t="s">
        <v>0</v>
      </c>
      <c r="B19" s="44">
        <v>134.41</v>
      </c>
      <c r="C19" s="20">
        <v>134.41</v>
      </c>
      <c r="D19" s="21">
        <v>134.41</v>
      </c>
      <c r="E19" s="22">
        <v>134.41</v>
      </c>
      <c r="F19" s="22">
        <v>134.41</v>
      </c>
      <c r="G19" s="22">
        <v>134.41</v>
      </c>
      <c r="H19" s="22">
        <v>144.49</v>
      </c>
      <c r="I19" s="22">
        <v>144.49</v>
      </c>
      <c r="J19" s="22">
        <v>144.49</v>
      </c>
      <c r="K19" s="22">
        <v>144.49</v>
      </c>
      <c r="L19" s="22">
        <v>144.49</v>
      </c>
      <c r="M19" s="22">
        <v>144.49</v>
      </c>
      <c r="N19" s="15"/>
      <c r="O19" s="23">
        <f>SUM(B19:M19)</f>
        <v>1673.4</v>
      </c>
      <c r="P19" s="23">
        <f>O19/12</f>
        <v>139.45000000000002</v>
      </c>
      <c r="Q19" s="23">
        <f>P19/30</f>
        <v>4.6483333333333343</v>
      </c>
      <c r="R19" s="23">
        <f>Q19/24</f>
        <v>0.19368055555555561</v>
      </c>
    </row>
    <row r="20" spans="1:18" ht="16.5" thickBot="1" x14ac:dyDescent="0.3">
      <c r="A20" s="45" t="s">
        <v>10</v>
      </c>
      <c r="B20" s="46">
        <v>221.88</v>
      </c>
      <c r="C20" s="47">
        <v>221.88</v>
      </c>
      <c r="D20" s="48">
        <v>221.88</v>
      </c>
      <c r="E20" s="49">
        <v>221.88</v>
      </c>
      <c r="F20" s="49">
        <v>221.88</v>
      </c>
      <c r="G20" s="49">
        <v>221.88</v>
      </c>
      <c r="H20" s="49">
        <v>226.47</v>
      </c>
      <c r="I20" s="49">
        <v>226.47</v>
      </c>
      <c r="J20" s="49">
        <v>226.47</v>
      </c>
      <c r="K20" s="49">
        <v>226.47</v>
      </c>
      <c r="L20" s="49">
        <v>226.47</v>
      </c>
      <c r="M20" s="49">
        <v>226.47</v>
      </c>
      <c r="N20" s="15"/>
      <c r="O20" s="23">
        <f>SUM(B20:M20)</f>
        <v>2690.1</v>
      </c>
      <c r="P20" s="23">
        <f>O20/12</f>
        <v>224.17499999999998</v>
      </c>
      <c r="Q20" s="23">
        <f>P20/30</f>
        <v>7.4724999999999993</v>
      </c>
      <c r="R20" s="23">
        <f>Q20/24</f>
        <v>0.31135416666666665</v>
      </c>
    </row>
    <row r="21" spans="1:18" ht="16.5" thickBot="1" x14ac:dyDescent="0.3">
      <c r="B21" s="50"/>
      <c r="C21" s="15"/>
      <c r="D21" s="16"/>
      <c r="E21" s="17"/>
      <c r="F21" s="17"/>
      <c r="G21" s="17"/>
      <c r="H21" s="17"/>
      <c r="I21" s="17"/>
      <c r="J21" s="17"/>
      <c r="K21" s="17"/>
      <c r="L21" s="17"/>
      <c r="M21" s="17"/>
      <c r="O21" s="23"/>
      <c r="P21" s="23"/>
      <c r="Q21" s="23"/>
      <c r="R21" s="23"/>
    </row>
    <row r="22" spans="1:18" ht="16.5" thickBot="1" x14ac:dyDescent="0.3">
      <c r="A22" s="6" t="s">
        <v>78</v>
      </c>
      <c r="B22" s="51">
        <f>B8+B11+B14</f>
        <v>0</v>
      </c>
      <c r="C22" s="51">
        <f>C8+C11+C14</f>
        <v>0</v>
      </c>
      <c r="D22" s="51">
        <f t="shared" ref="D22:M22" si="4">D8+D11+D14</f>
        <v>0</v>
      </c>
      <c r="E22" s="51">
        <f t="shared" si="4"/>
        <v>0</v>
      </c>
      <c r="F22" s="51">
        <f t="shared" si="4"/>
        <v>0</v>
      </c>
      <c r="G22" s="51">
        <f t="shared" si="4"/>
        <v>0</v>
      </c>
      <c r="H22" s="51">
        <f t="shared" si="4"/>
        <v>0</v>
      </c>
      <c r="I22" s="51">
        <f t="shared" si="4"/>
        <v>0</v>
      </c>
      <c r="J22" s="51">
        <f t="shared" si="4"/>
        <v>0</v>
      </c>
      <c r="K22" s="51">
        <f t="shared" si="4"/>
        <v>0</v>
      </c>
      <c r="L22" s="51">
        <f t="shared" si="4"/>
        <v>0</v>
      </c>
      <c r="M22" s="51">
        <f t="shared" si="4"/>
        <v>0</v>
      </c>
      <c r="N22" s="52"/>
      <c r="O22" s="23">
        <f>SUM(B22:M22)</f>
        <v>0</v>
      </c>
      <c r="P22" s="23">
        <f>O22/12</f>
        <v>0</v>
      </c>
      <c r="Q22" s="23">
        <f>P22/30</f>
        <v>0</v>
      </c>
      <c r="R22" s="23">
        <f>Q22/24</f>
        <v>0</v>
      </c>
    </row>
    <row r="23" spans="1:18" s="30" customFormat="1" ht="16.5" thickBot="1" x14ac:dyDescent="0.3">
      <c r="A23" s="30" t="s">
        <v>12</v>
      </c>
      <c r="B23" s="53">
        <f>B16+B13+B10+B17+B18+B19+B20+B7</f>
        <v>356.28999999999996</v>
      </c>
      <c r="C23" s="54">
        <f t="shared" ref="C23:M23" si="5">C16+C13+C10+C17+C18+C19+C20+C7</f>
        <v>356.28999999999996</v>
      </c>
      <c r="D23" s="53">
        <f t="shared" si="5"/>
        <v>356.28999999999996</v>
      </c>
      <c r="E23" s="55">
        <f t="shared" si="5"/>
        <v>356.28999999999996</v>
      </c>
      <c r="F23" s="55">
        <f t="shared" si="5"/>
        <v>356.28999999999996</v>
      </c>
      <c r="G23" s="55">
        <f t="shared" si="5"/>
        <v>356.28999999999996</v>
      </c>
      <c r="H23" s="55">
        <f t="shared" si="5"/>
        <v>370.96000000000004</v>
      </c>
      <c r="I23" s="55">
        <f t="shared" si="5"/>
        <v>370.96000000000004</v>
      </c>
      <c r="J23" s="55">
        <f t="shared" si="5"/>
        <v>370.96000000000004</v>
      </c>
      <c r="K23" s="55">
        <f t="shared" si="5"/>
        <v>370.96000000000004</v>
      </c>
      <c r="L23" s="55">
        <f>L16+L13+L10+L17+L18+L19+L20+L7</f>
        <v>370.96000000000004</v>
      </c>
      <c r="M23" s="55">
        <f t="shared" si="5"/>
        <v>370.96000000000004</v>
      </c>
      <c r="N23" s="3"/>
    </row>
    <row r="24" spans="1:18" s="30" customFormat="1" x14ac:dyDescent="0.25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"/>
    </row>
    <row r="25" spans="1:18" s="30" customFormat="1" x14ac:dyDescent="0.25">
      <c r="A25" s="30" t="s">
        <v>79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3"/>
    </row>
    <row r="26" spans="1:18" s="30" customFormat="1" x14ac:dyDescent="0.25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"/>
    </row>
    <row r="27" spans="1:18" ht="16.5" thickBot="1" x14ac:dyDescent="0.3"/>
    <row r="28" spans="1:18" ht="16.5" thickBot="1" x14ac:dyDescent="0.3">
      <c r="A28" s="56" t="s">
        <v>53</v>
      </c>
      <c r="B28" s="57" t="s">
        <v>54</v>
      </c>
      <c r="C28" s="58" t="s">
        <v>44</v>
      </c>
      <c r="D28" s="58" t="s">
        <v>45</v>
      </c>
      <c r="E28" s="58" t="s">
        <v>46</v>
      </c>
    </row>
    <row r="29" spans="1:18" ht="16.5" thickBot="1" x14ac:dyDescent="0.3">
      <c r="A29" s="59" t="s">
        <v>43</v>
      </c>
      <c r="B29" s="60">
        <f>Complete!D3</f>
        <v>2092</v>
      </c>
      <c r="C29" s="61">
        <f>B29</f>
        <v>2092</v>
      </c>
      <c r="D29" s="61">
        <f>C29</f>
        <v>2092</v>
      </c>
      <c r="E29" s="61">
        <f>D29</f>
        <v>2092</v>
      </c>
    </row>
    <row r="30" spans="1:18" ht="16.5" thickBot="1" x14ac:dyDescent="0.3">
      <c r="B30" s="62"/>
      <c r="G30" s="4" t="s">
        <v>11</v>
      </c>
    </row>
    <row r="31" spans="1:18" ht="16.5" thickBot="1" x14ac:dyDescent="0.3">
      <c r="A31" s="73" t="s">
        <v>72</v>
      </c>
      <c r="B31" s="74">
        <f>O5</f>
        <v>0</v>
      </c>
      <c r="C31" s="75">
        <f>P5</f>
        <v>0</v>
      </c>
      <c r="D31" s="75">
        <f>Q5</f>
        <v>0</v>
      </c>
      <c r="E31" s="75">
        <f>R5</f>
        <v>0</v>
      </c>
      <c r="F31" s="62"/>
    </row>
    <row r="32" spans="1:18" x14ac:dyDescent="0.25">
      <c r="A32" s="71" t="s">
        <v>5</v>
      </c>
      <c r="B32" s="32">
        <f>O8</f>
        <v>0</v>
      </c>
      <c r="C32" s="72">
        <f>P8</f>
        <v>0</v>
      </c>
      <c r="D32" s="72">
        <f>Q8</f>
        <v>0</v>
      </c>
      <c r="E32" s="72">
        <f>R8</f>
        <v>0</v>
      </c>
      <c r="F32" s="62"/>
    </row>
    <row r="33" spans="1:6" x14ac:dyDescent="0.25">
      <c r="A33" s="63" t="s">
        <v>48</v>
      </c>
      <c r="B33" s="1">
        <f>O11</f>
        <v>0</v>
      </c>
      <c r="C33" s="64">
        <f>P11</f>
        <v>0</v>
      </c>
      <c r="D33" s="64">
        <f>Q11</f>
        <v>0</v>
      </c>
      <c r="E33" s="64">
        <f>R11</f>
        <v>0</v>
      </c>
      <c r="F33" s="62"/>
    </row>
    <row r="34" spans="1:6" ht="16.5" thickBot="1" x14ac:dyDescent="0.3">
      <c r="A34" s="65" t="s">
        <v>9</v>
      </c>
      <c r="B34" s="66">
        <f>O14</f>
        <v>0</v>
      </c>
      <c r="C34" s="67">
        <f>P14</f>
        <v>0</v>
      </c>
      <c r="D34" s="67">
        <f>Q14</f>
        <v>0</v>
      </c>
      <c r="E34" s="67">
        <f>R14</f>
        <v>0</v>
      </c>
      <c r="F34" s="62"/>
    </row>
    <row r="35" spans="1:6" ht="16.5" thickBot="1" x14ac:dyDescent="0.3">
      <c r="B35" s="68"/>
      <c r="C35" s="68"/>
      <c r="D35" s="68"/>
      <c r="E35" s="68"/>
      <c r="F35" s="62"/>
    </row>
    <row r="36" spans="1:6" ht="16.5" thickBot="1" x14ac:dyDescent="0.3">
      <c r="A36" s="6" t="s">
        <v>73</v>
      </c>
      <c r="B36" s="51">
        <f>SUM(B32:B34)</f>
        <v>0</v>
      </c>
      <c r="C36" s="51">
        <f>SUM(C32:C34)</f>
        <v>0</v>
      </c>
      <c r="D36" s="51">
        <f>SUM(D32:D34)</f>
        <v>0</v>
      </c>
      <c r="E36" s="51">
        <f>SUM(E32:E34)</f>
        <v>0</v>
      </c>
      <c r="F36" s="62"/>
    </row>
    <row r="37" spans="1:6" ht="16.5" thickBot="1" x14ac:dyDescent="0.3">
      <c r="B37" s="68"/>
      <c r="C37" s="68"/>
      <c r="D37" s="68"/>
      <c r="E37" s="68"/>
      <c r="F37" s="62"/>
    </row>
    <row r="38" spans="1:6" ht="16.5" thickBot="1" x14ac:dyDescent="0.3">
      <c r="A38" s="70" t="s">
        <v>47</v>
      </c>
      <c r="B38" s="69">
        <f>B36/B29</f>
        <v>0</v>
      </c>
      <c r="C38" s="69">
        <f>C36/C29</f>
        <v>0</v>
      </c>
      <c r="D38" s="69">
        <f>D36/D29</f>
        <v>0</v>
      </c>
      <c r="E38" s="69">
        <f>E36/E29</f>
        <v>0</v>
      </c>
      <c r="F38" s="6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opLeftCell="A56" zoomScale="50" zoomScaleNormal="50" workbookViewId="0">
      <selection activeCell="K95" sqref="K95"/>
    </sheetView>
  </sheetViews>
  <sheetFormatPr defaultRowHeight="18.75" x14ac:dyDescent="0.3"/>
  <cols>
    <col min="1" max="1" width="9.140625" style="241"/>
    <col min="2" max="2" width="57.28515625" style="241" customWidth="1"/>
    <col min="3" max="13" width="24.7109375" style="241" customWidth="1"/>
    <col min="14" max="16384" width="9.140625" style="241"/>
  </cols>
  <sheetData>
    <row r="1" spans="1:13" x14ac:dyDescent="0.3">
      <c r="A1" s="87"/>
      <c r="B1" s="87"/>
      <c r="C1" s="87"/>
      <c r="D1" s="240"/>
      <c r="E1" s="240"/>
      <c r="F1" s="240"/>
      <c r="G1" s="240"/>
      <c r="H1" s="240"/>
    </row>
    <row r="2" spans="1:13" x14ac:dyDescent="0.3">
      <c r="C2" s="240"/>
      <c r="D2" s="240"/>
      <c r="E2" s="240"/>
      <c r="F2" s="240"/>
      <c r="G2" s="240"/>
      <c r="H2" s="240"/>
    </row>
    <row r="3" spans="1:13" x14ac:dyDescent="0.3">
      <c r="A3" s="242"/>
      <c r="B3" s="242"/>
      <c r="C3" s="243"/>
      <c r="D3" s="243"/>
      <c r="E3" s="244"/>
      <c r="F3" s="244"/>
      <c r="G3" s="244"/>
      <c r="H3" s="244"/>
      <c r="I3" s="245"/>
      <c r="J3" s="245"/>
      <c r="K3" s="245"/>
      <c r="L3" s="245"/>
      <c r="M3" s="245"/>
    </row>
    <row r="24" spans="1:3" x14ac:dyDescent="0.3">
      <c r="C24" s="246"/>
    </row>
    <row r="25" spans="1:3" x14ac:dyDescent="0.3">
      <c r="C25" s="246"/>
    </row>
    <row r="26" spans="1:3" x14ac:dyDescent="0.3">
      <c r="C26" s="246"/>
    </row>
    <row r="27" spans="1:3" x14ac:dyDescent="0.3">
      <c r="C27" s="246"/>
    </row>
    <row r="28" spans="1:3" x14ac:dyDescent="0.3">
      <c r="A28" s="247"/>
      <c r="C28" s="246"/>
    </row>
    <row r="29" spans="1:3" x14ac:dyDescent="0.3">
      <c r="C29" s="246"/>
    </row>
    <row r="30" spans="1:3" x14ac:dyDescent="0.3">
      <c r="C30" s="246"/>
    </row>
    <row r="31" spans="1:3" x14ac:dyDescent="0.3">
      <c r="A31" s="248"/>
      <c r="C31" s="249"/>
    </row>
    <row r="32" spans="1:3" x14ac:dyDescent="0.3">
      <c r="C32" s="249"/>
    </row>
    <row r="33" spans="1:7" x14ac:dyDescent="0.3">
      <c r="C33" s="249"/>
    </row>
    <row r="34" spans="1:7" x14ac:dyDescent="0.3">
      <c r="C34" s="249"/>
    </row>
    <row r="35" spans="1:7" x14ac:dyDescent="0.3">
      <c r="C35" s="249"/>
    </row>
    <row r="36" spans="1:7" x14ac:dyDescent="0.3">
      <c r="A36" s="245"/>
      <c r="C36" s="249"/>
    </row>
    <row r="37" spans="1:7" x14ac:dyDescent="0.3">
      <c r="C37" s="246"/>
    </row>
    <row r="38" spans="1:7" x14ac:dyDescent="0.3">
      <c r="A38" s="250"/>
      <c r="C38" s="246"/>
      <c r="D38" s="251"/>
      <c r="E38" s="251"/>
      <c r="F38" s="251"/>
      <c r="G38" s="251"/>
    </row>
    <row r="39" spans="1:7" x14ac:dyDescent="0.3">
      <c r="C39" s="246"/>
      <c r="D39" s="251"/>
      <c r="E39" s="251"/>
      <c r="F39" s="251"/>
      <c r="G39" s="251"/>
    </row>
    <row r="40" spans="1:7" x14ac:dyDescent="0.3">
      <c r="C40" s="246"/>
      <c r="D40" s="252"/>
      <c r="E40" s="251"/>
      <c r="F40" s="251"/>
      <c r="G40" s="251"/>
    </row>
    <row r="41" spans="1:7" x14ac:dyDescent="0.3">
      <c r="C41" s="246"/>
      <c r="E41" s="251"/>
      <c r="F41" s="251"/>
      <c r="G41" s="25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39" zoomScale="71" zoomScaleNormal="71" workbookViewId="0">
      <selection activeCell="A60" sqref="A60"/>
    </sheetView>
  </sheetViews>
  <sheetFormatPr defaultRowHeight="18.75" x14ac:dyDescent="0.3"/>
  <cols>
    <col min="1" max="1" width="26.425781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8" width="17.7109375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Complete!B3</f>
        <v>Eli Lilly South Africa (Pty) Ltd</v>
      </c>
      <c r="B1" s="79"/>
      <c r="C1" s="86" t="str">
        <f>Complete!A3</f>
        <v>1 Quartz Close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77.5</v>
      </c>
      <c r="C5" s="105">
        <v>74.569999999999993</v>
      </c>
      <c r="D5" s="106">
        <v>69.97</v>
      </c>
      <c r="E5" s="107">
        <v>72.180000000000007</v>
      </c>
      <c r="F5" s="107">
        <v>55.95</v>
      </c>
      <c r="G5" s="107">
        <v>45.15</v>
      </c>
      <c r="H5" s="107">
        <v>47.74</v>
      </c>
      <c r="I5" s="107">
        <v>55.48</v>
      </c>
      <c r="J5" s="107">
        <v>68.13</v>
      </c>
      <c r="K5" s="107">
        <v>64.099999999999994</v>
      </c>
      <c r="L5" s="107">
        <v>81.44</v>
      </c>
      <c r="M5" s="107">
        <v>80.53</v>
      </c>
      <c r="N5" s="100"/>
      <c r="O5" s="108">
        <f>SUM(B5:M5)</f>
        <v>792.74</v>
      </c>
      <c r="P5" s="108">
        <f>O5/12</f>
        <v>66.061666666666667</v>
      </c>
      <c r="Q5" s="108">
        <f>P5/30</f>
        <v>2.2020555555555554</v>
      </c>
      <c r="R5" s="108">
        <f>Q5/24</f>
        <v>9.1752314814814814E-2</v>
      </c>
      <c r="S5" s="89">
        <v>637</v>
      </c>
      <c r="T5" s="89">
        <v>53</v>
      </c>
      <c r="U5" s="89">
        <v>2</v>
      </c>
      <c r="V5" s="89">
        <v>0</v>
      </c>
      <c r="X5" s="108">
        <f>O5</f>
        <v>792.74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12128.75</v>
      </c>
      <c r="C7" s="111">
        <f t="shared" ref="C7:M7" si="0">C6*C5</f>
        <v>11677.661999999998</v>
      </c>
      <c r="D7" s="112">
        <f t="shared" si="0"/>
        <v>10957.302</v>
      </c>
      <c r="E7" s="113">
        <f t="shared" si="0"/>
        <v>11303.388000000001</v>
      </c>
      <c r="F7" s="113">
        <f t="shared" si="0"/>
        <v>8761.77</v>
      </c>
      <c r="G7" s="113">
        <f t="shared" si="0"/>
        <v>7070.49</v>
      </c>
      <c r="H7" s="113">
        <f t="shared" si="0"/>
        <v>7614.5300000000007</v>
      </c>
      <c r="I7" s="113">
        <f t="shared" si="0"/>
        <v>8849.06</v>
      </c>
      <c r="J7" s="113">
        <f t="shared" si="0"/>
        <v>10866.734999999999</v>
      </c>
      <c r="K7" s="113">
        <f t="shared" si="0"/>
        <v>10223.949999999999</v>
      </c>
      <c r="L7" s="113">
        <f t="shared" si="0"/>
        <v>12989.68</v>
      </c>
      <c r="M7" s="113">
        <f t="shared" si="0"/>
        <v>12844.535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10.849</v>
      </c>
      <c r="C8" s="238">
        <v>10.439</v>
      </c>
      <c r="D8" s="124">
        <v>11.374000000000001</v>
      </c>
      <c r="E8" s="207">
        <v>6.883</v>
      </c>
      <c r="F8" s="207">
        <v>7.1859999999999999</v>
      </c>
      <c r="G8" s="207">
        <v>6.5259999999999998</v>
      </c>
      <c r="H8" s="207">
        <v>6.3810000000000002</v>
      </c>
      <c r="I8" s="207">
        <v>7.1619999999999999</v>
      </c>
      <c r="J8" s="207">
        <v>9.4130000000000003</v>
      </c>
      <c r="K8" s="207">
        <v>8.8130000000000006</v>
      </c>
      <c r="L8" s="207">
        <v>10.315</v>
      </c>
      <c r="M8" s="207">
        <v>8.6479999999999997</v>
      </c>
      <c r="N8" s="100"/>
      <c r="O8" s="108">
        <f>SUM(B8:M8)</f>
        <v>103.989</v>
      </c>
      <c r="P8" s="108">
        <f>O8/12</f>
        <v>8.665750000000001</v>
      </c>
      <c r="Q8" s="108">
        <f>P8/30</f>
        <v>0.28885833333333338</v>
      </c>
      <c r="R8" s="108">
        <f>Q8/24</f>
        <v>1.2035763888888891E-2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8049.9580000000005</v>
      </c>
      <c r="C10" s="322">
        <f t="shared" ref="C10:M10" si="1">SUM(C8*C9)*1000</f>
        <v>7745.7380000000003</v>
      </c>
      <c r="D10" s="322">
        <f t="shared" si="1"/>
        <v>8439.5079999999998</v>
      </c>
      <c r="E10" s="322">
        <f t="shared" si="1"/>
        <v>5107.1859999999997</v>
      </c>
      <c r="F10" s="322">
        <f t="shared" si="1"/>
        <v>5332.0119999999997</v>
      </c>
      <c r="G10" s="322">
        <f t="shared" si="1"/>
        <v>7475.5329999999994</v>
      </c>
      <c r="H10" s="322">
        <f t="shared" si="1"/>
        <v>7446.6270000000004</v>
      </c>
      <c r="I10" s="322">
        <f t="shared" si="1"/>
        <v>8358.0540000000001</v>
      </c>
      <c r="J10" s="322">
        <f t="shared" si="1"/>
        <v>7116.2280000000001</v>
      </c>
      <c r="K10" s="322">
        <f t="shared" si="1"/>
        <v>6662.6280000000006</v>
      </c>
      <c r="L10" s="322">
        <f t="shared" si="1"/>
        <v>7798.14</v>
      </c>
      <c r="M10" s="322">
        <f t="shared" si="1"/>
        <v>6537.8879999999999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3.91</v>
      </c>
      <c r="D11" s="124">
        <v>3.91</v>
      </c>
      <c r="E11" s="207">
        <v>2.3820000000000001</v>
      </c>
      <c r="F11" s="207">
        <v>2.585</v>
      </c>
      <c r="G11" s="207">
        <v>2.4780000000000002</v>
      </c>
      <c r="H11" s="207">
        <v>2.577</v>
      </c>
      <c r="I11" s="207">
        <v>2.7509999999999999</v>
      </c>
      <c r="J11" s="207">
        <v>3.13</v>
      </c>
      <c r="K11" s="207">
        <v>3.1720000000000002</v>
      </c>
      <c r="L11" s="207">
        <v>3.6160000000000001</v>
      </c>
      <c r="M11" s="207">
        <v>3.0070000000000001</v>
      </c>
      <c r="N11" s="100"/>
      <c r="O11" s="108">
        <f>SUM(B11:M11)</f>
        <v>37.349000000000004</v>
      </c>
      <c r="P11" s="108">
        <f>O11/12</f>
        <v>3.1124166666666668</v>
      </c>
      <c r="Q11" s="108">
        <f>P11/30</f>
        <v>0.10374722222222223</v>
      </c>
      <c r="R11" s="108">
        <f>Q11/24</f>
        <v>4.3228009259259261E-3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4695.9100000000008</v>
      </c>
      <c r="D13" s="110">
        <f t="shared" si="2"/>
        <v>4695.9100000000008</v>
      </c>
      <c r="E13" s="110">
        <f t="shared" si="2"/>
        <v>2860.7820000000002</v>
      </c>
      <c r="F13" s="110">
        <f t="shared" si="2"/>
        <v>3104.585</v>
      </c>
      <c r="G13" s="110">
        <f t="shared" si="2"/>
        <v>7771.0080000000007</v>
      </c>
      <c r="H13" s="110">
        <f t="shared" si="2"/>
        <v>8233.5149999999994</v>
      </c>
      <c r="I13" s="110">
        <f t="shared" si="2"/>
        <v>8789.4449999999997</v>
      </c>
      <c r="J13" s="110">
        <f t="shared" si="2"/>
        <v>3831.12</v>
      </c>
      <c r="K13" s="110">
        <f t="shared" si="2"/>
        <v>3882.5280000000002</v>
      </c>
      <c r="L13" s="110">
        <f t="shared" si="2"/>
        <v>4425.9839999999995</v>
      </c>
      <c r="M13" s="110">
        <f t="shared" si="2"/>
        <v>3680.5680000000002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8.8789999999999996</v>
      </c>
      <c r="C14" s="118">
        <v>8.0809999999999995</v>
      </c>
      <c r="D14" s="119">
        <v>7.4489999999999998</v>
      </c>
      <c r="E14" s="120">
        <v>5.7050000000000001</v>
      </c>
      <c r="F14" s="120">
        <v>3.944</v>
      </c>
      <c r="G14" s="120">
        <v>3.2389999999999999</v>
      </c>
      <c r="H14" s="120">
        <v>4.0209999999999999</v>
      </c>
      <c r="I14" s="120">
        <v>3.806</v>
      </c>
      <c r="J14" s="120">
        <v>6.1950000000000003</v>
      </c>
      <c r="K14" s="120">
        <v>5.516</v>
      </c>
      <c r="L14" s="120">
        <v>5.8869999999999996</v>
      </c>
      <c r="M14" s="120">
        <v>8.9719999999999995</v>
      </c>
      <c r="N14" s="100"/>
      <c r="O14" s="108">
        <f>SUM(B14:M14)</f>
        <v>71.693999999999988</v>
      </c>
      <c r="P14" s="108">
        <f>O14/12</f>
        <v>5.974499999999999</v>
      </c>
      <c r="Q14" s="108">
        <f>P14/30</f>
        <v>0.19914999999999997</v>
      </c>
      <c r="R14" s="108">
        <f>Q14/24</f>
        <v>8.2979166666666652E-3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4661.4750000000004</v>
      </c>
      <c r="C16" s="110">
        <f t="shared" ref="C16:M16" si="3">SUM(C14*C15)*1000</f>
        <v>4242.5249999999996</v>
      </c>
      <c r="D16" s="110">
        <f t="shared" si="3"/>
        <v>3910.7250000000004</v>
      </c>
      <c r="E16" s="110">
        <f t="shared" si="3"/>
        <v>2995.1250000000005</v>
      </c>
      <c r="F16" s="110">
        <f t="shared" si="3"/>
        <v>2070.6000000000004</v>
      </c>
      <c r="G16" s="110">
        <f t="shared" si="3"/>
        <v>1975.79</v>
      </c>
      <c r="H16" s="110">
        <f t="shared" si="3"/>
        <v>2501.0619999999999</v>
      </c>
      <c r="I16" s="110">
        <f t="shared" si="3"/>
        <v>2367.3320000000003</v>
      </c>
      <c r="J16" s="110">
        <f t="shared" si="3"/>
        <v>3314.3250000000003</v>
      </c>
      <c r="K16" s="110">
        <f t="shared" si="3"/>
        <v>2951.06</v>
      </c>
      <c r="L16" s="110">
        <f t="shared" si="3"/>
        <v>3149.5449999999996</v>
      </c>
      <c r="M16" s="110">
        <f t="shared" si="3"/>
        <v>4800.0199999999995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228">
        <v>470.05</v>
      </c>
      <c r="C17" s="229">
        <v>473.71</v>
      </c>
      <c r="D17" s="228">
        <v>568.82000000000005</v>
      </c>
      <c r="E17" s="230">
        <v>351.17</v>
      </c>
      <c r="F17" s="230">
        <v>843.17</v>
      </c>
      <c r="G17" s="230">
        <v>1397.36</v>
      </c>
      <c r="H17" s="230">
        <v>1165.25</v>
      </c>
      <c r="I17" s="230">
        <v>2719.58</v>
      </c>
      <c r="J17" s="230">
        <v>3786.05</v>
      </c>
      <c r="K17" s="230">
        <v>3425.18</v>
      </c>
      <c r="L17" s="230">
        <v>3011.9</v>
      </c>
      <c r="M17" s="230">
        <v>2870.78</v>
      </c>
      <c r="N17" s="100"/>
      <c r="O17" s="108">
        <f>SUM(B17:M17)</f>
        <v>21083.02</v>
      </c>
      <c r="P17" s="108">
        <f>O17/12</f>
        <v>1756.9183333333333</v>
      </c>
      <c r="Q17" s="108">
        <f>P17/30</f>
        <v>58.563944444444445</v>
      </c>
      <c r="R17" s="108">
        <f>Q17/24</f>
        <v>2.4401643518518519</v>
      </c>
    </row>
    <row r="18" spans="1:28" x14ac:dyDescent="0.3">
      <c r="A18" s="103" t="s">
        <v>1</v>
      </c>
      <c r="B18" s="231">
        <v>140.06</v>
      </c>
      <c r="C18" s="229">
        <v>141.15</v>
      </c>
      <c r="D18" s="231">
        <v>169.5</v>
      </c>
      <c r="E18" s="232">
        <v>104.64</v>
      </c>
      <c r="F18" s="232">
        <v>251.25</v>
      </c>
      <c r="G18" s="232">
        <v>416.38</v>
      </c>
      <c r="H18" s="232">
        <v>347.38</v>
      </c>
      <c r="I18" s="232">
        <v>810.75</v>
      </c>
      <c r="J18" s="232">
        <v>1128.68</v>
      </c>
      <c r="K18" s="232">
        <v>1021.1</v>
      </c>
      <c r="L18" s="232">
        <v>897.99</v>
      </c>
      <c r="M18" s="232">
        <v>855.82</v>
      </c>
      <c r="N18" s="100"/>
      <c r="O18" s="108">
        <f>SUM(B18:M18)</f>
        <v>6284.7</v>
      </c>
      <c r="P18" s="108">
        <f>O18/12</f>
        <v>523.72500000000002</v>
      </c>
      <c r="Q18" s="108">
        <f>P18/30</f>
        <v>17.4575</v>
      </c>
      <c r="R18" s="108">
        <f>Q18/24</f>
        <v>0.72739583333333335</v>
      </c>
    </row>
    <row r="19" spans="1:28" x14ac:dyDescent="0.3">
      <c r="A19" s="103" t="s">
        <v>0</v>
      </c>
      <c r="B19" s="231">
        <v>134.41</v>
      </c>
      <c r="C19" s="233">
        <v>134.41</v>
      </c>
      <c r="D19" s="231">
        <v>134.41</v>
      </c>
      <c r="E19" s="232">
        <v>134.41</v>
      </c>
      <c r="F19" s="232">
        <v>134.41</v>
      </c>
      <c r="G19" s="232">
        <v>134.41</v>
      </c>
      <c r="H19" s="232">
        <v>144.49</v>
      </c>
      <c r="I19" s="232">
        <v>144.49</v>
      </c>
      <c r="J19" s="232">
        <v>144.49</v>
      </c>
      <c r="K19" s="232">
        <v>144.49</v>
      </c>
      <c r="L19" s="232">
        <v>144.49</v>
      </c>
      <c r="M19" s="232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234">
        <v>221.88</v>
      </c>
      <c r="C20" s="235">
        <v>221.88</v>
      </c>
      <c r="D20" s="234">
        <v>221.88</v>
      </c>
      <c r="E20" s="236">
        <v>221.88</v>
      </c>
      <c r="F20" s="236">
        <v>221.88</v>
      </c>
      <c r="G20" s="236">
        <v>221.88</v>
      </c>
      <c r="H20" s="236">
        <v>226.47</v>
      </c>
      <c r="I20" s="236">
        <v>226.47</v>
      </c>
      <c r="J20" s="236">
        <v>226.47</v>
      </c>
      <c r="K20" s="236">
        <v>226.47</v>
      </c>
      <c r="L20" s="236">
        <v>226.47</v>
      </c>
      <c r="M20" s="236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23.558999999999997</v>
      </c>
      <c r="C22" s="314">
        <f>C8+C11+C14</f>
        <v>22.43</v>
      </c>
      <c r="D22" s="314">
        <f t="shared" ref="D22:M22" si="4">D8+D11+D14</f>
        <v>22.733000000000001</v>
      </c>
      <c r="E22" s="314">
        <f t="shared" si="4"/>
        <v>14.97</v>
      </c>
      <c r="F22" s="314">
        <f t="shared" si="4"/>
        <v>13.715</v>
      </c>
      <c r="G22" s="314">
        <f t="shared" si="4"/>
        <v>12.242999999999999</v>
      </c>
      <c r="H22" s="314">
        <f t="shared" si="4"/>
        <v>12.978999999999999</v>
      </c>
      <c r="I22" s="314">
        <f t="shared" si="4"/>
        <v>13.719000000000001</v>
      </c>
      <c r="J22" s="314">
        <f t="shared" si="4"/>
        <v>18.738</v>
      </c>
      <c r="K22" s="314">
        <f t="shared" si="4"/>
        <v>17.501000000000001</v>
      </c>
      <c r="L22" s="314">
        <f t="shared" si="4"/>
        <v>19.817999999999998</v>
      </c>
      <c r="M22" s="314">
        <f t="shared" si="4"/>
        <v>20.626999999999999</v>
      </c>
      <c r="N22" s="138"/>
      <c r="O22" s="108">
        <f>SUM(B22:M22)</f>
        <v>213.03199999999998</v>
      </c>
      <c r="P22" s="108">
        <f>O22/12</f>
        <v>17.752666666666666</v>
      </c>
      <c r="Q22" s="108">
        <f>P22/30</f>
        <v>0.59175555555555559</v>
      </c>
      <c r="R22" s="108">
        <f>Q22/24</f>
        <v>2.4656481481481484E-2</v>
      </c>
    </row>
    <row r="23" spans="1:28" s="115" customFormat="1" ht="19.5" thickBot="1" x14ac:dyDescent="0.35">
      <c r="A23" s="139" t="s">
        <v>12</v>
      </c>
      <c r="B23" s="140">
        <f>B16+B13+B10+B17+B18+B19+B20+B7</f>
        <v>30407.614000000001</v>
      </c>
      <c r="C23" s="141">
        <f t="shared" ref="C23:M23" si="5">C16+C13+C10+C17+C18+C19+C20+C7</f>
        <v>29332.985000000001</v>
      </c>
      <c r="D23" s="140">
        <f t="shared" si="5"/>
        <v>29098.055000000004</v>
      </c>
      <c r="E23" s="142">
        <f t="shared" si="5"/>
        <v>23078.580999999998</v>
      </c>
      <c r="F23" s="142">
        <f t="shared" si="5"/>
        <v>20719.677</v>
      </c>
      <c r="G23" s="142">
        <f t="shared" si="5"/>
        <v>26462.851000000002</v>
      </c>
      <c r="H23" s="142">
        <f t="shared" si="5"/>
        <v>27679.324000000001</v>
      </c>
      <c r="I23" s="142">
        <f t="shared" si="5"/>
        <v>32265.181000000004</v>
      </c>
      <c r="J23" s="142">
        <f t="shared" si="5"/>
        <v>30414.097999999998</v>
      </c>
      <c r="K23" s="142">
        <f t="shared" si="5"/>
        <v>28537.406000000003</v>
      </c>
      <c r="L23" s="142">
        <f>L16+L13+L10+L17+L18+L19+L20+L7</f>
        <v>32644.199000000004</v>
      </c>
      <c r="M23" s="142">
        <f t="shared" si="5"/>
        <v>31960.571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239">
        <f>Complete!D3</f>
        <v>2092</v>
      </c>
      <c r="C29" s="150">
        <f>B29</f>
        <v>2092</v>
      </c>
      <c r="D29" s="151">
        <f>C29</f>
        <v>2092</v>
      </c>
      <c r="E29" s="151">
        <f>D29</f>
        <v>2092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792.74</v>
      </c>
      <c r="C31" s="154">
        <f>P5</f>
        <v>66.061666666666667</v>
      </c>
      <c r="D31" s="154">
        <f>Q5</f>
        <v>2.2020555555555554</v>
      </c>
      <c r="E31" s="154">
        <f>R5</f>
        <v>9.1752314814814814E-2</v>
      </c>
      <c r="F31" s="154"/>
      <c r="AB31" s="155">
        <f>SUM(B22:M22)</f>
        <v>213.03199999999998</v>
      </c>
    </row>
    <row r="32" spans="1:28" x14ac:dyDescent="0.3">
      <c r="A32" s="116" t="s">
        <v>5</v>
      </c>
      <c r="B32" s="124">
        <f>O8</f>
        <v>103.989</v>
      </c>
      <c r="C32" s="207">
        <f>P8</f>
        <v>8.665750000000001</v>
      </c>
      <c r="D32" s="207">
        <f>Q8</f>
        <v>0.28885833333333338</v>
      </c>
      <c r="E32" s="207">
        <f>R8</f>
        <v>1.2035763888888891E-2</v>
      </c>
      <c r="F32" s="156"/>
      <c r="AB32" s="143">
        <f>AB31/12</f>
        <v>17.752666666666666</v>
      </c>
    </row>
    <row r="33" spans="1:28" x14ac:dyDescent="0.3">
      <c r="A33" s="103" t="s">
        <v>48</v>
      </c>
      <c r="B33" s="104">
        <f>O11</f>
        <v>37.349000000000004</v>
      </c>
      <c r="C33" s="206">
        <f>P11</f>
        <v>3.1124166666666668</v>
      </c>
      <c r="D33" s="206">
        <f>Q11</f>
        <v>0.10374722222222223</v>
      </c>
      <c r="E33" s="206">
        <f>R11</f>
        <v>4.3228009259259261E-3</v>
      </c>
      <c r="F33" s="157"/>
      <c r="AB33" s="88">
        <f>AB32/30</f>
        <v>0.59175555555555559</v>
      </c>
    </row>
    <row r="34" spans="1:28" ht="19.5" thickBot="1" x14ac:dyDescent="0.35">
      <c r="A34" s="131" t="s">
        <v>9</v>
      </c>
      <c r="B34" s="319">
        <f>O14</f>
        <v>71.693999999999988</v>
      </c>
      <c r="C34" s="315">
        <f>P14</f>
        <v>5.974499999999999</v>
      </c>
      <c r="D34" s="315">
        <f>Q14</f>
        <v>0.19914999999999997</v>
      </c>
      <c r="E34" s="315">
        <f>R14</f>
        <v>8.2979166666666652E-3</v>
      </c>
      <c r="F34" s="158"/>
      <c r="AB34" s="88">
        <f>AB33/24</f>
        <v>2.4656481481481484E-2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213.03200000000001</v>
      </c>
      <c r="C36" s="314">
        <f>SUM(C32:C34)</f>
        <v>17.752666666666666</v>
      </c>
      <c r="D36" s="314">
        <f>SUM(D32:D34)</f>
        <v>0.59175555555555559</v>
      </c>
      <c r="E36" s="314">
        <f>SUM(E32:E34)</f>
        <v>2.4656481481481484E-2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101.8317399617591</v>
      </c>
      <c r="C38" s="160">
        <f>C36/C29*1000</f>
        <v>8.4859783301465903</v>
      </c>
      <c r="D38" s="160">
        <f>D36/D29*1000</f>
        <v>0.28286594433821971</v>
      </c>
      <c r="E38" s="160">
        <f>E36/E29*1000</f>
        <v>1.1786081014092488E-2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25.699835975943142</v>
      </c>
      <c r="C76" s="168">
        <f t="shared" si="6"/>
        <v>25.899945325314381</v>
      </c>
      <c r="D76" s="168">
        <f t="shared" si="6"/>
        <v>31.100054674685623</v>
      </c>
      <c r="E76" s="168">
        <f t="shared" si="6"/>
        <v>19.200109349371242</v>
      </c>
      <c r="F76" s="168">
        <f t="shared" si="6"/>
        <v>46.100054674685623</v>
      </c>
      <c r="G76" s="168">
        <f t="shared" si="6"/>
        <v>76.400218698742478</v>
      </c>
      <c r="H76" s="168">
        <f t="shared" ref="H76:M76" si="7">H17/20.16</f>
        <v>57.800099206349209</v>
      </c>
      <c r="I76" s="168">
        <f t="shared" si="7"/>
        <v>134.8998015873016</v>
      </c>
      <c r="J76" s="168">
        <f t="shared" si="7"/>
        <v>187.80009920634922</v>
      </c>
      <c r="K76" s="168">
        <f t="shared" si="7"/>
        <v>169.89980158730157</v>
      </c>
      <c r="L76" s="168">
        <f t="shared" si="7"/>
        <v>149.3998015873016</v>
      </c>
      <c r="M76" s="169">
        <f t="shared" si="7"/>
        <v>142.3998015873016</v>
      </c>
      <c r="N76" s="170">
        <f>SUM(B76:M76)</f>
        <v>1066.5996234606473</v>
      </c>
      <c r="O76" s="195">
        <f>SUM(C76:N76)</f>
        <v>2107.4994109453514</v>
      </c>
      <c r="P76" s="196">
        <f>O76</f>
        <v>2107.4994109453514</v>
      </c>
      <c r="Q76" s="197">
        <f>P76/12</f>
        <v>175.62495091211261</v>
      </c>
      <c r="R76" s="197">
        <f>Q76/30</f>
        <v>5.8541650304037534</v>
      </c>
      <c r="S76" s="198">
        <f>R76/24</f>
        <v>0.24392354293348972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16" zoomScale="71" zoomScaleNormal="71" workbookViewId="0">
      <selection activeCell="A39" sqref="A39:L53"/>
    </sheetView>
  </sheetViews>
  <sheetFormatPr defaultRowHeight="18.75" x14ac:dyDescent="0.3"/>
  <cols>
    <col min="1" max="1" width="29.140625" style="89" customWidth="1"/>
    <col min="2" max="2" width="23.28515625" style="90" customWidth="1"/>
    <col min="3" max="13" width="22.28515625" style="88" customWidth="1"/>
    <col min="14" max="14" width="16.7109375" style="88" hidden="1" customWidth="1"/>
    <col min="15" max="15" width="14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19" width="11.5703125" style="89" hidden="1" customWidth="1"/>
    <col min="20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'Data Sheet'!B3</f>
        <v>Saint-Gobain</v>
      </c>
      <c r="B1" s="79"/>
      <c r="C1" s="86" t="str">
        <f>Complete!A2</f>
        <v>1 Shale Avenue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190.42</v>
      </c>
      <c r="C5" s="105">
        <v>196.2</v>
      </c>
      <c r="D5" s="106">
        <v>169.13</v>
      </c>
      <c r="E5" s="107">
        <v>178.48</v>
      </c>
      <c r="F5" s="107">
        <v>150.13</v>
      </c>
      <c r="G5" s="107">
        <v>163.05000000000001</v>
      </c>
      <c r="H5" s="107">
        <v>158.76</v>
      </c>
      <c r="I5" s="107">
        <v>163.01</v>
      </c>
      <c r="J5" s="107">
        <v>159.72999999999999</v>
      </c>
      <c r="K5" s="107">
        <v>164.57</v>
      </c>
      <c r="L5" s="107">
        <v>183.85</v>
      </c>
      <c r="M5" s="107">
        <v>179.65</v>
      </c>
      <c r="N5" s="100"/>
      <c r="O5" s="108">
        <f>SUM(B5:M5)</f>
        <v>2056.98</v>
      </c>
      <c r="P5" s="108">
        <f>O5/12</f>
        <v>171.41499999999999</v>
      </c>
      <c r="Q5" s="108">
        <f>P5/30</f>
        <v>5.7138333333333327</v>
      </c>
      <c r="R5" s="108">
        <f>Q5/24</f>
        <v>0.23807638888888885</v>
      </c>
      <c r="S5" s="89">
        <v>0</v>
      </c>
      <c r="T5" s="89">
        <v>0</v>
      </c>
      <c r="U5" s="89">
        <v>0</v>
      </c>
      <c r="V5" s="89">
        <v>0</v>
      </c>
      <c r="X5" s="108">
        <f>O5</f>
        <v>2056.98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29800.73</v>
      </c>
      <c r="C7" s="111">
        <f t="shared" ref="C7:M7" si="0">C6*C5</f>
        <v>30724.92</v>
      </c>
      <c r="D7" s="112">
        <f t="shared" si="0"/>
        <v>26485.757999999998</v>
      </c>
      <c r="E7" s="113">
        <f t="shared" si="0"/>
        <v>27949.967999999997</v>
      </c>
      <c r="F7" s="113">
        <f t="shared" si="0"/>
        <v>23510.358</v>
      </c>
      <c r="G7" s="113">
        <f t="shared" si="0"/>
        <v>25533.63</v>
      </c>
      <c r="H7" s="113">
        <f t="shared" si="0"/>
        <v>25322.219999999998</v>
      </c>
      <c r="I7" s="113">
        <f t="shared" si="0"/>
        <v>26000.094999999998</v>
      </c>
      <c r="J7" s="113">
        <f t="shared" si="0"/>
        <v>25476.934999999998</v>
      </c>
      <c r="K7" s="113">
        <f t="shared" si="0"/>
        <v>26248.914999999997</v>
      </c>
      <c r="L7" s="113">
        <f t="shared" si="0"/>
        <v>29324.075000000001</v>
      </c>
      <c r="M7" s="113">
        <f t="shared" si="0"/>
        <v>28654.174999999999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24.626000000000001</v>
      </c>
      <c r="C8" s="238">
        <v>24.707999999999998</v>
      </c>
      <c r="D8" s="124">
        <v>26.216000000000001</v>
      </c>
      <c r="E8" s="207">
        <v>17.939</v>
      </c>
      <c r="F8" s="207">
        <v>20.433</v>
      </c>
      <c r="G8" s="207">
        <v>20.218</v>
      </c>
      <c r="H8" s="207">
        <v>19.388000000000002</v>
      </c>
      <c r="I8" s="207">
        <v>21.399000000000001</v>
      </c>
      <c r="J8" s="207">
        <v>22.414999999999999</v>
      </c>
      <c r="K8" s="207">
        <v>23.731000000000002</v>
      </c>
      <c r="L8" s="207">
        <v>26.125</v>
      </c>
      <c r="M8" s="207">
        <v>18.263000000000002</v>
      </c>
      <c r="N8" s="100"/>
      <c r="O8" s="108">
        <f>SUM(B8:M8)</f>
        <v>265.46099999999996</v>
      </c>
      <c r="P8" s="108">
        <f>O8/12</f>
        <v>22.121749999999995</v>
      </c>
      <c r="Q8" s="108">
        <f>P8/30</f>
        <v>0.73739166666666656</v>
      </c>
      <c r="R8" s="108">
        <f>Q8/24</f>
        <v>3.0724652777777774E-2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18272.491999999998</v>
      </c>
      <c r="C10" s="322">
        <f t="shared" ref="C10:M10" si="1">SUM(C8*C9)*1000</f>
        <v>18333.335999999999</v>
      </c>
      <c r="D10" s="322">
        <f t="shared" si="1"/>
        <v>19452.272000000001</v>
      </c>
      <c r="E10" s="322">
        <f t="shared" si="1"/>
        <v>13310.738000000001</v>
      </c>
      <c r="F10" s="322">
        <f t="shared" si="1"/>
        <v>15161.286</v>
      </c>
      <c r="G10" s="322">
        <f t="shared" si="1"/>
        <v>23159.718999999997</v>
      </c>
      <c r="H10" s="322">
        <f t="shared" si="1"/>
        <v>22625.796000000002</v>
      </c>
      <c r="I10" s="322">
        <f t="shared" si="1"/>
        <v>24972.633000000002</v>
      </c>
      <c r="J10" s="322">
        <f t="shared" si="1"/>
        <v>16945.740000000002</v>
      </c>
      <c r="K10" s="322">
        <f t="shared" si="1"/>
        <v>17940.636000000002</v>
      </c>
      <c r="L10" s="322">
        <f t="shared" si="1"/>
        <v>19750.5</v>
      </c>
      <c r="M10" s="322">
        <f t="shared" si="1"/>
        <v>13806.828000000001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10.388999999999999</v>
      </c>
      <c r="D11" s="124">
        <v>3.91</v>
      </c>
      <c r="E11" s="207">
        <v>7.2649999999999997</v>
      </c>
      <c r="F11" s="207">
        <v>8.89</v>
      </c>
      <c r="G11" s="207">
        <v>9.6920000000000002</v>
      </c>
      <c r="H11" s="207">
        <v>9.4120000000000008</v>
      </c>
      <c r="I11" s="207">
        <v>10.247999999999999</v>
      </c>
      <c r="J11" s="207">
        <v>9.0980000000000008</v>
      </c>
      <c r="K11" s="207">
        <v>10.212</v>
      </c>
      <c r="L11" s="207">
        <v>10.343</v>
      </c>
      <c r="M11" s="207">
        <v>7.6849999999999996</v>
      </c>
      <c r="N11" s="100"/>
      <c r="O11" s="108">
        <f>SUM(B11:M11)</f>
        <v>100.97500000000001</v>
      </c>
      <c r="P11" s="108">
        <f>O11/12</f>
        <v>8.4145833333333346</v>
      </c>
      <c r="Q11" s="108">
        <f>P11/30</f>
        <v>0.28048611111111116</v>
      </c>
      <c r="R11" s="108">
        <f>Q11/24</f>
        <v>1.1686921296296298E-2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12477.188999999998</v>
      </c>
      <c r="D13" s="110">
        <f t="shared" si="2"/>
        <v>4695.9100000000008</v>
      </c>
      <c r="E13" s="110">
        <f t="shared" si="2"/>
        <v>8725.2649999999994</v>
      </c>
      <c r="F13" s="110">
        <f t="shared" si="2"/>
        <v>10676.890000000001</v>
      </c>
      <c r="G13" s="110">
        <f t="shared" si="2"/>
        <v>30394.112000000005</v>
      </c>
      <c r="H13" s="110">
        <f t="shared" si="2"/>
        <v>30071.340000000004</v>
      </c>
      <c r="I13" s="110">
        <f t="shared" si="2"/>
        <v>32742.359999999997</v>
      </c>
      <c r="J13" s="110">
        <f t="shared" si="2"/>
        <v>11135.952000000001</v>
      </c>
      <c r="K13" s="110">
        <f t="shared" si="2"/>
        <v>12499.487999999999</v>
      </c>
      <c r="L13" s="110">
        <f t="shared" si="2"/>
        <v>12659.832</v>
      </c>
      <c r="M13" s="110">
        <f t="shared" si="2"/>
        <v>9406.44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10.071</v>
      </c>
      <c r="C14" s="118">
        <v>8.5259999999999998</v>
      </c>
      <c r="D14" s="119">
        <v>9.6850000000000005</v>
      </c>
      <c r="E14" s="120">
        <v>9.1210000000000004</v>
      </c>
      <c r="F14" s="120">
        <v>7.7949999999999999</v>
      </c>
      <c r="G14" s="120">
        <v>7.4729999999999999</v>
      </c>
      <c r="H14" s="120">
        <v>8.8829999999999991</v>
      </c>
      <c r="I14" s="120">
        <v>9.8219999999999992</v>
      </c>
      <c r="J14" s="120">
        <v>10.218999999999999</v>
      </c>
      <c r="K14" s="120">
        <v>9.4209999999999994</v>
      </c>
      <c r="L14" s="120">
        <v>9.8379999999999992</v>
      </c>
      <c r="M14" s="120">
        <v>9.9489999999999998</v>
      </c>
      <c r="N14" s="100"/>
      <c r="O14" s="108">
        <f>SUM(B14:M14)</f>
        <v>110.80299999999998</v>
      </c>
      <c r="P14" s="108">
        <f>O14/12</f>
        <v>9.2335833333333319</v>
      </c>
      <c r="Q14" s="108">
        <f>P14/30</f>
        <v>0.30778611111111104</v>
      </c>
      <c r="R14" s="108">
        <f>Q14/24</f>
        <v>1.2824421296296294E-2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5287.2750000000005</v>
      </c>
      <c r="C16" s="110">
        <f t="shared" ref="C16:M16" si="3">SUM(C14*C15)*1000</f>
        <v>4476.1500000000005</v>
      </c>
      <c r="D16" s="110">
        <f t="shared" si="3"/>
        <v>5084.6250000000009</v>
      </c>
      <c r="E16" s="110">
        <f t="shared" si="3"/>
        <v>4788.5250000000005</v>
      </c>
      <c r="F16" s="110">
        <f t="shared" si="3"/>
        <v>4092.3750000000005</v>
      </c>
      <c r="G16" s="110">
        <f t="shared" si="3"/>
        <v>4558.53</v>
      </c>
      <c r="H16" s="110">
        <f t="shared" si="3"/>
        <v>5525.2259999999987</v>
      </c>
      <c r="I16" s="110">
        <f t="shared" si="3"/>
        <v>6109.2839999999997</v>
      </c>
      <c r="J16" s="110">
        <f t="shared" si="3"/>
        <v>5467.165</v>
      </c>
      <c r="K16" s="110">
        <f t="shared" si="3"/>
        <v>5040.2349999999997</v>
      </c>
      <c r="L16" s="110">
        <f t="shared" si="3"/>
        <v>5263.33</v>
      </c>
      <c r="M16" s="110">
        <f t="shared" si="3"/>
        <v>5322.7150000000001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125">
        <v>3059.92</v>
      </c>
      <c r="C17" s="126">
        <v>3519</v>
      </c>
      <c r="D17" s="125">
        <v>3244.65</v>
      </c>
      <c r="E17" s="127">
        <v>2631.93</v>
      </c>
      <c r="F17" s="127">
        <v>3497.05</v>
      </c>
      <c r="G17" s="127">
        <v>3352.56</v>
      </c>
      <c r="H17" s="127">
        <v>4294.08</v>
      </c>
      <c r="I17" s="127">
        <v>4354.66</v>
      </c>
      <c r="J17" s="127">
        <v>6332.26</v>
      </c>
      <c r="K17" s="127">
        <v>4832.5600000000004</v>
      </c>
      <c r="L17" s="127">
        <v>3842.5</v>
      </c>
      <c r="M17" s="127">
        <v>3959.42</v>
      </c>
      <c r="N17" s="100"/>
      <c r="O17" s="108">
        <f>SUM(B17:M17)</f>
        <v>46920.59</v>
      </c>
      <c r="P17" s="108">
        <f>O17/12</f>
        <v>3910.0491666666662</v>
      </c>
      <c r="Q17" s="108">
        <f>P17/30</f>
        <v>130.33497222222221</v>
      </c>
      <c r="R17" s="108">
        <f>Q17/24</f>
        <v>5.4306238425925919</v>
      </c>
    </row>
    <row r="18" spans="1:28" x14ac:dyDescent="0.3">
      <c r="A18" s="103" t="s">
        <v>1</v>
      </c>
      <c r="B18" s="128">
        <v>911.78</v>
      </c>
      <c r="C18" s="126">
        <v>1048.58</v>
      </c>
      <c r="D18" s="128">
        <v>966.83</v>
      </c>
      <c r="E18" s="129">
        <v>784.26</v>
      </c>
      <c r="F18" s="129">
        <v>1042.04</v>
      </c>
      <c r="G18" s="129">
        <v>998.99</v>
      </c>
      <c r="H18" s="129">
        <v>1280.1300000000001</v>
      </c>
      <c r="I18" s="129">
        <v>1298.1600000000001</v>
      </c>
      <c r="J18" s="129">
        <v>1887.74</v>
      </c>
      <c r="K18" s="129">
        <v>1440.6</v>
      </c>
      <c r="L18" s="129">
        <v>1145.51</v>
      </c>
      <c r="M18" s="129">
        <v>1180.3599999999999</v>
      </c>
      <c r="N18" s="100"/>
      <c r="O18" s="108">
        <f>SUM(B18:M18)</f>
        <v>13984.980000000001</v>
      </c>
      <c r="P18" s="108">
        <f>O18/12</f>
        <v>1165.4150000000002</v>
      </c>
      <c r="Q18" s="108">
        <f>P18/30</f>
        <v>38.847166666666674</v>
      </c>
      <c r="R18" s="108">
        <f>Q18/24</f>
        <v>1.6186319444444448</v>
      </c>
    </row>
    <row r="19" spans="1:28" x14ac:dyDescent="0.3">
      <c r="A19" s="103" t="s">
        <v>0</v>
      </c>
      <c r="B19" s="128">
        <v>134.41</v>
      </c>
      <c r="C19" s="130">
        <v>134.41</v>
      </c>
      <c r="D19" s="128">
        <v>134.41</v>
      </c>
      <c r="E19" s="129">
        <v>134.41</v>
      </c>
      <c r="F19" s="129">
        <v>134.41</v>
      </c>
      <c r="G19" s="129">
        <v>134.41</v>
      </c>
      <c r="H19" s="129">
        <v>144.49</v>
      </c>
      <c r="I19" s="129">
        <v>144.49</v>
      </c>
      <c r="J19" s="129">
        <v>144.49</v>
      </c>
      <c r="K19" s="129">
        <v>144.49</v>
      </c>
      <c r="L19" s="129">
        <v>144.49</v>
      </c>
      <c r="M19" s="129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132">
        <v>221.88</v>
      </c>
      <c r="C20" s="133">
        <v>221.88</v>
      </c>
      <c r="D20" s="132">
        <v>221.88</v>
      </c>
      <c r="E20" s="134">
        <v>221.88</v>
      </c>
      <c r="F20" s="134">
        <v>221.88</v>
      </c>
      <c r="G20" s="134">
        <v>221.88</v>
      </c>
      <c r="H20" s="134">
        <v>226.47</v>
      </c>
      <c r="I20" s="134">
        <v>226.47</v>
      </c>
      <c r="J20" s="134">
        <v>226.47</v>
      </c>
      <c r="K20" s="134">
        <v>226.47</v>
      </c>
      <c r="L20" s="134">
        <v>226.47</v>
      </c>
      <c r="M20" s="134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38.527999999999999</v>
      </c>
      <c r="C22" s="314">
        <f>C8+C11+C14</f>
        <v>43.62299999999999</v>
      </c>
      <c r="D22" s="314">
        <f t="shared" ref="D22:M22" si="4">D8+D11+D14</f>
        <v>39.811</v>
      </c>
      <c r="E22" s="314">
        <f t="shared" si="4"/>
        <v>34.325000000000003</v>
      </c>
      <c r="F22" s="314">
        <f t="shared" si="4"/>
        <v>37.118000000000002</v>
      </c>
      <c r="G22" s="314">
        <f t="shared" si="4"/>
        <v>37.383000000000003</v>
      </c>
      <c r="H22" s="314">
        <f t="shared" si="4"/>
        <v>37.683000000000007</v>
      </c>
      <c r="I22" s="314">
        <f t="shared" si="4"/>
        <v>41.468999999999994</v>
      </c>
      <c r="J22" s="314">
        <f t="shared" si="4"/>
        <v>41.731999999999999</v>
      </c>
      <c r="K22" s="314">
        <f t="shared" si="4"/>
        <v>43.363999999999997</v>
      </c>
      <c r="L22" s="314">
        <f t="shared" si="4"/>
        <v>46.306000000000004</v>
      </c>
      <c r="M22" s="314">
        <f t="shared" si="4"/>
        <v>35.896999999999998</v>
      </c>
      <c r="N22" s="138"/>
      <c r="O22" s="108">
        <f>SUM(B22:M22)</f>
        <v>477.23899999999998</v>
      </c>
      <c r="P22" s="108">
        <f>O22/12</f>
        <v>39.769916666666667</v>
      </c>
      <c r="Q22" s="108">
        <f>P22/30</f>
        <v>1.325663888888889</v>
      </c>
      <c r="R22" s="108">
        <f>Q22/24</f>
        <v>5.5235995370370376E-2</v>
      </c>
    </row>
    <row r="23" spans="1:28" s="115" customFormat="1" ht="19.5" thickBot="1" x14ac:dyDescent="0.35">
      <c r="A23" s="139" t="s">
        <v>12</v>
      </c>
      <c r="B23" s="140">
        <f>B16+B13+B10+B17+B18+B19+B20+B7</f>
        <v>62289.517999999996</v>
      </c>
      <c r="C23" s="141">
        <f t="shared" ref="C23:M23" si="5">C16+C13+C10+C17+C18+C19+C20+C7</f>
        <v>70935.464999999997</v>
      </c>
      <c r="D23" s="140">
        <f t="shared" si="5"/>
        <v>60286.335000000006</v>
      </c>
      <c r="E23" s="142">
        <f t="shared" si="5"/>
        <v>58546.975999999995</v>
      </c>
      <c r="F23" s="142">
        <f t="shared" si="5"/>
        <v>58336.289000000004</v>
      </c>
      <c r="G23" s="142">
        <f t="shared" si="5"/>
        <v>88353.831000000006</v>
      </c>
      <c r="H23" s="142">
        <f t="shared" si="5"/>
        <v>89489.752000000008</v>
      </c>
      <c r="I23" s="142">
        <f t="shared" si="5"/>
        <v>95848.152000000016</v>
      </c>
      <c r="J23" s="142">
        <f t="shared" si="5"/>
        <v>67616.752000000008</v>
      </c>
      <c r="K23" s="142">
        <f t="shared" si="5"/>
        <v>68373.393999999986</v>
      </c>
      <c r="L23" s="142">
        <f>L16+L13+L10+L17+L18+L19+L20+L7</f>
        <v>72356.706999999995</v>
      </c>
      <c r="M23" s="142">
        <f t="shared" si="5"/>
        <v>62700.898000000001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Complete!D2</f>
        <v>7905</v>
      </c>
      <c r="C29" s="150">
        <f>B29</f>
        <v>7905</v>
      </c>
      <c r="D29" s="151">
        <f>C29</f>
        <v>7905</v>
      </c>
      <c r="E29" s="151">
        <f>D29</f>
        <v>7905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2056.98</v>
      </c>
      <c r="C31" s="154">
        <f>P5</f>
        <v>171.41499999999999</v>
      </c>
      <c r="D31" s="154">
        <f>Q5</f>
        <v>5.7138333333333327</v>
      </c>
      <c r="E31" s="154">
        <f>R5</f>
        <v>0.23807638888888885</v>
      </c>
      <c r="F31" s="154"/>
      <c r="AB31" s="155">
        <f>SUM(B22:M22)</f>
        <v>477.23899999999998</v>
      </c>
    </row>
    <row r="32" spans="1:28" x14ac:dyDescent="0.3">
      <c r="A32" s="116" t="s">
        <v>5</v>
      </c>
      <c r="B32" s="124">
        <f>O8</f>
        <v>265.46099999999996</v>
      </c>
      <c r="C32" s="207">
        <f>P8</f>
        <v>22.121749999999995</v>
      </c>
      <c r="D32" s="207">
        <f>Q8</f>
        <v>0.73739166666666656</v>
      </c>
      <c r="E32" s="207">
        <f>R8</f>
        <v>3.0724652777777774E-2</v>
      </c>
      <c r="F32" s="156"/>
      <c r="AB32" s="143">
        <f>AB31/12</f>
        <v>39.769916666666667</v>
      </c>
    </row>
    <row r="33" spans="1:28" x14ac:dyDescent="0.3">
      <c r="A33" s="103" t="s">
        <v>48</v>
      </c>
      <c r="B33" s="104">
        <f>O11</f>
        <v>100.97500000000001</v>
      </c>
      <c r="C33" s="206">
        <f>P11</f>
        <v>8.4145833333333346</v>
      </c>
      <c r="D33" s="206">
        <f>Q11</f>
        <v>0.28048611111111116</v>
      </c>
      <c r="E33" s="206">
        <f>R11</f>
        <v>1.1686921296296298E-2</v>
      </c>
      <c r="F33" s="157"/>
      <c r="AB33" s="88">
        <f>AB32/30</f>
        <v>1.325663888888889</v>
      </c>
    </row>
    <row r="34" spans="1:28" ht="19.5" thickBot="1" x14ac:dyDescent="0.35">
      <c r="A34" s="131" t="s">
        <v>9</v>
      </c>
      <c r="B34" s="319">
        <f>O14</f>
        <v>110.80299999999998</v>
      </c>
      <c r="C34" s="315">
        <f>P14</f>
        <v>9.2335833333333319</v>
      </c>
      <c r="D34" s="315">
        <f>Q14</f>
        <v>0.30778611111111104</v>
      </c>
      <c r="E34" s="315">
        <f>R14</f>
        <v>1.2824421296296294E-2</v>
      </c>
      <c r="F34" s="158"/>
      <c r="AB34" s="88">
        <f>AB33/24</f>
        <v>5.5235995370370376E-2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SUM(B32:B34)*1000</f>
        <v>477239</v>
      </c>
      <c r="C36" s="314">
        <f>SUM(C32:C34)</f>
        <v>39.76991666666666</v>
      </c>
      <c r="D36" s="314">
        <f>SUM(D32:D34)</f>
        <v>1.3256638888888888</v>
      </c>
      <c r="E36" s="314">
        <f>SUM(E32:E34)</f>
        <v>5.5235995370370369E-2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</f>
        <v>60.371790006325114</v>
      </c>
      <c r="C38" s="160">
        <f>C36/C29</f>
        <v>5.0309825005270918E-3</v>
      </c>
      <c r="D38" s="160">
        <f>D36/D29</f>
        <v>1.676994166842364E-4</v>
      </c>
      <c r="E38" s="160">
        <f>E36/E29</f>
        <v>6.9874756951765175E-6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64" t="s">
        <v>52</v>
      </c>
      <c r="P75" s="165" t="s">
        <v>49</v>
      </c>
      <c r="Q75" s="166" t="s">
        <v>50</v>
      </c>
      <c r="R75" s="166" t="s">
        <v>51</v>
      </c>
      <c r="S75" s="97" t="s">
        <v>74</v>
      </c>
    </row>
    <row r="76" spans="1:19" ht="19.5" hidden="1" thickBot="1" x14ac:dyDescent="0.35">
      <c r="A76" s="167" t="s">
        <v>2</v>
      </c>
      <c r="B76" s="168">
        <f t="shared" ref="B76:G76" si="6">B17/18.29</f>
        <v>167.30016402405687</v>
      </c>
      <c r="C76" s="168">
        <f t="shared" si="6"/>
        <v>192.40021869874249</v>
      </c>
      <c r="D76" s="168">
        <f t="shared" si="6"/>
        <v>177.40021869874249</v>
      </c>
      <c r="E76" s="168">
        <f t="shared" si="6"/>
        <v>143.89994532531438</v>
      </c>
      <c r="F76" s="168">
        <f t="shared" si="6"/>
        <v>191.20010934937125</v>
      </c>
      <c r="G76" s="168">
        <f t="shared" si="6"/>
        <v>183.30016402405687</v>
      </c>
      <c r="H76" s="168">
        <f t="shared" ref="H76:M76" si="7">H17/20.16</f>
        <v>213</v>
      </c>
      <c r="I76" s="168">
        <f t="shared" si="7"/>
        <v>216.0049603174603</v>
      </c>
      <c r="J76" s="168">
        <f t="shared" si="7"/>
        <v>314.10019841269843</v>
      </c>
      <c r="K76" s="168">
        <f t="shared" si="7"/>
        <v>239.71031746031747</v>
      </c>
      <c r="L76" s="168">
        <f t="shared" si="7"/>
        <v>190.6001984126984</v>
      </c>
      <c r="M76" s="169">
        <f t="shared" si="7"/>
        <v>196.3998015873016</v>
      </c>
      <c r="N76" s="170">
        <f>SUM(B76:M76)</f>
        <v>2425.3162963107607</v>
      </c>
      <c r="O76" s="171">
        <f>N76</f>
        <v>2425.3162963107607</v>
      </c>
      <c r="P76" s="172">
        <f>O76/12</f>
        <v>202.10969135923006</v>
      </c>
      <c r="Q76" s="172">
        <f>P76/30</f>
        <v>6.7369897119743349</v>
      </c>
      <c r="R76" s="173">
        <f>Q76/24</f>
        <v>0.28070790466559731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1"/>
  <sheetViews>
    <sheetView topLeftCell="G45" zoomScale="55" zoomScaleNormal="55" workbookViewId="0">
      <selection activeCell="L54" sqref="B54:L118"/>
    </sheetView>
  </sheetViews>
  <sheetFormatPr defaultRowHeight="18.75" x14ac:dyDescent="0.3"/>
  <cols>
    <col min="1" max="1" width="54" style="89" customWidth="1"/>
    <col min="2" max="2" width="30" style="369" customWidth="1"/>
    <col min="3" max="13" width="30" style="36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32" ht="42.75" customHeight="1" thickBot="1" x14ac:dyDescent="0.35">
      <c r="A1" s="429" t="str">
        <f>Complete!B4</f>
        <v>Digistics (Pty) Ltd</v>
      </c>
      <c r="B1" s="367"/>
      <c r="C1" s="428" t="str">
        <f>Complete!A4</f>
        <v>2 Quartz Close</v>
      </c>
    </row>
    <row r="2" spans="1:32" ht="30" customHeight="1" thickBot="1" x14ac:dyDescent="0.35"/>
    <row r="3" spans="1:32" ht="30" customHeight="1" thickBot="1" x14ac:dyDescent="0.45">
      <c r="A3" s="427" t="s">
        <v>3</v>
      </c>
      <c r="B3" s="333" t="s">
        <v>59</v>
      </c>
      <c r="C3" s="334" t="s">
        <v>60</v>
      </c>
      <c r="D3" s="333" t="s">
        <v>61</v>
      </c>
      <c r="E3" s="335" t="s">
        <v>62</v>
      </c>
      <c r="F3" s="335" t="s">
        <v>63</v>
      </c>
      <c r="G3" s="335" t="s">
        <v>64</v>
      </c>
      <c r="H3" s="335" t="s">
        <v>65</v>
      </c>
      <c r="I3" s="335" t="s">
        <v>66</v>
      </c>
      <c r="J3" s="335" t="s">
        <v>67</v>
      </c>
      <c r="K3" s="335" t="s">
        <v>68</v>
      </c>
      <c r="L3" s="335" t="s">
        <v>57</v>
      </c>
      <c r="M3" s="335" t="s">
        <v>58</v>
      </c>
      <c r="N3" s="336" t="s">
        <v>71</v>
      </c>
      <c r="O3" s="337" t="s">
        <v>52</v>
      </c>
      <c r="P3" s="337" t="s">
        <v>49</v>
      </c>
      <c r="Q3" s="337" t="s">
        <v>50</v>
      </c>
      <c r="R3" s="337" t="s">
        <v>51</v>
      </c>
      <c r="S3" s="338" t="s">
        <v>74</v>
      </c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</row>
    <row r="4" spans="1:32" ht="30" customHeight="1" x14ac:dyDescent="0.4">
      <c r="A4" s="340" t="s">
        <v>11</v>
      </c>
      <c r="B4" s="370" t="s">
        <v>11</v>
      </c>
      <c r="C4" s="371"/>
      <c r="D4" s="372"/>
      <c r="E4" s="373"/>
      <c r="F4" s="373"/>
      <c r="G4" s="373"/>
      <c r="H4" s="373"/>
      <c r="I4" s="373"/>
      <c r="J4" s="373"/>
      <c r="K4" s="373"/>
      <c r="L4" s="373"/>
      <c r="M4" s="373"/>
      <c r="N4" s="342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</row>
    <row r="5" spans="1:32" ht="30" customHeight="1" x14ac:dyDescent="0.4">
      <c r="A5" s="343" t="s">
        <v>69</v>
      </c>
      <c r="B5" s="374">
        <v>418.99</v>
      </c>
      <c r="C5" s="375">
        <v>415.98</v>
      </c>
      <c r="D5" s="374">
        <v>407.6</v>
      </c>
      <c r="E5" s="376">
        <v>392.81</v>
      </c>
      <c r="F5" s="376">
        <v>385.45</v>
      </c>
      <c r="G5" s="376">
        <v>371.06</v>
      </c>
      <c r="H5" s="376">
        <v>373.98</v>
      </c>
      <c r="I5" s="376">
        <v>391.2</v>
      </c>
      <c r="J5" s="376">
        <v>383.4</v>
      </c>
      <c r="K5" s="376">
        <v>403.16</v>
      </c>
      <c r="L5" s="376">
        <v>409.46</v>
      </c>
      <c r="M5" s="376">
        <v>400.14</v>
      </c>
      <c r="N5" s="344"/>
      <c r="O5" s="345">
        <f>SUM(B5:M5)</f>
        <v>4753.2300000000005</v>
      </c>
      <c r="P5" s="345">
        <f>O5/12</f>
        <v>396.10250000000002</v>
      </c>
      <c r="Q5" s="345">
        <f>P5/30</f>
        <v>13.203416666666667</v>
      </c>
      <c r="R5" s="345">
        <f>Q5/24</f>
        <v>0.55014236111111114</v>
      </c>
      <c r="S5" s="345">
        <v>0</v>
      </c>
      <c r="T5" s="345">
        <v>0</v>
      </c>
      <c r="U5" s="345">
        <v>0</v>
      </c>
      <c r="V5" s="345">
        <v>0</v>
      </c>
      <c r="W5" s="345"/>
      <c r="X5" s="345">
        <f>O5</f>
        <v>4753.2300000000005</v>
      </c>
      <c r="Y5" s="345"/>
      <c r="Z5" s="339"/>
      <c r="AA5" s="339"/>
      <c r="AB5" s="339"/>
      <c r="AC5" s="339"/>
      <c r="AD5" s="339"/>
      <c r="AE5" s="339"/>
      <c r="AF5" s="339"/>
    </row>
    <row r="6" spans="1:32" ht="30" customHeight="1" x14ac:dyDescent="0.4">
      <c r="A6" s="343" t="s">
        <v>4</v>
      </c>
      <c r="B6" s="377">
        <v>156.5</v>
      </c>
      <c r="C6" s="378">
        <v>156.6</v>
      </c>
      <c r="D6" s="377">
        <v>156.6</v>
      </c>
      <c r="E6" s="379">
        <v>156.6</v>
      </c>
      <c r="F6" s="379">
        <v>156.6</v>
      </c>
      <c r="G6" s="379">
        <v>156.6</v>
      </c>
      <c r="H6" s="379">
        <v>159.5</v>
      </c>
      <c r="I6" s="379">
        <v>159.5</v>
      </c>
      <c r="J6" s="379">
        <v>159.5</v>
      </c>
      <c r="K6" s="379">
        <v>159.5</v>
      </c>
      <c r="L6" s="379">
        <v>159.5</v>
      </c>
      <c r="M6" s="379">
        <v>159.5</v>
      </c>
      <c r="N6" s="344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39"/>
      <c r="AA6" s="339"/>
      <c r="AB6" s="339"/>
      <c r="AC6" s="339"/>
      <c r="AD6" s="339"/>
      <c r="AE6" s="339"/>
      <c r="AF6" s="339"/>
    </row>
    <row r="7" spans="1:32" s="115" customFormat="1" ht="30" customHeight="1" thickBot="1" x14ac:dyDescent="0.45">
      <c r="A7" s="346" t="s">
        <v>6</v>
      </c>
      <c r="B7" s="380">
        <f>B5*B6</f>
        <v>65571.934999999998</v>
      </c>
      <c r="C7" s="381">
        <f t="shared" ref="C7:M7" si="0">C6*C5</f>
        <v>65142.468000000001</v>
      </c>
      <c r="D7" s="382">
        <f t="shared" si="0"/>
        <v>63830.16</v>
      </c>
      <c r="E7" s="383">
        <f t="shared" si="0"/>
        <v>61514.045999999995</v>
      </c>
      <c r="F7" s="383">
        <f t="shared" si="0"/>
        <v>60361.469999999994</v>
      </c>
      <c r="G7" s="383">
        <f t="shared" si="0"/>
        <v>58107.995999999999</v>
      </c>
      <c r="H7" s="383">
        <f t="shared" si="0"/>
        <v>59649.810000000005</v>
      </c>
      <c r="I7" s="383">
        <f t="shared" si="0"/>
        <v>62396.4</v>
      </c>
      <c r="J7" s="383">
        <f t="shared" si="0"/>
        <v>61152.299999999996</v>
      </c>
      <c r="K7" s="383">
        <f t="shared" si="0"/>
        <v>64304.020000000004</v>
      </c>
      <c r="L7" s="383">
        <f t="shared" si="0"/>
        <v>65308.869999999995</v>
      </c>
      <c r="M7" s="383">
        <f t="shared" si="0"/>
        <v>63822.329999999994</v>
      </c>
      <c r="N7" s="347"/>
      <c r="O7" s="345"/>
      <c r="P7" s="345"/>
      <c r="Q7" s="345"/>
      <c r="R7" s="345"/>
      <c r="S7" s="345"/>
      <c r="T7" s="345"/>
      <c r="U7" s="345"/>
      <c r="V7" s="345"/>
      <c r="W7" s="345"/>
      <c r="X7" s="345"/>
      <c r="Y7" s="348"/>
      <c r="Z7" s="348"/>
      <c r="AA7" s="348"/>
      <c r="AB7" s="348"/>
      <c r="AC7" s="348"/>
      <c r="AD7" s="348"/>
      <c r="AE7" s="348"/>
      <c r="AF7" s="348"/>
    </row>
    <row r="8" spans="1:32" ht="30" customHeight="1" thickTop="1" x14ac:dyDescent="0.4">
      <c r="A8" s="349" t="s">
        <v>75</v>
      </c>
      <c r="B8" s="384">
        <v>84.494</v>
      </c>
      <c r="C8" s="385">
        <v>81.251999999999995</v>
      </c>
      <c r="D8" s="384">
        <v>83.263999999999996</v>
      </c>
      <c r="E8" s="386">
        <v>67.281999999999996</v>
      </c>
      <c r="F8" s="386">
        <v>72.210999999999999</v>
      </c>
      <c r="G8" s="386">
        <v>76.731999999999999</v>
      </c>
      <c r="H8" s="386">
        <v>75.364999999999995</v>
      </c>
      <c r="I8" s="386">
        <v>82.162000000000006</v>
      </c>
      <c r="J8" s="386">
        <v>79.200999999999993</v>
      </c>
      <c r="K8" s="386">
        <v>80.616</v>
      </c>
      <c r="L8" s="386">
        <v>85.33</v>
      </c>
      <c r="M8" s="386">
        <v>80.302000000000007</v>
      </c>
      <c r="N8" s="344"/>
      <c r="O8" s="345">
        <f>SUM(B8:M8)</f>
        <v>948.21100000000013</v>
      </c>
      <c r="P8" s="345">
        <f>O8/12</f>
        <v>79.017583333333349</v>
      </c>
      <c r="Q8" s="345">
        <f>P8/30</f>
        <v>2.6339194444444449</v>
      </c>
      <c r="R8" s="345">
        <f>Q8/24</f>
        <v>0.10974664351851854</v>
      </c>
      <c r="S8" s="345"/>
      <c r="T8" s="345"/>
      <c r="U8" s="345"/>
      <c r="V8" s="345"/>
      <c r="W8" s="345"/>
      <c r="X8" s="345"/>
      <c r="Y8" s="339"/>
      <c r="Z8" s="339"/>
      <c r="AA8" s="339"/>
      <c r="AB8" s="339"/>
      <c r="AC8" s="339"/>
      <c r="AD8" s="339"/>
      <c r="AE8" s="339"/>
      <c r="AF8" s="339"/>
    </row>
    <row r="9" spans="1:32" ht="30" customHeight="1" x14ac:dyDescent="0.4">
      <c r="A9" s="343" t="s">
        <v>7</v>
      </c>
      <c r="B9" s="377">
        <v>0.74199999999999999</v>
      </c>
      <c r="C9" s="378">
        <v>0.74199999999999999</v>
      </c>
      <c r="D9" s="377">
        <v>0.74199999999999999</v>
      </c>
      <c r="E9" s="379">
        <v>0.74199999999999999</v>
      </c>
      <c r="F9" s="379">
        <v>0.74199999999999999</v>
      </c>
      <c r="G9" s="379">
        <v>1.1455</v>
      </c>
      <c r="H9" s="379">
        <v>1.167</v>
      </c>
      <c r="I9" s="379">
        <v>1.167</v>
      </c>
      <c r="J9" s="379">
        <v>0.75600000000000001</v>
      </c>
      <c r="K9" s="379">
        <v>0.75600000000000001</v>
      </c>
      <c r="L9" s="379">
        <v>0.75600000000000001</v>
      </c>
      <c r="M9" s="379">
        <v>0.75600000000000001</v>
      </c>
      <c r="N9" s="344"/>
      <c r="O9" s="345"/>
      <c r="P9" s="345"/>
      <c r="Q9" s="345"/>
      <c r="R9" s="345"/>
      <c r="S9" s="345"/>
      <c r="T9" s="345"/>
      <c r="U9" s="345"/>
      <c r="V9" s="345"/>
      <c r="W9" s="345"/>
      <c r="X9" s="345"/>
      <c r="Y9" s="339"/>
      <c r="Z9" s="339"/>
      <c r="AA9" s="339"/>
      <c r="AB9" s="339"/>
      <c r="AC9" s="339"/>
      <c r="AD9" s="339"/>
      <c r="AE9" s="339"/>
      <c r="AF9" s="339"/>
    </row>
    <row r="10" spans="1:32" s="115" customFormat="1" ht="30" customHeight="1" thickBot="1" x14ac:dyDescent="0.45">
      <c r="A10" s="350"/>
      <c r="B10" s="387">
        <f>SUM(B8*B9)*1000</f>
        <v>62694.547999999995</v>
      </c>
      <c r="C10" s="387">
        <f t="shared" ref="C10:M10" si="1">SUM(C8*C9)*1000</f>
        <v>60288.983999999997</v>
      </c>
      <c r="D10" s="387">
        <f t="shared" si="1"/>
        <v>61781.887999999992</v>
      </c>
      <c r="E10" s="387">
        <f t="shared" si="1"/>
        <v>49923.243999999999</v>
      </c>
      <c r="F10" s="387">
        <f t="shared" si="1"/>
        <v>53580.561999999998</v>
      </c>
      <c r="G10" s="387">
        <f t="shared" si="1"/>
        <v>87896.506000000008</v>
      </c>
      <c r="H10" s="387">
        <f t="shared" si="1"/>
        <v>87950.954999999987</v>
      </c>
      <c r="I10" s="387">
        <f t="shared" si="1"/>
        <v>95883.054000000018</v>
      </c>
      <c r="J10" s="387">
        <f t="shared" si="1"/>
        <v>59875.955999999998</v>
      </c>
      <c r="K10" s="387">
        <f t="shared" si="1"/>
        <v>60945.695999999996</v>
      </c>
      <c r="L10" s="387">
        <f t="shared" si="1"/>
        <v>64509.479999999996</v>
      </c>
      <c r="M10" s="387">
        <f t="shared" si="1"/>
        <v>60708.312000000005</v>
      </c>
      <c r="N10" s="351"/>
      <c r="O10" s="345"/>
      <c r="P10" s="345"/>
      <c r="Q10" s="345"/>
      <c r="R10" s="345"/>
      <c r="S10" s="345"/>
      <c r="T10" s="345"/>
      <c r="U10" s="345"/>
      <c r="V10" s="345"/>
      <c r="W10" s="345"/>
      <c r="X10" s="345"/>
      <c r="Y10" s="348"/>
      <c r="Z10" s="348"/>
      <c r="AA10" s="348"/>
      <c r="AB10" s="348"/>
      <c r="AC10" s="348"/>
      <c r="AD10" s="348"/>
      <c r="AE10" s="348"/>
      <c r="AF10" s="348"/>
    </row>
    <row r="11" spans="1:32" ht="30" customHeight="1" thickTop="1" x14ac:dyDescent="0.4">
      <c r="A11" s="349" t="s">
        <v>76</v>
      </c>
      <c r="B11" s="384">
        <v>3.831</v>
      </c>
      <c r="C11" s="385">
        <v>32.652000000000001</v>
      </c>
      <c r="D11" s="384">
        <v>3.91</v>
      </c>
      <c r="E11" s="386">
        <v>24.366</v>
      </c>
      <c r="F11" s="386">
        <v>27.712</v>
      </c>
      <c r="G11" s="386">
        <v>29.568999999999999</v>
      </c>
      <c r="H11" s="386">
        <v>29.83</v>
      </c>
      <c r="I11" s="386">
        <v>32.555999999999997</v>
      </c>
      <c r="J11" s="386">
        <v>29.395</v>
      </c>
      <c r="K11" s="386">
        <v>32.609000000000002</v>
      </c>
      <c r="L11" s="386">
        <v>34.71</v>
      </c>
      <c r="M11" s="386">
        <v>31.239000000000001</v>
      </c>
      <c r="N11" s="344"/>
      <c r="O11" s="345">
        <f>SUM(B11:M11)</f>
        <v>312.37899999999996</v>
      </c>
      <c r="P11" s="345">
        <f>O11/12</f>
        <v>26.03158333333333</v>
      </c>
      <c r="Q11" s="345">
        <f>P11/30</f>
        <v>0.86771944444444438</v>
      </c>
      <c r="R11" s="345">
        <f>Q11/24</f>
        <v>3.6154976851851851E-2</v>
      </c>
      <c r="S11" s="345"/>
      <c r="T11" s="345"/>
      <c r="U11" s="345"/>
      <c r="V11" s="345"/>
      <c r="W11" s="345"/>
      <c r="X11" s="345"/>
      <c r="Y11" s="339"/>
      <c r="Z11" s="339"/>
      <c r="AA11" s="339"/>
      <c r="AB11" s="339"/>
      <c r="AC11" s="339"/>
      <c r="AD11" s="339"/>
      <c r="AE11" s="339"/>
      <c r="AF11" s="339"/>
    </row>
    <row r="12" spans="1:32" ht="30" customHeight="1" x14ac:dyDescent="0.4">
      <c r="A12" s="343" t="s">
        <v>8</v>
      </c>
      <c r="B12" s="377">
        <v>1.2010000000000001</v>
      </c>
      <c r="C12" s="378">
        <v>1.2010000000000001</v>
      </c>
      <c r="D12" s="377">
        <v>1.2010000000000001</v>
      </c>
      <c r="E12" s="379">
        <v>1.2010000000000001</v>
      </c>
      <c r="F12" s="379">
        <v>1.2010000000000001</v>
      </c>
      <c r="G12" s="379">
        <v>3.1360000000000001</v>
      </c>
      <c r="H12" s="379">
        <v>3.1949999999999998</v>
      </c>
      <c r="I12" s="379">
        <v>3.1949999999999998</v>
      </c>
      <c r="J12" s="379">
        <v>1.224</v>
      </c>
      <c r="K12" s="379">
        <v>1.224</v>
      </c>
      <c r="L12" s="379">
        <v>1.224</v>
      </c>
      <c r="M12" s="379">
        <v>1.224</v>
      </c>
      <c r="N12" s="344"/>
      <c r="O12" s="345"/>
      <c r="P12" s="345"/>
      <c r="Q12" s="345"/>
      <c r="R12" s="345"/>
      <c r="S12" s="345"/>
      <c r="T12" s="345"/>
      <c r="U12" s="345"/>
      <c r="V12" s="345"/>
      <c r="W12" s="345"/>
      <c r="X12" s="345"/>
      <c r="Y12" s="339"/>
      <c r="Z12" s="339"/>
      <c r="AA12" s="339"/>
      <c r="AB12" s="339"/>
      <c r="AC12" s="339"/>
      <c r="AD12" s="339"/>
      <c r="AE12" s="339"/>
      <c r="AF12" s="339"/>
    </row>
    <row r="13" spans="1:32" s="115" customFormat="1" ht="30" customHeight="1" thickBot="1" x14ac:dyDescent="0.45">
      <c r="A13" s="350"/>
      <c r="B13" s="380">
        <f>SUM(B11*B12*1000)</f>
        <v>4601.0309999999999</v>
      </c>
      <c r="C13" s="380">
        <f t="shared" ref="C13:M13" si="2">SUM(C11*C12*1000)</f>
        <v>39215.052000000003</v>
      </c>
      <c r="D13" s="380">
        <f t="shared" si="2"/>
        <v>4695.9100000000008</v>
      </c>
      <c r="E13" s="380">
        <f t="shared" si="2"/>
        <v>29263.566000000003</v>
      </c>
      <c r="F13" s="380">
        <f t="shared" si="2"/>
        <v>33282.112000000008</v>
      </c>
      <c r="G13" s="380">
        <f t="shared" si="2"/>
        <v>92728.384000000005</v>
      </c>
      <c r="H13" s="380">
        <f t="shared" si="2"/>
        <v>95306.849999999977</v>
      </c>
      <c r="I13" s="380">
        <f t="shared" si="2"/>
        <v>104016.41999999998</v>
      </c>
      <c r="J13" s="380">
        <f t="shared" si="2"/>
        <v>35979.480000000003</v>
      </c>
      <c r="K13" s="380">
        <f t="shared" si="2"/>
        <v>39913.415999999997</v>
      </c>
      <c r="L13" s="380">
        <f t="shared" si="2"/>
        <v>42485.04</v>
      </c>
      <c r="M13" s="380">
        <f t="shared" si="2"/>
        <v>38236.536</v>
      </c>
      <c r="N13" s="351"/>
      <c r="O13" s="345"/>
      <c r="P13" s="345"/>
      <c r="Q13" s="345"/>
      <c r="R13" s="345"/>
      <c r="S13" s="345"/>
      <c r="T13" s="345"/>
      <c r="U13" s="345"/>
      <c r="V13" s="345"/>
      <c r="W13" s="345"/>
      <c r="X13" s="345"/>
      <c r="Y13" s="348"/>
      <c r="Z13" s="348"/>
      <c r="AA13" s="348"/>
      <c r="AB13" s="348"/>
      <c r="AC13" s="348"/>
      <c r="AD13" s="348"/>
      <c r="AE13" s="348"/>
      <c r="AF13" s="348"/>
    </row>
    <row r="14" spans="1:32" ht="30" customHeight="1" thickTop="1" x14ac:dyDescent="0.4">
      <c r="A14" s="349" t="s">
        <v>77</v>
      </c>
      <c r="B14" s="384">
        <v>116.432</v>
      </c>
      <c r="C14" s="388">
        <v>104.28400000000001</v>
      </c>
      <c r="D14" s="384">
        <v>105.277</v>
      </c>
      <c r="E14" s="386">
        <v>111.828</v>
      </c>
      <c r="F14" s="386">
        <v>91.754999999999995</v>
      </c>
      <c r="G14" s="386">
        <v>89.575000000000003</v>
      </c>
      <c r="H14" s="386">
        <v>106.00700000000001</v>
      </c>
      <c r="I14" s="386">
        <v>104.044</v>
      </c>
      <c r="J14" s="386">
        <v>102.599</v>
      </c>
      <c r="K14" s="386">
        <v>107.664</v>
      </c>
      <c r="L14" s="386">
        <v>107.395</v>
      </c>
      <c r="M14" s="386">
        <v>129.029</v>
      </c>
      <c r="N14" s="344"/>
      <c r="O14" s="345">
        <f>SUM(B14:M14)</f>
        <v>1275.8890000000001</v>
      </c>
      <c r="P14" s="345">
        <f>O14/12</f>
        <v>106.32408333333335</v>
      </c>
      <c r="Q14" s="345">
        <f>P14/30</f>
        <v>3.5441361111111118</v>
      </c>
      <c r="R14" s="345">
        <f>Q14/24</f>
        <v>0.147672337962963</v>
      </c>
      <c r="S14" s="345"/>
      <c r="T14" s="345"/>
      <c r="U14" s="345"/>
      <c r="V14" s="345"/>
      <c r="W14" s="345"/>
      <c r="X14" s="345"/>
      <c r="Y14" s="339"/>
      <c r="Z14" s="339"/>
      <c r="AA14" s="339"/>
      <c r="AB14" s="339"/>
      <c r="AC14" s="339"/>
      <c r="AD14" s="339"/>
      <c r="AE14" s="339"/>
      <c r="AF14" s="339"/>
    </row>
    <row r="15" spans="1:32" ht="30" customHeight="1" x14ac:dyDescent="0.4">
      <c r="A15" s="343" t="s">
        <v>70</v>
      </c>
      <c r="B15" s="377">
        <v>0.52500000000000002</v>
      </c>
      <c r="C15" s="378">
        <v>0.52500000000000002</v>
      </c>
      <c r="D15" s="377">
        <v>0.52500000000000002</v>
      </c>
      <c r="E15" s="379">
        <v>0.52500000000000002</v>
      </c>
      <c r="F15" s="379">
        <v>0.52500000000000002</v>
      </c>
      <c r="G15" s="379">
        <v>0.61</v>
      </c>
      <c r="H15" s="379">
        <v>0.622</v>
      </c>
      <c r="I15" s="379">
        <v>0.622</v>
      </c>
      <c r="J15" s="379">
        <v>0.53500000000000003</v>
      </c>
      <c r="K15" s="379">
        <v>0.53500000000000003</v>
      </c>
      <c r="L15" s="379">
        <v>0.53500000000000003</v>
      </c>
      <c r="M15" s="379">
        <v>0.53500000000000003</v>
      </c>
      <c r="N15" s="344"/>
      <c r="O15" s="345"/>
      <c r="P15" s="345"/>
      <c r="Q15" s="345"/>
      <c r="R15" s="345"/>
      <c r="S15" s="345"/>
      <c r="T15" s="345"/>
      <c r="U15" s="345"/>
      <c r="V15" s="345"/>
      <c r="W15" s="345"/>
      <c r="X15" s="345"/>
      <c r="Y15" s="339"/>
      <c r="Z15" s="339"/>
      <c r="AA15" s="339"/>
      <c r="AB15" s="339"/>
      <c r="AC15" s="339"/>
      <c r="AD15" s="339"/>
      <c r="AE15" s="339"/>
      <c r="AF15" s="339"/>
    </row>
    <row r="16" spans="1:32" s="115" customFormat="1" ht="30" customHeight="1" thickBot="1" x14ac:dyDescent="0.45">
      <c r="A16" s="350"/>
      <c r="B16" s="380">
        <f>SUM(B14*B15)*1000</f>
        <v>61126.8</v>
      </c>
      <c r="C16" s="380">
        <f t="shared" ref="C16:M16" si="3">SUM(C14*C15)*1000</f>
        <v>54749.100000000006</v>
      </c>
      <c r="D16" s="380">
        <f t="shared" si="3"/>
        <v>55270.425000000003</v>
      </c>
      <c r="E16" s="380">
        <f t="shared" si="3"/>
        <v>58709.700000000004</v>
      </c>
      <c r="F16" s="380">
        <f t="shared" si="3"/>
        <v>48171.375</v>
      </c>
      <c r="G16" s="380">
        <f t="shared" si="3"/>
        <v>54640.75</v>
      </c>
      <c r="H16" s="380">
        <f t="shared" si="3"/>
        <v>65936.354000000007</v>
      </c>
      <c r="I16" s="380">
        <f t="shared" si="3"/>
        <v>64715.367999999995</v>
      </c>
      <c r="J16" s="380">
        <f t="shared" si="3"/>
        <v>54890.465000000004</v>
      </c>
      <c r="K16" s="380">
        <f t="shared" si="3"/>
        <v>57600.240000000005</v>
      </c>
      <c r="L16" s="380">
        <f t="shared" si="3"/>
        <v>57456.324999999997</v>
      </c>
      <c r="M16" s="380">
        <f t="shared" si="3"/>
        <v>69030.515000000014</v>
      </c>
      <c r="N16" s="351"/>
      <c r="O16" s="345"/>
      <c r="P16" s="345"/>
      <c r="Q16" s="345"/>
      <c r="R16" s="345"/>
      <c r="S16" s="345"/>
      <c r="T16" s="345"/>
      <c r="U16" s="345"/>
      <c r="V16" s="345"/>
      <c r="W16" s="345"/>
      <c r="X16" s="345"/>
      <c r="Y16" s="348"/>
      <c r="Z16" s="348"/>
      <c r="AA16" s="348"/>
      <c r="AB16" s="348"/>
      <c r="AC16" s="348"/>
      <c r="AD16" s="348"/>
      <c r="AE16" s="348"/>
      <c r="AF16" s="348"/>
    </row>
    <row r="17" spans="1:32" ht="30" customHeight="1" thickTop="1" x14ac:dyDescent="0.4">
      <c r="A17" s="349" t="s">
        <v>2</v>
      </c>
      <c r="B17" s="389">
        <v>19899.52</v>
      </c>
      <c r="C17" s="390">
        <v>17587.66</v>
      </c>
      <c r="D17" s="389">
        <v>16071.42</v>
      </c>
      <c r="E17" s="391">
        <v>16488.439999999999</v>
      </c>
      <c r="F17" s="391">
        <v>19970.849999999999</v>
      </c>
      <c r="G17" s="391">
        <v>11733.04</v>
      </c>
      <c r="H17" s="391">
        <v>13529.38</v>
      </c>
      <c r="I17" s="391">
        <v>13017.31</v>
      </c>
      <c r="J17" s="391">
        <v>19740.669999999998</v>
      </c>
      <c r="K17" s="391">
        <v>19369.73</v>
      </c>
      <c r="L17" s="391">
        <v>13370.11</v>
      </c>
      <c r="M17" s="391">
        <v>28435.68</v>
      </c>
      <c r="N17" s="341"/>
      <c r="O17" s="345">
        <f>SUM(B17:M17)</f>
        <v>209213.81</v>
      </c>
      <c r="P17" s="345">
        <f>O17/12</f>
        <v>17434.484166666665</v>
      </c>
      <c r="Q17" s="345">
        <f>P17/30</f>
        <v>581.14947222222213</v>
      </c>
      <c r="R17" s="345">
        <f>Q17/24</f>
        <v>24.214561342592589</v>
      </c>
      <c r="S17" s="345"/>
      <c r="T17" s="345"/>
      <c r="U17" s="345"/>
      <c r="V17" s="345"/>
      <c r="W17" s="345"/>
      <c r="X17" s="345"/>
      <c r="Y17" s="339"/>
      <c r="Z17" s="339"/>
      <c r="AA17" s="339"/>
      <c r="AB17" s="339"/>
      <c r="AC17" s="339"/>
      <c r="AD17" s="339"/>
      <c r="AE17" s="339"/>
      <c r="AF17" s="339"/>
    </row>
    <row r="18" spans="1:32" ht="30" customHeight="1" x14ac:dyDescent="0.4">
      <c r="A18" s="343" t="s">
        <v>1</v>
      </c>
      <c r="B18" s="377">
        <v>5929.6</v>
      </c>
      <c r="C18" s="390">
        <v>5240.72</v>
      </c>
      <c r="D18" s="377">
        <v>4788.91</v>
      </c>
      <c r="E18" s="379">
        <v>493.18</v>
      </c>
      <c r="F18" s="379">
        <v>5950.86</v>
      </c>
      <c r="G18" s="379">
        <v>3496.18</v>
      </c>
      <c r="H18" s="379">
        <v>4033.31</v>
      </c>
      <c r="I18" s="379">
        <v>3880.66</v>
      </c>
      <c r="J18" s="379">
        <v>5884.99</v>
      </c>
      <c r="K18" s="379">
        <v>5774.41</v>
      </c>
      <c r="L18" s="379">
        <v>3985.83</v>
      </c>
      <c r="M18" s="379">
        <v>1186.5999999999999</v>
      </c>
      <c r="N18" s="341"/>
      <c r="O18" s="345">
        <f>SUM(B18:M18)</f>
        <v>50645.249999999993</v>
      </c>
      <c r="P18" s="345">
        <f>O18/12</f>
        <v>4220.4374999999991</v>
      </c>
      <c r="Q18" s="345">
        <f>P18/30</f>
        <v>140.68124999999998</v>
      </c>
      <c r="R18" s="345">
        <f>Q18/24</f>
        <v>5.8617187499999988</v>
      </c>
      <c r="S18" s="345"/>
      <c r="T18" s="345"/>
      <c r="U18" s="345"/>
      <c r="V18" s="345"/>
      <c r="W18" s="345"/>
      <c r="X18" s="345"/>
      <c r="Y18" s="339"/>
      <c r="Z18" s="339"/>
      <c r="AA18" s="339"/>
      <c r="AB18" s="339"/>
      <c r="AC18" s="339"/>
      <c r="AD18" s="339"/>
      <c r="AE18" s="339"/>
      <c r="AF18" s="339"/>
    </row>
    <row r="19" spans="1:32" ht="30" customHeight="1" x14ac:dyDescent="0.4">
      <c r="A19" s="343" t="s">
        <v>0</v>
      </c>
      <c r="B19" s="377">
        <v>134.41</v>
      </c>
      <c r="C19" s="378">
        <v>134.41</v>
      </c>
      <c r="D19" s="377">
        <v>134.41</v>
      </c>
      <c r="E19" s="379">
        <v>134.41</v>
      </c>
      <c r="F19" s="379">
        <v>134.41</v>
      </c>
      <c r="G19" s="379">
        <v>134.41</v>
      </c>
      <c r="H19" s="379">
        <v>144.49</v>
      </c>
      <c r="I19" s="379">
        <v>144.49</v>
      </c>
      <c r="J19" s="379">
        <v>144.49</v>
      </c>
      <c r="K19" s="379">
        <v>144.49</v>
      </c>
      <c r="L19" s="379">
        <v>144.49</v>
      </c>
      <c r="M19" s="379">
        <v>144.49</v>
      </c>
      <c r="N19" s="341"/>
      <c r="O19" s="345">
        <f>SUM(B19:M19)</f>
        <v>1673.4</v>
      </c>
      <c r="P19" s="345">
        <f>O19/12</f>
        <v>139.45000000000002</v>
      </c>
      <c r="Q19" s="345">
        <f>P19/30</f>
        <v>4.6483333333333343</v>
      </c>
      <c r="R19" s="345">
        <f>Q19/24</f>
        <v>0.19368055555555561</v>
      </c>
      <c r="S19" s="345"/>
      <c r="T19" s="345"/>
      <c r="U19" s="345"/>
      <c r="V19" s="345"/>
      <c r="W19" s="345"/>
      <c r="X19" s="345"/>
      <c r="Y19" s="339"/>
      <c r="Z19" s="339"/>
      <c r="AA19" s="339"/>
      <c r="AB19" s="339"/>
      <c r="AC19" s="339"/>
      <c r="AD19" s="339"/>
      <c r="AE19" s="339"/>
      <c r="AF19" s="339"/>
    </row>
    <row r="20" spans="1:32" ht="30" customHeight="1" thickBot="1" x14ac:dyDescent="0.45">
      <c r="A20" s="352" t="s">
        <v>10</v>
      </c>
      <c r="B20" s="392">
        <v>221.88</v>
      </c>
      <c r="C20" s="393">
        <v>221.88</v>
      </c>
      <c r="D20" s="392">
        <v>221.88</v>
      </c>
      <c r="E20" s="394">
        <v>221.88</v>
      </c>
      <c r="F20" s="394">
        <v>221.88</v>
      </c>
      <c r="G20" s="394">
        <v>221.88</v>
      </c>
      <c r="H20" s="394">
        <v>226.47</v>
      </c>
      <c r="I20" s="394">
        <v>226.47</v>
      </c>
      <c r="J20" s="394">
        <v>226.47</v>
      </c>
      <c r="K20" s="394">
        <v>226.47</v>
      </c>
      <c r="L20" s="394">
        <v>226.47</v>
      </c>
      <c r="M20" s="394">
        <v>226.47</v>
      </c>
      <c r="N20" s="341"/>
      <c r="O20" s="345">
        <f>SUM(B20:M20)</f>
        <v>2690.1</v>
      </c>
      <c r="P20" s="345">
        <f>O20/12</f>
        <v>224.17499999999998</v>
      </c>
      <c r="Q20" s="345">
        <f>P20/30</f>
        <v>7.4724999999999993</v>
      </c>
      <c r="R20" s="345">
        <f>Q20/24</f>
        <v>0.31135416666666665</v>
      </c>
      <c r="S20" s="345"/>
      <c r="T20" s="345"/>
      <c r="U20" s="345"/>
      <c r="V20" s="345"/>
      <c r="W20" s="345"/>
      <c r="X20" s="345"/>
      <c r="Y20" s="339"/>
      <c r="Z20" s="339"/>
      <c r="AA20" s="339"/>
      <c r="AB20" s="339"/>
      <c r="AC20" s="339"/>
      <c r="AD20" s="339"/>
      <c r="AE20" s="339"/>
      <c r="AF20" s="339"/>
    </row>
    <row r="21" spans="1:32" ht="30" customHeight="1" thickBot="1" x14ac:dyDescent="0.45">
      <c r="A21" s="353"/>
      <c r="B21" s="395"/>
      <c r="C21" s="371"/>
      <c r="D21" s="372"/>
      <c r="E21" s="373"/>
      <c r="F21" s="373"/>
      <c r="G21" s="373"/>
      <c r="H21" s="373"/>
      <c r="I21" s="373"/>
      <c r="J21" s="373"/>
      <c r="K21" s="373"/>
      <c r="L21" s="373"/>
      <c r="M21" s="373"/>
      <c r="N21" s="342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39"/>
      <c r="Z21" s="339"/>
      <c r="AA21" s="339"/>
      <c r="AB21" s="339"/>
      <c r="AC21" s="339"/>
      <c r="AD21" s="339"/>
      <c r="AE21" s="339"/>
      <c r="AF21" s="339"/>
    </row>
    <row r="22" spans="1:32" ht="30" customHeight="1" thickBot="1" x14ac:dyDescent="0.45">
      <c r="A22" s="354" t="s">
        <v>81</v>
      </c>
      <c r="B22" s="396">
        <f>B8+B11+B14</f>
        <v>204.75700000000001</v>
      </c>
      <c r="C22" s="396">
        <f>C8+C11+C14</f>
        <v>218.18799999999999</v>
      </c>
      <c r="D22" s="396">
        <f t="shared" ref="D22:M22" si="4">D8+D11+D14</f>
        <v>192.45099999999999</v>
      </c>
      <c r="E22" s="396">
        <f t="shared" si="4"/>
        <v>203.476</v>
      </c>
      <c r="F22" s="396">
        <f t="shared" si="4"/>
        <v>191.678</v>
      </c>
      <c r="G22" s="396">
        <f t="shared" si="4"/>
        <v>195.876</v>
      </c>
      <c r="H22" s="396">
        <f t="shared" si="4"/>
        <v>211.202</v>
      </c>
      <c r="I22" s="396">
        <f t="shared" si="4"/>
        <v>218.762</v>
      </c>
      <c r="J22" s="396">
        <f t="shared" si="4"/>
        <v>211.19499999999999</v>
      </c>
      <c r="K22" s="396">
        <f t="shared" si="4"/>
        <v>220.88900000000001</v>
      </c>
      <c r="L22" s="396">
        <f t="shared" si="4"/>
        <v>227.435</v>
      </c>
      <c r="M22" s="396">
        <f t="shared" si="4"/>
        <v>240.57</v>
      </c>
      <c r="N22" s="344"/>
      <c r="O22" s="345">
        <f>SUM(B22:M22)</f>
        <v>2536.4789999999998</v>
      </c>
      <c r="P22" s="345">
        <f>O22/12</f>
        <v>211.37324999999998</v>
      </c>
      <c r="Q22" s="345">
        <f>P22/30</f>
        <v>7.0457749999999999</v>
      </c>
      <c r="R22" s="345">
        <f>Q22/24</f>
        <v>0.29357395833333333</v>
      </c>
      <c r="S22" s="345"/>
      <c r="T22" s="345"/>
      <c r="U22" s="345"/>
      <c r="V22" s="345"/>
      <c r="W22" s="345"/>
      <c r="X22" s="345"/>
      <c r="Y22" s="339"/>
      <c r="Z22" s="339"/>
      <c r="AA22" s="339"/>
      <c r="AB22" s="339"/>
      <c r="AC22" s="339"/>
      <c r="AD22" s="339"/>
      <c r="AE22" s="339"/>
      <c r="AF22" s="339"/>
    </row>
    <row r="23" spans="1:32" s="115" customFormat="1" ht="30" customHeight="1" thickBot="1" x14ac:dyDescent="0.45">
      <c r="A23" s="355" t="s">
        <v>12</v>
      </c>
      <c r="B23" s="397">
        <f>B16+B13+B10+B17+B18+B19+B20+B7</f>
        <v>220179.72400000002</v>
      </c>
      <c r="C23" s="398">
        <f t="shared" ref="C23:M23" si="5">C16+C13+C10+C17+C18+C19+C20+C7</f>
        <v>242580.274</v>
      </c>
      <c r="D23" s="397">
        <f t="shared" si="5"/>
        <v>206795.00300000003</v>
      </c>
      <c r="E23" s="399">
        <f t="shared" si="5"/>
        <v>216748.46600000001</v>
      </c>
      <c r="F23" s="399">
        <f t="shared" si="5"/>
        <v>221673.519</v>
      </c>
      <c r="G23" s="399">
        <f>G16+G13+G10+G17+G18+G19+G20+G7</f>
        <v>308959.14600000001</v>
      </c>
      <c r="H23" s="399">
        <f t="shared" si="5"/>
        <v>326777.61899999989</v>
      </c>
      <c r="I23" s="399">
        <f t="shared" si="5"/>
        <v>344280.17199999996</v>
      </c>
      <c r="J23" s="399">
        <f t="shared" si="5"/>
        <v>237894.82099999997</v>
      </c>
      <c r="K23" s="399">
        <f t="shared" si="5"/>
        <v>248278.47200000001</v>
      </c>
      <c r="L23" s="399">
        <f>L16+L13+L10+L17+L18+L19+L20+L7</f>
        <v>247486.61499999993</v>
      </c>
      <c r="M23" s="399">
        <f t="shared" si="5"/>
        <v>261790.93299999999</v>
      </c>
      <c r="N23" s="356"/>
      <c r="O23" s="345"/>
      <c r="P23" s="345"/>
      <c r="Q23" s="345"/>
      <c r="R23" s="345"/>
      <c r="S23" s="345"/>
      <c r="T23" s="345"/>
      <c r="U23" s="345"/>
      <c r="V23" s="345"/>
      <c r="W23" s="345"/>
      <c r="X23" s="345"/>
      <c r="Y23" s="348"/>
      <c r="Z23" s="348"/>
      <c r="AA23" s="348"/>
      <c r="AB23" s="348"/>
      <c r="AC23" s="348"/>
      <c r="AD23" s="348"/>
      <c r="AE23" s="348"/>
      <c r="AF23" s="348"/>
    </row>
    <row r="24" spans="1:32" s="115" customFormat="1" ht="30" customHeight="1" x14ac:dyDescent="0.4">
      <c r="A24" s="348"/>
      <c r="B24" s="400"/>
      <c r="C24" s="401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356"/>
      <c r="O24" s="345"/>
      <c r="P24" s="345"/>
      <c r="Q24" s="345"/>
      <c r="R24" s="345"/>
      <c r="S24" s="345"/>
      <c r="T24" s="345"/>
      <c r="U24" s="345"/>
      <c r="V24" s="345"/>
      <c r="W24" s="345"/>
      <c r="X24" s="345"/>
      <c r="Y24" s="348"/>
      <c r="Z24" s="348"/>
      <c r="AA24" s="348"/>
      <c r="AB24" s="348"/>
      <c r="AC24" s="348"/>
      <c r="AD24" s="348"/>
      <c r="AE24" s="348"/>
      <c r="AF24" s="348"/>
    </row>
    <row r="25" spans="1:32" s="115" customFormat="1" ht="30" customHeight="1" x14ac:dyDescent="0.4">
      <c r="A25" s="348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356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348"/>
      <c r="AB25" s="348"/>
      <c r="AC25" s="348"/>
      <c r="AD25" s="348"/>
      <c r="AE25" s="348"/>
      <c r="AF25" s="348"/>
    </row>
    <row r="26" spans="1:32" s="115" customFormat="1" ht="30" customHeight="1" x14ac:dyDescent="0.4">
      <c r="A26" s="348"/>
      <c r="B26" s="400"/>
      <c r="C26" s="401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356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48"/>
      <c r="AB26" s="348"/>
      <c r="AC26" s="348"/>
      <c r="AD26" s="348"/>
      <c r="AE26" s="348"/>
      <c r="AF26" s="348"/>
    </row>
    <row r="27" spans="1:32" ht="30" customHeight="1" thickBot="1" x14ac:dyDescent="0.45">
      <c r="A27" s="339"/>
      <c r="B27" s="402"/>
      <c r="C27" s="403"/>
      <c r="D27" s="404"/>
      <c r="E27" s="404"/>
      <c r="F27" s="404"/>
      <c r="G27" s="404"/>
      <c r="H27" s="404"/>
      <c r="I27" s="404"/>
      <c r="J27" s="404"/>
      <c r="K27" s="404"/>
      <c r="L27" s="404"/>
      <c r="M27" s="404"/>
      <c r="N27" s="342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</row>
    <row r="28" spans="1:32" ht="30" customHeight="1" thickBot="1" x14ac:dyDescent="0.45">
      <c r="A28" s="358" t="s">
        <v>53</v>
      </c>
      <c r="B28" s="405" t="s">
        <v>54</v>
      </c>
      <c r="C28" s="406" t="s">
        <v>44</v>
      </c>
      <c r="D28" s="407" t="s">
        <v>45</v>
      </c>
      <c r="E28" s="407" t="s">
        <v>46</v>
      </c>
      <c r="F28" s="408"/>
      <c r="G28" s="404"/>
      <c r="H28" s="404"/>
      <c r="I28" s="404"/>
      <c r="J28" s="404"/>
      <c r="K28" s="404"/>
      <c r="L28" s="404"/>
      <c r="M28" s="404"/>
      <c r="N28" s="342"/>
      <c r="O28" s="339"/>
      <c r="P28" s="339"/>
      <c r="Q28" s="339"/>
      <c r="R28" s="339"/>
      <c r="S28" s="339"/>
      <c r="T28" s="339"/>
      <c r="U28" s="339"/>
      <c r="V28" s="339"/>
      <c r="W28" s="339"/>
      <c r="X28" s="339"/>
      <c r="Y28" s="339"/>
      <c r="Z28" s="339"/>
      <c r="AA28" s="339"/>
      <c r="AB28" s="339"/>
      <c r="AC28" s="339"/>
      <c r="AD28" s="339"/>
      <c r="AE28" s="339"/>
      <c r="AF28" s="339"/>
    </row>
    <row r="29" spans="1:32" ht="30" customHeight="1" thickBot="1" x14ac:dyDescent="0.45">
      <c r="A29" s="359" t="s">
        <v>43</v>
      </c>
      <c r="B29" s="409">
        <f>Complete!D4</f>
        <v>7821</v>
      </c>
      <c r="C29" s="410">
        <f>B29</f>
        <v>7821</v>
      </c>
      <c r="D29" s="411">
        <f>C29</f>
        <v>7821</v>
      </c>
      <c r="E29" s="411">
        <f>D29</f>
        <v>7821</v>
      </c>
      <c r="F29" s="412"/>
      <c r="G29" s="404"/>
      <c r="H29" s="404"/>
      <c r="I29" s="404"/>
      <c r="J29" s="404"/>
      <c r="K29" s="404"/>
      <c r="L29" s="404"/>
      <c r="M29" s="404"/>
      <c r="N29" s="342"/>
      <c r="O29" s="339"/>
      <c r="P29" s="339"/>
      <c r="Q29" s="339"/>
      <c r="R29" s="339"/>
      <c r="S29" s="339"/>
      <c r="T29" s="339"/>
      <c r="U29" s="339"/>
      <c r="V29" s="339"/>
      <c r="W29" s="339"/>
      <c r="X29" s="339"/>
      <c r="Y29" s="339"/>
      <c r="Z29" s="339"/>
      <c r="AA29" s="339"/>
      <c r="AB29" s="339"/>
      <c r="AC29" s="339"/>
      <c r="AD29" s="339"/>
      <c r="AE29" s="339"/>
      <c r="AF29" s="339"/>
    </row>
    <row r="30" spans="1:32" ht="30" customHeight="1" thickBot="1" x14ac:dyDescent="0.45">
      <c r="A30" s="366"/>
      <c r="B30" s="401"/>
      <c r="C30" s="401"/>
      <c r="D30" s="371"/>
      <c r="E30" s="373"/>
      <c r="F30" s="413"/>
      <c r="G30" s="404"/>
      <c r="H30" s="404"/>
      <c r="I30" s="404"/>
      <c r="J30" s="404"/>
      <c r="K30" s="404"/>
      <c r="L30" s="404"/>
      <c r="M30" s="404"/>
      <c r="N30" s="342"/>
      <c r="O30" s="339"/>
      <c r="P30" s="339"/>
      <c r="Q30" s="339"/>
      <c r="R30" s="339"/>
      <c r="S30" s="339"/>
      <c r="T30" s="339"/>
      <c r="U30" s="339"/>
      <c r="V30" s="339"/>
      <c r="W30" s="339"/>
      <c r="X30" s="339"/>
      <c r="Y30" s="339"/>
      <c r="Z30" s="339"/>
      <c r="AA30" s="339"/>
      <c r="AB30" s="339"/>
      <c r="AC30" s="339"/>
      <c r="AD30" s="339"/>
      <c r="AE30" s="339"/>
      <c r="AF30" s="339"/>
    </row>
    <row r="31" spans="1:32" ht="30" customHeight="1" thickBot="1" x14ac:dyDescent="0.45">
      <c r="A31" s="360" t="s">
        <v>72</v>
      </c>
      <c r="B31" s="414">
        <f>O5</f>
        <v>4753.2300000000005</v>
      </c>
      <c r="C31" s="415">
        <f>P5</f>
        <v>396.10250000000002</v>
      </c>
      <c r="D31" s="415">
        <f>Q5</f>
        <v>13.203416666666667</v>
      </c>
      <c r="E31" s="415">
        <f>R5</f>
        <v>0.55014236111111114</v>
      </c>
      <c r="F31" s="416"/>
      <c r="G31" s="404"/>
      <c r="H31" s="404"/>
      <c r="I31" s="404"/>
      <c r="J31" s="404"/>
      <c r="K31" s="404"/>
      <c r="L31" s="404"/>
      <c r="M31" s="404"/>
      <c r="N31" s="342"/>
      <c r="O31" s="339"/>
      <c r="P31" s="339"/>
      <c r="Q31" s="339"/>
      <c r="R31" s="339"/>
      <c r="S31" s="339"/>
      <c r="T31" s="339"/>
      <c r="U31" s="339"/>
      <c r="V31" s="339"/>
      <c r="W31" s="339"/>
      <c r="X31" s="339"/>
      <c r="Y31" s="339"/>
      <c r="Z31" s="339"/>
      <c r="AA31" s="339"/>
      <c r="AB31" s="361">
        <f>SUM(B22:M22)</f>
        <v>2536.4789999999998</v>
      </c>
      <c r="AC31" s="339"/>
      <c r="AD31" s="339"/>
      <c r="AE31" s="339"/>
      <c r="AF31" s="339"/>
    </row>
    <row r="32" spans="1:32" ht="30" customHeight="1" x14ac:dyDescent="0.4">
      <c r="A32" s="349" t="s">
        <v>5</v>
      </c>
      <c r="B32" s="384">
        <f>O8</f>
        <v>948.21100000000013</v>
      </c>
      <c r="C32" s="386">
        <f>P8</f>
        <v>79.017583333333349</v>
      </c>
      <c r="D32" s="386">
        <f>Q8</f>
        <v>2.6339194444444449</v>
      </c>
      <c r="E32" s="386">
        <f>R8</f>
        <v>0.10974664351851854</v>
      </c>
      <c r="F32" s="416"/>
      <c r="G32" s="404"/>
      <c r="H32" s="404"/>
      <c r="I32" s="404"/>
      <c r="J32" s="404"/>
      <c r="K32" s="404"/>
      <c r="L32" s="404"/>
      <c r="M32" s="404"/>
      <c r="N32" s="342"/>
      <c r="O32" s="339"/>
      <c r="P32" s="339"/>
      <c r="Q32" s="339"/>
      <c r="R32" s="339"/>
      <c r="S32" s="339"/>
      <c r="T32" s="339"/>
      <c r="U32" s="339"/>
      <c r="V32" s="339"/>
      <c r="W32" s="339"/>
      <c r="X32" s="339"/>
      <c r="Y32" s="339"/>
      <c r="Z32" s="339"/>
      <c r="AA32" s="339"/>
      <c r="AB32" s="357">
        <f>AB31/12</f>
        <v>211.37324999999998</v>
      </c>
      <c r="AC32" s="339"/>
      <c r="AD32" s="339"/>
      <c r="AE32" s="339"/>
      <c r="AF32" s="339"/>
    </row>
    <row r="33" spans="1:32" ht="30" customHeight="1" x14ac:dyDescent="0.4">
      <c r="A33" s="343" t="s">
        <v>48</v>
      </c>
      <c r="B33" s="374">
        <f>O11</f>
        <v>312.37899999999996</v>
      </c>
      <c r="C33" s="376">
        <f>P11</f>
        <v>26.03158333333333</v>
      </c>
      <c r="D33" s="376">
        <f>Q11</f>
        <v>0.86771944444444438</v>
      </c>
      <c r="E33" s="376">
        <f>R11</f>
        <v>3.6154976851851851E-2</v>
      </c>
      <c r="F33" s="416"/>
      <c r="G33" s="404"/>
      <c r="H33" s="404"/>
      <c r="I33" s="404"/>
      <c r="J33" s="404"/>
      <c r="K33" s="404"/>
      <c r="L33" s="404"/>
      <c r="M33" s="404"/>
      <c r="N33" s="342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42">
        <f>AB32/30</f>
        <v>7.0457749999999999</v>
      </c>
      <c r="AC33" s="339"/>
      <c r="AD33" s="339"/>
      <c r="AE33" s="339"/>
      <c r="AF33" s="339"/>
    </row>
    <row r="34" spans="1:32" ht="30" customHeight="1" thickBot="1" x14ac:dyDescent="0.45">
      <c r="A34" s="352" t="s">
        <v>9</v>
      </c>
      <c r="B34" s="417">
        <f>O14</f>
        <v>1275.8890000000001</v>
      </c>
      <c r="C34" s="418">
        <f>P14</f>
        <v>106.32408333333335</v>
      </c>
      <c r="D34" s="418">
        <f>Q14</f>
        <v>3.5441361111111118</v>
      </c>
      <c r="E34" s="418">
        <f>R14</f>
        <v>0.147672337962963</v>
      </c>
      <c r="F34" s="416"/>
      <c r="G34" s="404"/>
      <c r="H34" s="404"/>
      <c r="I34" s="404"/>
      <c r="J34" s="404"/>
      <c r="K34" s="404"/>
      <c r="L34" s="404"/>
      <c r="M34" s="404"/>
      <c r="N34" s="342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39"/>
      <c r="AB34" s="342">
        <f>AB33/24</f>
        <v>0.29357395833333333</v>
      </c>
      <c r="AC34" s="339"/>
      <c r="AD34" s="339"/>
      <c r="AE34" s="339"/>
      <c r="AF34" s="339"/>
    </row>
    <row r="35" spans="1:32" ht="30" customHeight="1" thickBot="1" x14ac:dyDescent="0.45">
      <c r="A35" s="366"/>
      <c r="B35" s="419"/>
      <c r="C35" s="419"/>
      <c r="D35" s="419"/>
      <c r="E35" s="420"/>
      <c r="F35" s="416"/>
      <c r="G35" s="404"/>
      <c r="H35" s="404"/>
      <c r="I35" s="404"/>
      <c r="J35" s="404"/>
      <c r="K35" s="404"/>
      <c r="L35" s="404"/>
      <c r="M35" s="404"/>
      <c r="N35" s="342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39"/>
      <c r="AB35" s="339"/>
      <c r="AC35" s="339"/>
      <c r="AD35" s="339"/>
      <c r="AE35" s="339"/>
      <c r="AF35" s="339"/>
    </row>
    <row r="36" spans="1:32" ht="30" customHeight="1" thickBot="1" x14ac:dyDescent="0.45">
      <c r="A36" s="362" t="s">
        <v>73</v>
      </c>
      <c r="B36" s="396">
        <f>SUM(B32:B34)</f>
        <v>2536.4790000000003</v>
      </c>
      <c r="C36" s="396">
        <f>SUM(C32:C34)</f>
        <v>211.37325000000004</v>
      </c>
      <c r="D36" s="396">
        <f>SUM(D32:D34)</f>
        <v>7.0457750000000008</v>
      </c>
      <c r="E36" s="396">
        <f>SUM(E32:E34)</f>
        <v>0.29357395833333338</v>
      </c>
      <c r="F36" s="421"/>
      <c r="G36" s="404"/>
      <c r="H36" s="404"/>
      <c r="I36" s="404"/>
      <c r="J36" s="404"/>
      <c r="K36" s="404"/>
      <c r="L36" s="404"/>
      <c r="M36" s="404"/>
      <c r="N36" s="342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39"/>
      <c r="Z36" s="339"/>
      <c r="AA36" s="339"/>
      <c r="AB36" s="339"/>
      <c r="AC36" s="339"/>
      <c r="AD36" s="339"/>
      <c r="AE36" s="339"/>
      <c r="AF36" s="339"/>
    </row>
    <row r="37" spans="1:32" ht="30" customHeight="1" thickBot="1" x14ac:dyDescent="0.45">
      <c r="A37" s="366"/>
      <c r="B37" s="419"/>
      <c r="C37" s="401"/>
      <c r="D37" s="419"/>
      <c r="E37" s="420"/>
      <c r="F37" s="416"/>
      <c r="G37" s="404"/>
      <c r="H37" s="404"/>
      <c r="I37" s="404"/>
      <c r="J37" s="404"/>
      <c r="K37" s="404"/>
      <c r="L37" s="404"/>
      <c r="M37" s="404"/>
      <c r="N37" s="342"/>
      <c r="O37" s="339"/>
      <c r="P37" s="339"/>
      <c r="Q37" s="339"/>
      <c r="R37" s="339"/>
      <c r="S37" s="339"/>
      <c r="T37" s="339"/>
      <c r="U37" s="339"/>
      <c r="V37" s="339"/>
      <c r="W37" s="339"/>
      <c r="X37" s="339"/>
      <c r="Y37" s="339"/>
      <c r="Z37" s="339"/>
      <c r="AA37" s="339"/>
      <c r="AB37" s="339"/>
      <c r="AC37" s="339"/>
      <c r="AD37" s="339"/>
      <c r="AE37" s="339"/>
      <c r="AF37" s="339"/>
    </row>
    <row r="38" spans="1:32" s="163" customFormat="1" ht="30" customHeight="1" thickBot="1" x14ac:dyDescent="0.45">
      <c r="A38" s="363" t="s">
        <v>47</v>
      </c>
      <c r="B38" s="422">
        <f>B36/B29*1000</f>
        <v>324.31645569620252</v>
      </c>
      <c r="C38" s="422">
        <f>C36/C29*1000</f>
        <v>27.026371308016884</v>
      </c>
      <c r="D38" s="422">
        <f>D36/D29*1000</f>
        <v>0.9008790436005627</v>
      </c>
      <c r="E38" s="422">
        <f>E36/E29*1000</f>
        <v>3.7536626816690115E-2</v>
      </c>
      <c r="F38" s="423" t="s">
        <v>11</v>
      </c>
      <c r="G38" s="404"/>
      <c r="H38" s="424"/>
      <c r="I38" s="424"/>
      <c r="J38" s="424"/>
      <c r="K38" s="424"/>
      <c r="L38" s="424"/>
      <c r="M38" s="424"/>
      <c r="N38" s="364"/>
      <c r="O38" s="365"/>
      <c r="P38" s="365"/>
      <c r="Q38" s="365"/>
      <c r="R38" s="365"/>
      <c r="S38" s="365"/>
      <c r="T38" s="365"/>
      <c r="U38" s="365"/>
      <c r="V38" s="365"/>
      <c r="W38" s="365"/>
      <c r="X38" s="365"/>
      <c r="Y38" s="365"/>
      <c r="Z38" s="365"/>
      <c r="AA38" s="365"/>
      <c r="AB38" s="365"/>
      <c r="AC38" s="365"/>
      <c r="AD38" s="365"/>
      <c r="AE38" s="365"/>
      <c r="AF38" s="365"/>
    </row>
    <row r="39" spans="1:32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32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32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32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32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32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32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32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32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32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4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4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4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4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4" ht="128.25" customHeight="1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55" spans="1:14" x14ac:dyDescent="0.3">
      <c r="N55" s="313"/>
    </row>
    <row r="56" spans="1:14" x14ac:dyDescent="0.3">
      <c r="N56" s="313"/>
    </row>
    <row r="57" spans="1:14" x14ac:dyDescent="0.3">
      <c r="N57" s="313"/>
    </row>
    <row r="58" spans="1:14" x14ac:dyDescent="0.3">
      <c r="N58" s="313"/>
    </row>
    <row r="59" spans="1:14" x14ac:dyDescent="0.3">
      <c r="N59" s="313"/>
    </row>
    <row r="79" spans="15:19" ht="19.5" thickBot="1" x14ac:dyDescent="0.35"/>
    <row r="80" spans="15:19" x14ac:dyDescent="0.3">
      <c r="O80" s="191"/>
      <c r="P80" s="192" t="s">
        <v>52</v>
      </c>
      <c r="Q80" s="193" t="s">
        <v>49</v>
      </c>
      <c r="R80" s="194" t="s">
        <v>50</v>
      </c>
      <c r="S80" s="194" t="s">
        <v>51</v>
      </c>
    </row>
    <row r="81" spans="1:19" ht="19.5" hidden="1" thickBot="1" x14ac:dyDescent="0.35">
      <c r="A81" s="167" t="s">
        <v>2</v>
      </c>
      <c r="B81" s="425">
        <f t="shared" ref="B81:G81" si="6">B17/18.29</f>
        <v>1088</v>
      </c>
      <c r="C81" s="425">
        <f t="shared" si="6"/>
        <v>961.59978130125751</v>
      </c>
      <c r="D81" s="425">
        <f t="shared" si="6"/>
        <v>878.69983597594319</v>
      </c>
      <c r="E81" s="425">
        <f t="shared" si="6"/>
        <v>901.50027337342806</v>
      </c>
      <c r="F81" s="425">
        <f t="shared" si="6"/>
        <v>1091.8999453253143</v>
      </c>
      <c r="G81" s="425">
        <f t="shared" si="6"/>
        <v>641.50027337342817</v>
      </c>
      <c r="H81" s="425">
        <f t="shared" ref="H81:M81" si="7">H17/20.16</f>
        <v>671.10019841269832</v>
      </c>
      <c r="I81" s="425">
        <f t="shared" si="7"/>
        <v>645.69990079365073</v>
      </c>
      <c r="J81" s="425">
        <f t="shared" si="7"/>
        <v>979.19990079365073</v>
      </c>
      <c r="K81" s="425">
        <f t="shared" si="7"/>
        <v>960.80009920634916</v>
      </c>
      <c r="L81" s="425">
        <f t="shared" si="7"/>
        <v>663.19990079365084</v>
      </c>
      <c r="M81" s="426">
        <f t="shared" si="7"/>
        <v>1410.5</v>
      </c>
      <c r="N81" s="170">
        <f>SUM(B81:M81)</f>
        <v>10893.700109349371</v>
      </c>
      <c r="O81" s="195">
        <f>SUM(C81:N81)</f>
        <v>20699.400218698742</v>
      </c>
      <c r="P81" s="196">
        <f>O81</f>
        <v>20699.400218698742</v>
      </c>
      <c r="Q81" s="197">
        <f>P81/12</f>
        <v>1724.9500182248951</v>
      </c>
      <c r="R81" s="197">
        <f>Q81/30</f>
        <v>57.498333940829838</v>
      </c>
      <c r="S81" s="198">
        <f>R81/24</f>
        <v>2.3957639142012432</v>
      </c>
    </row>
  </sheetData>
  <mergeCells count="1">
    <mergeCell ref="A39:L53"/>
  </mergeCells>
  <pageMargins left="0.98425196850393704" right="0.98425196850393704" top="0.98425196850393704" bottom="0.98425196850393704" header="0.51181102362204722" footer="0.51181102362204722"/>
  <pageSetup paperSize="9" scale="37" fitToHeight="2" orientation="landscape" r:id="rId1"/>
  <rowBreaks count="1" manualBreakCount="1">
    <brk id="99" max="16383" man="1"/>
  </rowBreaks>
  <colBreaks count="1" manualBreakCount="1">
    <brk id="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16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Complete!B5</f>
        <v>Deposita Systems (Pty) Ltd</v>
      </c>
      <c r="B1" s="79"/>
      <c r="C1" s="86" t="str">
        <f>Complete!A5</f>
        <v>1 Slate Road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129.11000000000001</v>
      </c>
      <c r="C5" s="105">
        <v>131.25</v>
      </c>
      <c r="D5" s="106">
        <v>124.59</v>
      </c>
      <c r="E5" s="107">
        <v>124.75</v>
      </c>
      <c r="F5" s="107">
        <v>93.18</v>
      </c>
      <c r="G5" s="107">
        <v>104.79</v>
      </c>
      <c r="H5" s="107">
        <v>111.18</v>
      </c>
      <c r="I5" s="107">
        <v>102.19</v>
      </c>
      <c r="J5" s="107">
        <v>116.05</v>
      </c>
      <c r="K5" s="107">
        <v>116.36</v>
      </c>
      <c r="L5" s="107">
        <v>123.85</v>
      </c>
      <c r="M5" s="107">
        <v>123.98</v>
      </c>
      <c r="N5" s="100"/>
      <c r="O5" s="108">
        <f>SUM(B5:M5)</f>
        <v>1401.28</v>
      </c>
      <c r="P5" s="108">
        <f>O5/12</f>
        <v>116.77333333333333</v>
      </c>
      <c r="Q5" s="108">
        <f>P5/30</f>
        <v>3.8924444444444442</v>
      </c>
      <c r="R5" s="108">
        <f>Q5/24</f>
        <v>0.16218518518518518</v>
      </c>
      <c r="S5" s="89">
        <v>0</v>
      </c>
      <c r="T5" s="89">
        <v>0</v>
      </c>
      <c r="U5" s="89">
        <v>0</v>
      </c>
      <c r="V5" s="89">
        <v>0</v>
      </c>
      <c r="X5" s="108">
        <f>O5</f>
        <v>1401.28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20205.715000000004</v>
      </c>
      <c r="C7" s="111">
        <f t="shared" ref="C7:M7" si="0">C6*C5</f>
        <v>20553.75</v>
      </c>
      <c r="D7" s="112">
        <f t="shared" si="0"/>
        <v>19510.793999999998</v>
      </c>
      <c r="E7" s="113">
        <f t="shared" si="0"/>
        <v>19535.849999999999</v>
      </c>
      <c r="F7" s="113">
        <f t="shared" si="0"/>
        <v>14591.988000000001</v>
      </c>
      <c r="G7" s="113">
        <f t="shared" si="0"/>
        <v>16410.114000000001</v>
      </c>
      <c r="H7" s="113">
        <f t="shared" si="0"/>
        <v>17733.210000000003</v>
      </c>
      <c r="I7" s="113">
        <f t="shared" si="0"/>
        <v>16299.305</v>
      </c>
      <c r="J7" s="113">
        <f t="shared" si="0"/>
        <v>18509.974999999999</v>
      </c>
      <c r="K7" s="113">
        <f t="shared" si="0"/>
        <v>18559.419999999998</v>
      </c>
      <c r="L7" s="113">
        <f t="shared" si="0"/>
        <v>19754.075000000001</v>
      </c>
      <c r="M7" s="113">
        <f t="shared" si="0"/>
        <v>19774.810000000001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19.399999999999999</v>
      </c>
      <c r="C8" s="238">
        <v>19.518000000000001</v>
      </c>
      <c r="D8" s="124">
        <v>20.817</v>
      </c>
      <c r="E8" s="207">
        <v>14.747</v>
      </c>
      <c r="F8" s="207">
        <v>15.638</v>
      </c>
      <c r="G8" s="207">
        <v>15.375999999999999</v>
      </c>
      <c r="H8" s="207">
        <v>14.973000000000001</v>
      </c>
      <c r="I8" s="207">
        <v>16.675999999999998</v>
      </c>
      <c r="J8" s="207">
        <v>17.436</v>
      </c>
      <c r="K8" s="207">
        <v>18.77</v>
      </c>
      <c r="L8" s="207">
        <v>20.501000000000001</v>
      </c>
      <c r="M8" s="207">
        <v>17.309000000000001</v>
      </c>
      <c r="N8" s="100"/>
      <c r="O8" s="108">
        <f>SUM(B8:M8)</f>
        <v>211.16100000000003</v>
      </c>
      <c r="P8" s="108">
        <f>O8/12</f>
        <v>17.596750000000004</v>
      </c>
      <c r="Q8" s="108">
        <f>P8/30</f>
        <v>0.5865583333333334</v>
      </c>
      <c r="R8" s="108">
        <f>Q8/24</f>
        <v>2.4439930555555558E-2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14394.799999999997</v>
      </c>
      <c r="C10" s="322">
        <f t="shared" ref="C10:M10" si="1">SUM(C8*C9)*1000</f>
        <v>14482.356000000002</v>
      </c>
      <c r="D10" s="322">
        <f t="shared" si="1"/>
        <v>15446.214</v>
      </c>
      <c r="E10" s="322">
        <f t="shared" si="1"/>
        <v>10942.273999999999</v>
      </c>
      <c r="F10" s="322">
        <f t="shared" si="1"/>
        <v>11603.396000000001</v>
      </c>
      <c r="G10" s="322">
        <f t="shared" si="1"/>
        <v>17613.207999999999</v>
      </c>
      <c r="H10" s="322">
        <f t="shared" si="1"/>
        <v>17473.491000000002</v>
      </c>
      <c r="I10" s="322">
        <f t="shared" si="1"/>
        <v>19460.891999999996</v>
      </c>
      <c r="J10" s="322">
        <f t="shared" si="1"/>
        <v>13181.616</v>
      </c>
      <c r="K10" s="322">
        <f t="shared" si="1"/>
        <v>14190.12</v>
      </c>
      <c r="L10" s="322">
        <f t="shared" si="1"/>
        <v>15498.755999999999</v>
      </c>
      <c r="M10" s="322">
        <f t="shared" si="1"/>
        <v>13085.603999999999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7.1589999999999998</v>
      </c>
      <c r="D11" s="124">
        <v>3.91</v>
      </c>
      <c r="E11" s="207">
        <v>5.08</v>
      </c>
      <c r="F11" s="207">
        <v>5.9130000000000003</v>
      </c>
      <c r="G11" s="207">
        <v>6.4690000000000003</v>
      </c>
      <c r="H11" s="207">
        <v>6.3810000000000002</v>
      </c>
      <c r="I11" s="207">
        <v>6.9240000000000004</v>
      </c>
      <c r="J11" s="207">
        <v>6.1470000000000002</v>
      </c>
      <c r="K11" s="207">
        <v>7.0019999999999998</v>
      </c>
      <c r="L11" s="207">
        <v>7.5549999999999997</v>
      </c>
      <c r="M11" s="207">
        <v>6.4909999999999997</v>
      </c>
      <c r="N11" s="100"/>
      <c r="O11" s="108">
        <f>SUM(B11:M11)</f>
        <v>72.862000000000009</v>
      </c>
      <c r="P11" s="108">
        <f>O11/12</f>
        <v>6.0718333333333341</v>
      </c>
      <c r="Q11" s="108">
        <f>P11/30</f>
        <v>0.20239444444444446</v>
      </c>
      <c r="R11" s="108">
        <f>Q11/24</f>
        <v>8.4331018518518531E-3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8597.9589999999989</v>
      </c>
      <c r="D13" s="110">
        <f t="shared" si="2"/>
        <v>4695.9100000000008</v>
      </c>
      <c r="E13" s="110">
        <f t="shared" si="2"/>
        <v>6101.0800000000008</v>
      </c>
      <c r="F13" s="110">
        <f t="shared" si="2"/>
        <v>7101.5130000000008</v>
      </c>
      <c r="G13" s="110">
        <f t="shared" si="2"/>
        <v>20286.784</v>
      </c>
      <c r="H13" s="110">
        <f t="shared" si="2"/>
        <v>20387.294999999998</v>
      </c>
      <c r="I13" s="110">
        <f t="shared" si="2"/>
        <v>22122.18</v>
      </c>
      <c r="J13" s="110">
        <f t="shared" si="2"/>
        <v>7523.9279999999999</v>
      </c>
      <c r="K13" s="110">
        <f t="shared" si="2"/>
        <v>8570.4479999999985</v>
      </c>
      <c r="L13" s="110">
        <f t="shared" si="2"/>
        <v>9247.32</v>
      </c>
      <c r="M13" s="110">
        <f t="shared" si="2"/>
        <v>7944.9839999999995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11.749000000000001</v>
      </c>
      <c r="C14" s="118">
        <v>12.192</v>
      </c>
      <c r="D14" s="119">
        <v>11.661</v>
      </c>
      <c r="E14" s="120">
        <v>12.991</v>
      </c>
      <c r="F14" s="120">
        <v>10.37</v>
      </c>
      <c r="G14" s="120">
        <v>10.426</v>
      </c>
      <c r="H14" s="120">
        <v>11.877000000000001</v>
      </c>
      <c r="I14" s="120">
        <v>10.992000000000001</v>
      </c>
      <c r="J14" s="120">
        <v>11.503</v>
      </c>
      <c r="K14" s="120">
        <v>12.148</v>
      </c>
      <c r="L14" s="120">
        <v>12.6</v>
      </c>
      <c r="M14" s="120">
        <v>14.885999999999999</v>
      </c>
      <c r="N14" s="100"/>
      <c r="O14" s="108">
        <f>SUM(B14:M14)</f>
        <v>143.39499999999998</v>
      </c>
      <c r="P14" s="108">
        <f>O14/12</f>
        <v>11.949583333333331</v>
      </c>
      <c r="Q14" s="108">
        <f>P14/30</f>
        <v>0.39831944444444439</v>
      </c>
      <c r="R14" s="108">
        <f>Q14/24</f>
        <v>1.6596643518518518E-2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6168.2250000000004</v>
      </c>
      <c r="C16" s="110">
        <f t="shared" ref="C16:M16" si="3">SUM(C14*C15)*1000</f>
        <v>6400.8</v>
      </c>
      <c r="D16" s="110">
        <f t="shared" si="3"/>
        <v>6122.0249999999996</v>
      </c>
      <c r="E16" s="110">
        <f t="shared" si="3"/>
        <v>6820.2750000000005</v>
      </c>
      <c r="F16" s="110">
        <f t="shared" si="3"/>
        <v>5444.25</v>
      </c>
      <c r="G16" s="110">
        <f t="shared" si="3"/>
        <v>6359.8600000000006</v>
      </c>
      <c r="H16" s="110">
        <f t="shared" si="3"/>
        <v>7387.4940000000006</v>
      </c>
      <c r="I16" s="110">
        <f t="shared" si="3"/>
        <v>6837.0240000000003</v>
      </c>
      <c r="J16" s="110">
        <f t="shared" si="3"/>
        <v>6154.1050000000005</v>
      </c>
      <c r="K16" s="110">
        <f t="shared" si="3"/>
        <v>6499.18</v>
      </c>
      <c r="L16" s="110">
        <f t="shared" si="3"/>
        <v>6741.0000000000009</v>
      </c>
      <c r="M16" s="110">
        <f t="shared" si="3"/>
        <v>7964.01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228">
        <v>3279.4</v>
      </c>
      <c r="C17" s="229">
        <v>3169.66</v>
      </c>
      <c r="D17" s="228">
        <v>3361.7</v>
      </c>
      <c r="E17" s="230">
        <v>3047.11</v>
      </c>
      <c r="F17" s="230">
        <v>3407.43</v>
      </c>
      <c r="G17" s="230">
        <v>3515.34</v>
      </c>
      <c r="H17" s="230">
        <v>4126.75</v>
      </c>
      <c r="I17" s="230">
        <v>5433.12</v>
      </c>
      <c r="J17" s="230">
        <v>4937.18</v>
      </c>
      <c r="K17" s="230">
        <v>4245.7</v>
      </c>
      <c r="L17" s="230">
        <v>3532.03</v>
      </c>
      <c r="M17" s="230">
        <v>5618.59</v>
      </c>
      <c r="N17" s="100"/>
      <c r="O17" s="108">
        <f>SUM(B17:M17)</f>
        <v>47674.009999999995</v>
      </c>
      <c r="P17" s="108">
        <f>O17/12</f>
        <v>3972.8341666666661</v>
      </c>
      <c r="Q17" s="108">
        <f>P17/30</f>
        <v>132.42780555555552</v>
      </c>
      <c r="R17" s="108">
        <f>Q17/24</f>
        <v>5.5178252314814804</v>
      </c>
    </row>
    <row r="18" spans="1:28" x14ac:dyDescent="0.3">
      <c r="A18" s="103" t="s">
        <v>1</v>
      </c>
      <c r="B18" s="231">
        <v>977.19</v>
      </c>
      <c r="C18" s="229">
        <v>944.49</v>
      </c>
      <c r="D18" s="231">
        <v>1001.71</v>
      </c>
      <c r="E18" s="232">
        <v>907.97</v>
      </c>
      <c r="F18" s="232">
        <v>1015.34</v>
      </c>
      <c r="G18" s="232">
        <v>1047.49</v>
      </c>
      <c r="H18" s="232">
        <v>1230.25</v>
      </c>
      <c r="I18" s="232">
        <v>1619.7</v>
      </c>
      <c r="J18" s="232">
        <v>1471.85</v>
      </c>
      <c r="K18" s="232">
        <v>1265.71</v>
      </c>
      <c r="L18" s="232">
        <v>1052.95</v>
      </c>
      <c r="M18" s="232">
        <v>1674.99</v>
      </c>
      <c r="N18" s="100"/>
      <c r="O18" s="108">
        <f>SUM(B18:M18)</f>
        <v>14209.640000000001</v>
      </c>
      <c r="P18" s="108">
        <f>O18/12</f>
        <v>1184.1366666666668</v>
      </c>
      <c r="Q18" s="108">
        <f>P18/30</f>
        <v>39.471222222222224</v>
      </c>
      <c r="R18" s="108">
        <f>Q18/24</f>
        <v>1.6446342592592593</v>
      </c>
    </row>
    <row r="19" spans="1:28" x14ac:dyDescent="0.3">
      <c r="A19" s="103" t="s">
        <v>0</v>
      </c>
      <c r="B19" s="231">
        <v>134.41</v>
      </c>
      <c r="C19" s="233">
        <v>134.41</v>
      </c>
      <c r="D19" s="231">
        <v>134.41</v>
      </c>
      <c r="E19" s="232">
        <v>134.41</v>
      </c>
      <c r="F19" s="232">
        <v>134.41</v>
      </c>
      <c r="G19" s="232">
        <v>134.41</v>
      </c>
      <c r="H19" s="232">
        <v>144.49</v>
      </c>
      <c r="I19" s="232">
        <v>144.49</v>
      </c>
      <c r="J19" s="232">
        <v>144.49</v>
      </c>
      <c r="K19" s="232">
        <v>144.49</v>
      </c>
      <c r="L19" s="232">
        <v>144.49</v>
      </c>
      <c r="M19" s="232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234">
        <v>221.88</v>
      </c>
      <c r="C20" s="235">
        <v>221.88</v>
      </c>
      <c r="D20" s="234">
        <v>221.88</v>
      </c>
      <c r="E20" s="236">
        <v>221.88</v>
      </c>
      <c r="F20" s="236">
        <v>221.88</v>
      </c>
      <c r="G20" s="236">
        <v>221.88</v>
      </c>
      <c r="H20" s="236">
        <v>226.47</v>
      </c>
      <c r="I20" s="236">
        <v>226.47</v>
      </c>
      <c r="J20" s="236">
        <v>226.47</v>
      </c>
      <c r="K20" s="236">
        <v>226.47</v>
      </c>
      <c r="L20" s="236">
        <v>226.47</v>
      </c>
      <c r="M20" s="236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34.979999999999997</v>
      </c>
      <c r="C22" s="314">
        <f>C8+C11+C14</f>
        <v>38.869</v>
      </c>
      <c r="D22" s="314">
        <f t="shared" ref="D22:M22" si="4">D8+D11+D14</f>
        <v>36.387999999999998</v>
      </c>
      <c r="E22" s="314">
        <f t="shared" si="4"/>
        <v>32.817999999999998</v>
      </c>
      <c r="F22" s="314">
        <f t="shared" si="4"/>
        <v>31.920999999999999</v>
      </c>
      <c r="G22" s="314">
        <f t="shared" si="4"/>
        <v>32.271000000000001</v>
      </c>
      <c r="H22" s="314">
        <f t="shared" si="4"/>
        <v>33.231000000000002</v>
      </c>
      <c r="I22" s="314">
        <f t="shared" si="4"/>
        <v>34.591999999999999</v>
      </c>
      <c r="J22" s="314">
        <f t="shared" si="4"/>
        <v>35.085999999999999</v>
      </c>
      <c r="K22" s="314">
        <f t="shared" si="4"/>
        <v>37.92</v>
      </c>
      <c r="L22" s="314">
        <f t="shared" si="4"/>
        <v>40.655999999999999</v>
      </c>
      <c r="M22" s="314">
        <f t="shared" si="4"/>
        <v>38.686</v>
      </c>
      <c r="N22" s="138"/>
      <c r="O22" s="108">
        <f>SUM(B22:M22)</f>
        <v>427.41800000000001</v>
      </c>
      <c r="P22" s="108">
        <f>O22/12</f>
        <v>35.618166666666667</v>
      </c>
      <c r="Q22" s="108">
        <f>P22/30</f>
        <v>1.1872722222222223</v>
      </c>
      <c r="R22" s="108">
        <f>Q22/24</f>
        <v>4.9469675925925931E-2</v>
      </c>
    </row>
    <row r="23" spans="1:28" s="115" customFormat="1" ht="19.5" thickBot="1" x14ac:dyDescent="0.35">
      <c r="A23" s="139" t="s">
        <v>12</v>
      </c>
      <c r="B23" s="140">
        <f>B16+B13+B10+B17+B18+B19+B20+B7</f>
        <v>49982.650999999998</v>
      </c>
      <c r="C23" s="141">
        <f t="shared" ref="C23:M23" si="5">C16+C13+C10+C17+C18+C19+C20+C7</f>
        <v>54505.305</v>
      </c>
      <c r="D23" s="140">
        <f t="shared" si="5"/>
        <v>50494.642999999996</v>
      </c>
      <c r="E23" s="142">
        <f t="shared" si="5"/>
        <v>47710.849000000002</v>
      </c>
      <c r="F23" s="142">
        <f t="shared" si="5"/>
        <v>43520.207000000002</v>
      </c>
      <c r="G23" s="142">
        <f t="shared" si="5"/>
        <v>65589.085999999996</v>
      </c>
      <c r="H23" s="142">
        <f t="shared" si="5"/>
        <v>68709.45</v>
      </c>
      <c r="I23" s="142">
        <f t="shared" si="5"/>
        <v>72143.180999999997</v>
      </c>
      <c r="J23" s="142">
        <f t="shared" si="5"/>
        <v>52149.613999999994</v>
      </c>
      <c r="K23" s="142">
        <f t="shared" si="5"/>
        <v>53701.537999999993</v>
      </c>
      <c r="L23" s="142">
        <f>L16+L13+L10+L17+L18+L19+L20+L7</f>
        <v>56197.091</v>
      </c>
      <c r="M23" s="142">
        <f t="shared" si="5"/>
        <v>56433.947999999989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Complete!D5</f>
        <v>4320</v>
      </c>
      <c r="C29" s="150">
        <f>B29</f>
        <v>4320</v>
      </c>
      <c r="D29" s="151">
        <f>C29</f>
        <v>4320</v>
      </c>
      <c r="E29" s="151">
        <f>D29</f>
        <v>4320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1401.28</v>
      </c>
      <c r="C31" s="154">
        <f>P5</f>
        <v>116.77333333333333</v>
      </c>
      <c r="D31" s="154">
        <f>Q5</f>
        <v>3.8924444444444442</v>
      </c>
      <c r="E31" s="154">
        <f>R5</f>
        <v>0.16218518518518518</v>
      </c>
      <c r="F31" s="154"/>
      <c r="AB31" s="155">
        <f>SUM(B22:M22)</f>
        <v>427.41800000000001</v>
      </c>
    </row>
    <row r="32" spans="1:28" x14ac:dyDescent="0.3">
      <c r="A32" s="116" t="s">
        <v>5</v>
      </c>
      <c r="B32" s="124">
        <f>O8</f>
        <v>211.16100000000003</v>
      </c>
      <c r="C32" s="207">
        <f>P8</f>
        <v>17.596750000000004</v>
      </c>
      <c r="D32" s="207">
        <f>Q8</f>
        <v>0.5865583333333334</v>
      </c>
      <c r="E32" s="207">
        <f>R8</f>
        <v>2.4439930555555558E-2</v>
      </c>
      <c r="F32" s="156"/>
      <c r="AB32" s="143">
        <f>AB31/12</f>
        <v>35.618166666666667</v>
      </c>
    </row>
    <row r="33" spans="1:28" x14ac:dyDescent="0.3">
      <c r="A33" s="103" t="s">
        <v>48</v>
      </c>
      <c r="B33" s="104">
        <f>O11</f>
        <v>72.862000000000009</v>
      </c>
      <c r="C33" s="206">
        <f>P11</f>
        <v>6.0718333333333341</v>
      </c>
      <c r="D33" s="206">
        <f>Q11</f>
        <v>0.20239444444444446</v>
      </c>
      <c r="E33" s="206">
        <f>R11</f>
        <v>8.4331018518518531E-3</v>
      </c>
      <c r="F33" s="157"/>
      <c r="AB33" s="88">
        <f>AB32/30</f>
        <v>1.1872722222222223</v>
      </c>
    </row>
    <row r="34" spans="1:28" ht="19.5" thickBot="1" x14ac:dyDescent="0.35">
      <c r="A34" s="131" t="s">
        <v>9</v>
      </c>
      <c r="B34" s="319">
        <f>O14</f>
        <v>143.39499999999998</v>
      </c>
      <c r="C34" s="315">
        <f>P14</f>
        <v>11.949583333333331</v>
      </c>
      <c r="D34" s="315">
        <f>Q14</f>
        <v>0.39831944444444439</v>
      </c>
      <c r="E34" s="315">
        <f>R14</f>
        <v>1.6596643518518518E-2</v>
      </c>
      <c r="F34" s="158"/>
      <c r="AB34" s="88">
        <f>AB33/24</f>
        <v>4.9469675925925931E-2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427.41800000000001</v>
      </c>
      <c r="C36" s="314">
        <f>SUM(C32:C34)</f>
        <v>35.618166666666667</v>
      </c>
      <c r="D36" s="314">
        <f>SUM(D32:D34)</f>
        <v>1.1872722222222223</v>
      </c>
      <c r="E36" s="314">
        <f>SUM(E32:E34)</f>
        <v>4.9469675925925924E-2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98.939351851851853</v>
      </c>
      <c r="C38" s="160">
        <f>C36/C29*1000</f>
        <v>8.2449459876543205</v>
      </c>
      <c r="D38" s="160">
        <f>D36/D29*1000</f>
        <v>0.27483153292181067</v>
      </c>
      <c r="E38" s="160">
        <f>E36/E29*1000</f>
        <v>1.1451313871742112E-2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179.30016402405687</v>
      </c>
      <c r="C76" s="168">
        <f t="shared" si="6"/>
        <v>173.30016402405687</v>
      </c>
      <c r="D76" s="168">
        <f t="shared" si="6"/>
        <v>183.79989065062875</v>
      </c>
      <c r="E76" s="168">
        <f t="shared" si="6"/>
        <v>166.59978130125754</v>
      </c>
      <c r="F76" s="168">
        <f t="shared" si="6"/>
        <v>186.30016402405687</v>
      </c>
      <c r="G76" s="168">
        <f t="shared" si="6"/>
        <v>192.20010934937125</v>
      </c>
      <c r="H76" s="168">
        <f t="shared" ref="H76:M76" si="7">H17/20.16</f>
        <v>204.69990079365078</v>
      </c>
      <c r="I76" s="168">
        <f t="shared" si="7"/>
        <v>269.5</v>
      </c>
      <c r="J76" s="168">
        <f t="shared" si="7"/>
        <v>244.8998015873016</v>
      </c>
      <c r="K76" s="168">
        <f t="shared" si="7"/>
        <v>210.6001984126984</v>
      </c>
      <c r="L76" s="168">
        <f t="shared" si="7"/>
        <v>175.19990079365081</v>
      </c>
      <c r="M76" s="169">
        <f t="shared" si="7"/>
        <v>278.69990079365078</v>
      </c>
      <c r="N76" s="170">
        <f>SUM(B76:M76)</f>
        <v>2465.0999757543805</v>
      </c>
      <c r="O76" s="195">
        <f>SUM(C76:N76)</f>
        <v>4750.8997874847046</v>
      </c>
      <c r="P76" s="196">
        <f>O76</f>
        <v>4750.8997874847046</v>
      </c>
      <c r="Q76" s="197">
        <f>P76/12</f>
        <v>395.9083156237254</v>
      </c>
      <c r="R76" s="197">
        <f>Q76/30</f>
        <v>13.19694385412418</v>
      </c>
      <c r="S76" s="198">
        <f>R76/24</f>
        <v>0.54987266058850748</v>
      </c>
    </row>
  </sheetData>
  <mergeCells count="1">
    <mergeCell ref="A39:L53"/>
  </mergeCells>
  <pageMargins left="1" right="1" top="1" bottom="1" header="0.5" footer="0.5"/>
  <pageSetup paperSize="9" scale="40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24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Complete!B6</f>
        <v>Landis and Gyr (Pty) Ltd</v>
      </c>
      <c r="B1" s="79"/>
      <c r="C1" s="86" t="str">
        <f>Complete!A6</f>
        <v>2 Slate Road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168.4</v>
      </c>
      <c r="C5" s="105">
        <v>227.45</v>
      </c>
      <c r="D5" s="106">
        <v>204.02</v>
      </c>
      <c r="E5" s="107">
        <v>188.59</v>
      </c>
      <c r="F5" s="107">
        <v>208.69</v>
      </c>
      <c r="G5" s="107">
        <v>195.94</v>
      </c>
      <c r="H5" s="107">
        <v>201.2</v>
      </c>
      <c r="I5" s="107">
        <v>195.07</v>
      </c>
      <c r="J5" s="107">
        <v>171.18</v>
      </c>
      <c r="K5" s="107">
        <v>191.86</v>
      </c>
      <c r="L5" s="107">
        <v>197.82</v>
      </c>
      <c r="M5" s="107">
        <v>187.38</v>
      </c>
      <c r="N5" s="100"/>
      <c r="O5" s="108">
        <f>SUM(B5:M5)</f>
        <v>2337.6000000000004</v>
      </c>
      <c r="P5" s="108">
        <f>O5/12</f>
        <v>194.80000000000004</v>
      </c>
      <c r="Q5" s="108">
        <f>P5/30</f>
        <v>6.493333333333335</v>
      </c>
      <c r="R5" s="108">
        <f>Q5/24</f>
        <v>0.2705555555555556</v>
      </c>
      <c r="S5" s="89">
        <v>0</v>
      </c>
      <c r="T5" s="89">
        <v>0</v>
      </c>
      <c r="U5" s="89">
        <v>0</v>
      </c>
      <c r="V5" s="89">
        <v>0</v>
      </c>
      <c r="X5" s="108">
        <f>O5</f>
        <v>2337.6000000000004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26354.600000000002</v>
      </c>
      <c r="C7" s="111">
        <f t="shared" ref="C7:M7" si="0">C6*C5</f>
        <v>35618.67</v>
      </c>
      <c r="D7" s="112">
        <f t="shared" si="0"/>
        <v>31949.531999999999</v>
      </c>
      <c r="E7" s="113">
        <f t="shared" si="0"/>
        <v>29533.194</v>
      </c>
      <c r="F7" s="113">
        <f t="shared" si="0"/>
        <v>32680.853999999999</v>
      </c>
      <c r="G7" s="113">
        <f t="shared" si="0"/>
        <v>30684.203999999998</v>
      </c>
      <c r="H7" s="113">
        <f t="shared" si="0"/>
        <v>32091.399999999998</v>
      </c>
      <c r="I7" s="113">
        <f t="shared" si="0"/>
        <v>31113.664999999997</v>
      </c>
      <c r="J7" s="113">
        <f t="shared" si="0"/>
        <v>27303.210000000003</v>
      </c>
      <c r="K7" s="113">
        <f t="shared" si="0"/>
        <v>30601.670000000002</v>
      </c>
      <c r="L7" s="113">
        <f t="shared" si="0"/>
        <v>31552.289999999997</v>
      </c>
      <c r="M7" s="113">
        <f t="shared" si="0"/>
        <v>29887.11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25.01</v>
      </c>
      <c r="C8" s="238">
        <v>28.170999999999999</v>
      </c>
      <c r="D8" s="124">
        <v>29.103999999999999</v>
      </c>
      <c r="E8" s="207">
        <v>19.137</v>
      </c>
      <c r="F8" s="207">
        <v>27.414999999999999</v>
      </c>
      <c r="G8" s="207">
        <v>30.686</v>
      </c>
      <c r="H8" s="207">
        <v>31.018999999999998</v>
      </c>
      <c r="I8" s="207">
        <v>29.45</v>
      </c>
      <c r="J8" s="207">
        <v>23.632000000000001</v>
      </c>
      <c r="K8" s="207">
        <v>26.254999999999999</v>
      </c>
      <c r="L8" s="207">
        <v>29.504999999999999</v>
      </c>
      <c r="M8" s="207">
        <v>24.658000000000001</v>
      </c>
      <c r="N8" s="100"/>
      <c r="O8" s="108">
        <f>SUM(B8:M8)</f>
        <v>324.04200000000003</v>
      </c>
      <c r="P8" s="108">
        <f>O8/12</f>
        <v>27.003500000000003</v>
      </c>
      <c r="Q8" s="108">
        <f>P8/30</f>
        <v>0.90011666666666679</v>
      </c>
      <c r="R8" s="108">
        <f>Q8/24</f>
        <v>3.7504861111111114E-2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18557.420000000002</v>
      </c>
      <c r="C10" s="322">
        <f t="shared" ref="C10:M10" si="1">SUM(C8*C9)*1000</f>
        <v>20902.881999999998</v>
      </c>
      <c r="D10" s="322">
        <f t="shared" si="1"/>
        <v>21595.167999999998</v>
      </c>
      <c r="E10" s="322">
        <f t="shared" si="1"/>
        <v>14199.654</v>
      </c>
      <c r="F10" s="322">
        <f t="shared" si="1"/>
        <v>20341.929999999997</v>
      </c>
      <c r="G10" s="322">
        <f t="shared" si="1"/>
        <v>35150.813000000002</v>
      </c>
      <c r="H10" s="322">
        <f t="shared" si="1"/>
        <v>36199.173000000003</v>
      </c>
      <c r="I10" s="322">
        <f t="shared" si="1"/>
        <v>34368.15</v>
      </c>
      <c r="J10" s="322">
        <f t="shared" si="1"/>
        <v>17865.792000000001</v>
      </c>
      <c r="K10" s="322">
        <f t="shared" si="1"/>
        <v>19848.78</v>
      </c>
      <c r="L10" s="322">
        <f t="shared" si="1"/>
        <v>22305.78</v>
      </c>
      <c r="M10" s="322">
        <f t="shared" si="1"/>
        <v>18641.448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10.038</v>
      </c>
      <c r="D11" s="124">
        <v>3.91</v>
      </c>
      <c r="E11" s="207">
        <v>7.0519999999999996</v>
      </c>
      <c r="F11" s="207">
        <v>11.23</v>
      </c>
      <c r="G11" s="207">
        <v>13.186</v>
      </c>
      <c r="H11" s="207">
        <v>13.368</v>
      </c>
      <c r="I11" s="207">
        <v>12.494</v>
      </c>
      <c r="J11" s="207">
        <v>8.782</v>
      </c>
      <c r="K11" s="207">
        <v>9.7170000000000005</v>
      </c>
      <c r="L11" s="207">
        <v>10.316000000000001</v>
      </c>
      <c r="M11" s="207">
        <v>9.1120000000000001</v>
      </c>
      <c r="N11" s="100"/>
      <c r="O11" s="108">
        <f>SUM(B11:M11)</f>
        <v>113.036</v>
      </c>
      <c r="P11" s="108">
        <f>O11/12</f>
        <v>9.4196666666666662</v>
      </c>
      <c r="Q11" s="108">
        <f>P11/30</f>
        <v>0.31398888888888887</v>
      </c>
      <c r="R11" s="108">
        <f>Q11/24</f>
        <v>1.308287037037037E-2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12055.638000000003</v>
      </c>
      <c r="D13" s="110">
        <f t="shared" si="2"/>
        <v>4695.9100000000008</v>
      </c>
      <c r="E13" s="110">
        <f t="shared" si="2"/>
        <v>8469.4520000000011</v>
      </c>
      <c r="F13" s="110">
        <f t="shared" si="2"/>
        <v>13487.230000000001</v>
      </c>
      <c r="G13" s="110">
        <f t="shared" si="2"/>
        <v>41351.296000000002</v>
      </c>
      <c r="H13" s="110">
        <f t="shared" si="2"/>
        <v>42710.76</v>
      </c>
      <c r="I13" s="110">
        <f t="shared" si="2"/>
        <v>39918.329999999994</v>
      </c>
      <c r="J13" s="110">
        <f t="shared" si="2"/>
        <v>10749.168</v>
      </c>
      <c r="K13" s="110">
        <f t="shared" si="2"/>
        <v>11893.608</v>
      </c>
      <c r="L13" s="110">
        <f t="shared" si="2"/>
        <v>12626.784000000001</v>
      </c>
      <c r="M13" s="110">
        <f t="shared" si="2"/>
        <v>11153.088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20.175000000000001</v>
      </c>
      <c r="C14" s="118">
        <v>21.091000000000001</v>
      </c>
      <c r="D14" s="119">
        <v>19.498999999999999</v>
      </c>
      <c r="E14" s="120">
        <v>19.864000000000001</v>
      </c>
      <c r="F14" s="120">
        <v>21.581</v>
      </c>
      <c r="G14" s="120">
        <v>24.498000000000001</v>
      </c>
      <c r="H14" s="120">
        <v>28.236999999999998</v>
      </c>
      <c r="I14" s="120">
        <v>27.547999999999998</v>
      </c>
      <c r="J14" s="120">
        <v>17.780999999999999</v>
      </c>
      <c r="K14" s="120">
        <v>17.786999999999999</v>
      </c>
      <c r="L14" s="120">
        <v>17.033999999999999</v>
      </c>
      <c r="M14" s="120">
        <v>29.498000000000001</v>
      </c>
      <c r="N14" s="100"/>
      <c r="O14" s="108">
        <f>SUM(B14:M14)</f>
        <v>264.59300000000002</v>
      </c>
      <c r="P14" s="108">
        <f>O14/12</f>
        <v>22.049416666666669</v>
      </c>
      <c r="Q14" s="108">
        <f>P14/30</f>
        <v>0.73498055555555564</v>
      </c>
      <c r="R14" s="108">
        <f>Q14/24</f>
        <v>3.0624189814814819E-2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10591.875000000002</v>
      </c>
      <c r="C16" s="110">
        <f t="shared" ref="C16:M16" si="3">SUM(C14*C15)*1000</f>
        <v>11072.775000000001</v>
      </c>
      <c r="D16" s="110">
        <f t="shared" si="3"/>
        <v>10236.974999999999</v>
      </c>
      <c r="E16" s="110">
        <f t="shared" si="3"/>
        <v>10428.6</v>
      </c>
      <c r="F16" s="110">
        <f t="shared" si="3"/>
        <v>11330.025000000001</v>
      </c>
      <c r="G16" s="110">
        <f t="shared" si="3"/>
        <v>14943.78</v>
      </c>
      <c r="H16" s="110">
        <f t="shared" si="3"/>
        <v>17563.413999999997</v>
      </c>
      <c r="I16" s="110">
        <f t="shared" si="3"/>
        <v>17134.856</v>
      </c>
      <c r="J16" s="110">
        <f t="shared" si="3"/>
        <v>9512.8349999999991</v>
      </c>
      <c r="K16" s="110">
        <f t="shared" si="3"/>
        <v>9516.0450000000001</v>
      </c>
      <c r="L16" s="110">
        <f t="shared" si="3"/>
        <v>9113.1899999999987</v>
      </c>
      <c r="M16" s="110">
        <f t="shared" si="3"/>
        <v>15781.430000000002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228">
        <v>13241.94</v>
      </c>
      <c r="C17" s="229">
        <v>8331.1</v>
      </c>
      <c r="D17" s="228">
        <v>4810.2700000000004</v>
      </c>
      <c r="E17" s="230">
        <v>3336.1</v>
      </c>
      <c r="F17" s="230">
        <v>4298.1499999999996</v>
      </c>
      <c r="G17" s="230">
        <v>4001.85</v>
      </c>
      <c r="H17" s="230">
        <v>4124.75</v>
      </c>
      <c r="I17" s="230">
        <v>5433.12</v>
      </c>
      <c r="J17" s="230">
        <v>5515.78</v>
      </c>
      <c r="K17" s="230">
        <v>4388.83</v>
      </c>
      <c r="L17" s="230">
        <v>3163.1</v>
      </c>
      <c r="M17" s="230">
        <v>3965.47</v>
      </c>
      <c r="N17" s="100"/>
      <c r="O17" s="108">
        <f>SUM(B17:M17)</f>
        <v>64610.46</v>
      </c>
      <c r="P17" s="108">
        <f>O17/12</f>
        <v>5384.2049999999999</v>
      </c>
      <c r="Q17" s="108">
        <f>P17/30</f>
        <v>179.4735</v>
      </c>
      <c r="R17" s="108">
        <f>Q17/24</f>
        <v>7.4780625000000001</v>
      </c>
    </row>
    <row r="18" spans="1:28" x14ac:dyDescent="0.3">
      <c r="A18" s="103" t="s">
        <v>1</v>
      </c>
      <c r="B18" s="231">
        <v>3945.8</v>
      </c>
      <c r="C18" s="229">
        <v>2482.48</v>
      </c>
      <c r="D18" s="231">
        <v>1433.35</v>
      </c>
      <c r="E18" s="232">
        <v>994.08</v>
      </c>
      <c r="F18" s="232">
        <v>1280.75</v>
      </c>
      <c r="G18" s="232">
        <v>1192.46</v>
      </c>
      <c r="H18" s="232">
        <v>1229.6500000000001</v>
      </c>
      <c r="I18" s="232">
        <v>1619.7</v>
      </c>
      <c r="J18" s="232">
        <v>1644.34</v>
      </c>
      <c r="K18" s="232">
        <v>1308.3800000000001</v>
      </c>
      <c r="L18" s="232">
        <v>942.97</v>
      </c>
      <c r="M18" s="232">
        <v>1182.17</v>
      </c>
      <c r="N18" s="100"/>
      <c r="O18" s="108">
        <f>SUM(B18:M18)</f>
        <v>19256.130000000005</v>
      </c>
      <c r="P18" s="108">
        <f>O18/12</f>
        <v>1604.6775000000005</v>
      </c>
      <c r="Q18" s="108">
        <f>P18/30</f>
        <v>53.489250000000013</v>
      </c>
      <c r="R18" s="108">
        <f>Q18/24</f>
        <v>2.2287187500000005</v>
      </c>
    </row>
    <row r="19" spans="1:28" x14ac:dyDescent="0.3">
      <c r="A19" s="103" t="s">
        <v>0</v>
      </c>
      <c r="B19" s="231">
        <v>134.41</v>
      </c>
      <c r="C19" s="233">
        <v>134.41</v>
      </c>
      <c r="D19" s="231">
        <v>134.41</v>
      </c>
      <c r="E19" s="232">
        <v>134.41</v>
      </c>
      <c r="F19" s="232">
        <v>134.41</v>
      </c>
      <c r="G19" s="232">
        <v>134.41</v>
      </c>
      <c r="H19" s="232">
        <v>144.49</v>
      </c>
      <c r="I19" s="232">
        <v>144.49</v>
      </c>
      <c r="J19" s="232">
        <v>144.49</v>
      </c>
      <c r="K19" s="232">
        <v>144.49</v>
      </c>
      <c r="L19" s="232">
        <v>144.49</v>
      </c>
      <c r="M19" s="232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234">
        <v>221.88</v>
      </c>
      <c r="C20" s="235">
        <v>221.88</v>
      </c>
      <c r="D20" s="234">
        <v>221.88</v>
      </c>
      <c r="E20" s="236">
        <v>221.88</v>
      </c>
      <c r="F20" s="236">
        <v>221.88</v>
      </c>
      <c r="G20" s="236">
        <v>221.88</v>
      </c>
      <c r="H20" s="236">
        <v>226.47</v>
      </c>
      <c r="I20" s="236">
        <v>226.47</v>
      </c>
      <c r="J20" s="236">
        <v>226.47</v>
      </c>
      <c r="K20" s="236">
        <v>226.47</v>
      </c>
      <c r="L20" s="236">
        <v>226.47</v>
      </c>
      <c r="M20" s="236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49.016000000000005</v>
      </c>
      <c r="C22" s="314">
        <f>C8+C11+C14</f>
        <v>59.300000000000004</v>
      </c>
      <c r="D22" s="314">
        <f t="shared" ref="D22:M22" si="4">D8+D11+D14</f>
        <v>52.512999999999991</v>
      </c>
      <c r="E22" s="314">
        <f t="shared" si="4"/>
        <v>46.052999999999997</v>
      </c>
      <c r="F22" s="314">
        <f t="shared" si="4"/>
        <v>60.225999999999999</v>
      </c>
      <c r="G22" s="314">
        <f t="shared" si="4"/>
        <v>68.37</v>
      </c>
      <c r="H22" s="314">
        <f t="shared" si="4"/>
        <v>72.623999999999995</v>
      </c>
      <c r="I22" s="314">
        <f t="shared" si="4"/>
        <v>69.492000000000004</v>
      </c>
      <c r="J22" s="314">
        <f t="shared" si="4"/>
        <v>50.195</v>
      </c>
      <c r="K22" s="314">
        <f t="shared" si="4"/>
        <v>53.759</v>
      </c>
      <c r="L22" s="314">
        <f t="shared" si="4"/>
        <v>56.854999999999997</v>
      </c>
      <c r="M22" s="314">
        <f t="shared" si="4"/>
        <v>63.268000000000001</v>
      </c>
      <c r="N22" s="138"/>
      <c r="O22" s="108">
        <f>SUM(B22:M22)</f>
        <v>701.67100000000005</v>
      </c>
      <c r="P22" s="108">
        <f>O22/12</f>
        <v>58.47258333333334</v>
      </c>
      <c r="Q22" s="108">
        <f>P22/30</f>
        <v>1.9490861111111113</v>
      </c>
      <c r="R22" s="108">
        <f>Q22/24</f>
        <v>8.1211921296296299E-2</v>
      </c>
    </row>
    <row r="23" spans="1:28" s="115" customFormat="1" ht="19.5" thickBot="1" x14ac:dyDescent="0.35">
      <c r="A23" s="139" t="s">
        <v>12</v>
      </c>
      <c r="B23" s="140">
        <f>B16+B13+B10+B17+B18+B19+B20+B7</f>
        <v>77648.956000000006</v>
      </c>
      <c r="C23" s="141">
        <f t="shared" ref="C23:M23" si="5">C16+C13+C10+C17+C18+C19+C20+C7</f>
        <v>90819.834999999992</v>
      </c>
      <c r="D23" s="140">
        <f t="shared" si="5"/>
        <v>75077.494999999995</v>
      </c>
      <c r="E23" s="142">
        <f t="shared" si="5"/>
        <v>67317.37000000001</v>
      </c>
      <c r="F23" s="142">
        <f t="shared" si="5"/>
        <v>83775.228999999992</v>
      </c>
      <c r="G23" s="142">
        <f t="shared" si="5"/>
        <v>127680.69300000001</v>
      </c>
      <c r="H23" s="142">
        <f t="shared" si="5"/>
        <v>134290.10700000002</v>
      </c>
      <c r="I23" s="142">
        <f t="shared" si="5"/>
        <v>129958.78099999999</v>
      </c>
      <c r="J23" s="142">
        <f t="shared" si="5"/>
        <v>72962.084999999992</v>
      </c>
      <c r="K23" s="142">
        <f t="shared" si="5"/>
        <v>77928.273000000001</v>
      </c>
      <c r="L23" s="142">
        <f>L16+L13+L10+L17+L18+L19+L20+L7</f>
        <v>80075.073999999993</v>
      </c>
      <c r="M23" s="142">
        <f t="shared" si="5"/>
        <v>80981.676000000007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Complete!D6</f>
        <v>4600</v>
      </c>
      <c r="C29" s="150">
        <f>B29</f>
        <v>4600</v>
      </c>
      <c r="D29" s="151">
        <f>C29</f>
        <v>4600</v>
      </c>
      <c r="E29" s="151">
        <f>D29</f>
        <v>4600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2337.6000000000004</v>
      </c>
      <c r="C31" s="154">
        <f>P5</f>
        <v>194.80000000000004</v>
      </c>
      <c r="D31" s="154">
        <f>Q5</f>
        <v>6.493333333333335</v>
      </c>
      <c r="E31" s="154">
        <f>R5</f>
        <v>0.2705555555555556</v>
      </c>
      <c r="F31" s="154"/>
      <c r="AB31" s="155">
        <f>SUM(B22:M22)</f>
        <v>701.67100000000005</v>
      </c>
    </row>
    <row r="32" spans="1:28" x14ac:dyDescent="0.3">
      <c r="A32" s="116" t="s">
        <v>5</v>
      </c>
      <c r="B32" s="124">
        <f>O8</f>
        <v>324.04200000000003</v>
      </c>
      <c r="C32" s="207">
        <f>P8</f>
        <v>27.003500000000003</v>
      </c>
      <c r="D32" s="207">
        <f>Q8</f>
        <v>0.90011666666666679</v>
      </c>
      <c r="E32" s="207">
        <f>R8</f>
        <v>3.7504861111111114E-2</v>
      </c>
      <c r="F32" s="156"/>
      <c r="AB32" s="143">
        <f>AB31/12</f>
        <v>58.47258333333334</v>
      </c>
    </row>
    <row r="33" spans="1:28" x14ac:dyDescent="0.3">
      <c r="A33" s="103" t="s">
        <v>48</v>
      </c>
      <c r="B33" s="104">
        <f>O11</f>
        <v>113.036</v>
      </c>
      <c r="C33" s="206">
        <f>P11</f>
        <v>9.4196666666666662</v>
      </c>
      <c r="D33" s="206">
        <f>Q11</f>
        <v>0.31398888888888887</v>
      </c>
      <c r="E33" s="206">
        <f>R11</f>
        <v>1.308287037037037E-2</v>
      </c>
      <c r="F33" s="157"/>
      <c r="AB33" s="88">
        <f>AB32/30</f>
        <v>1.9490861111111113</v>
      </c>
    </row>
    <row r="34" spans="1:28" ht="19.5" thickBot="1" x14ac:dyDescent="0.35">
      <c r="A34" s="131" t="s">
        <v>9</v>
      </c>
      <c r="B34" s="319">
        <f>O14</f>
        <v>264.59300000000002</v>
      </c>
      <c r="C34" s="315">
        <f>P14</f>
        <v>22.049416666666669</v>
      </c>
      <c r="D34" s="315">
        <f>Q14</f>
        <v>0.73498055555555564</v>
      </c>
      <c r="E34" s="315">
        <f>R14</f>
        <v>3.0624189814814819E-2</v>
      </c>
      <c r="F34" s="158"/>
      <c r="AB34" s="88">
        <f>AB33/24</f>
        <v>8.1211921296296299E-2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701.67100000000005</v>
      </c>
      <c r="C36" s="314">
        <f>SUM(C32:C34)</f>
        <v>58.472583333333333</v>
      </c>
      <c r="D36" s="314">
        <f>SUM(D32:D34)</f>
        <v>1.9490861111111113</v>
      </c>
      <c r="E36" s="314">
        <f>SUM(E32:E34)</f>
        <v>8.1211921296296299E-2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152.53717391304349</v>
      </c>
      <c r="C38" s="160">
        <f>C36/C29*1000</f>
        <v>12.71143115942029</v>
      </c>
      <c r="D38" s="160">
        <f>D36/D29*1000</f>
        <v>0.42371437198067635</v>
      </c>
      <c r="E38" s="160">
        <f>E36/E29*1000</f>
        <v>1.7654765499194848E-2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723.99890650628765</v>
      </c>
      <c r="C76" s="168">
        <f t="shared" si="6"/>
        <v>455.50027337342817</v>
      </c>
      <c r="D76" s="168">
        <f t="shared" si="6"/>
        <v>263.00000000000006</v>
      </c>
      <c r="E76" s="168">
        <f t="shared" si="6"/>
        <v>182.40021869874249</v>
      </c>
      <c r="F76" s="168">
        <f t="shared" si="6"/>
        <v>235</v>
      </c>
      <c r="G76" s="168">
        <f t="shared" si="6"/>
        <v>218.79989065062875</v>
      </c>
      <c r="H76" s="168">
        <f t="shared" ref="H76:M76" si="7">H17/20.16</f>
        <v>204.60069444444446</v>
      </c>
      <c r="I76" s="168">
        <f t="shared" si="7"/>
        <v>269.5</v>
      </c>
      <c r="J76" s="168">
        <f t="shared" si="7"/>
        <v>273.60019841269838</v>
      </c>
      <c r="K76" s="168">
        <f t="shared" si="7"/>
        <v>217.69990079365078</v>
      </c>
      <c r="L76" s="168">
        <f t="shared" si="7"/>
        <v>156.8998015873016</v>
      </c>
      <c r="M76" s="169">
        <f t="shared" si="7"/>
        <v>196.69990079365078</v>
      </c>
      <c r="N76" s="170">
        <f>SUM(B76:M76)</f>
        <v>3397.6997852608329</v>
      </c>
      <c r="O76" s="195">
        <f>SUM(C76:N76)</f>
        <v>6071.4006640153784</v>
      </c>
      <c r="P76" s="196">
        <f>O76</f>
        <v>6071.4006640153784</v>
      </c>
      <c r="Q76" s="197">
        <f>P76/12</f>
        <v>505.95005533461489</v>
      </c>
      <c r="R76" s="197">
        <f>Q76/30</f>
        <v>16.865001844487164</v>
      </c>
      <c r="S76" s="198">
        <f>R76/24</f>
        <v>0.70270841018696517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opLeftCell="A44" zoomScale="71" zoomScaleNormal="71" workbookViewId="0">
      <selection activeCell="A60" sqref="A60"/>
    </sheetView>
  </sheetViews>
  <sheetFormatPr defaultRowHeight="18.75" x14ac:dyDescent="0.3"/>
  <cols>
    <col min="1" max="1" width="29.140625" style="89" customWidth="1"/>
    <col min="2" max="2" width="22.28515625" style="90" customWidth="1"/>
    <col min="3" max="13" width="22.28515625" style="88" customWidth="1"/>
    <col min="14" max="14" width="16.7109375" style="88" hidden="1" customWidth="1"/>
    <col min="15" max="15" width="12.28515625" style="89" hidden="1" customWidth="1"/>
    <col min="16" max="16" width="14.7109375" style="89" hidden="1" customWidth="1"/>
    <col min="17" max="17" width="12.42578125" style="89" hidden="1" customWidth="1"/>
    <col min="18" max="18" width="14" style="89" hidden="1" customWidth="1"/>
    <col min="19" max="22" width="9.42578125" style="89" hidden="1" customWidth="1"/>
    <col min="23" max="23" width="9.140625" style="89" hidden="1" customWidth="1"/>
    <col min="24" max="24" width="9.42578125" style="89" hidden="1" customWidth="1"/>
    <col min="25" max="25" width="0" style="89" hidden="1" customWidth="1"/>
    <col min="26" max="27" width="9.140625" style="89"/>
    <col min="28" max="28" width="0" style="89" hidden="1" customWidth="1"/>
    <col min="29" max="16384" width="9.140625" style="89"/>
  </cols>
  <sheetData>
    <row r="1" spans="1:24" ht="19.5" thickBot="1" x14ac:dyDescent="0.35">
      <c r="A1" s="78" t="str">
        <f>Complete!B7</f>
        <v>Premium Ideas SA (Pty) Ltd / Morvest</v>
      </c>
      <c r="B1" s="79"/>
      <c r="C1" s="86" t="str">
        <f>Complete!A7</f>
        <v>3 Slate Road</v>
      </c>
    </row>
    <row r="2" spans="1:24" ht="19.5" thickBot="1" x14ac:dyDescent="0.35"/>
    <row r="3" spans="1:24" ht="19.5" thickBot="1" x14ac:dyDescent="0.35">
      <c r="A3" s="91" t="s">
        <v>3</v>
      </c>
      <c r="B3" s="92" t="s">
        <v>59</v>
      </c>
      <c r="C3" s="93" t="s">
        <v>60</v>
      </c>
      <c r="D3" s="92" t="s">
        <v>61</v>
      </c>
      <c r="E3" s="94" t="s">
        <v>62</v>
      </c>
      <c r="F3" s="94" t="s">
        <v>63</v>
      </c>
      <c r="G3" s="94" t="s">
        <v>64</v>
      </c>
      <c r="H3" s="94" t="s">
        <v>65</v>
      </c>
      <c r="I3" s="94" t="s">
        <v>66</v>
      </c>
      <c r="J3" s="94" t="s">
        <v>67</v>
      </c>
      <c r="K3" s="94" t="s">
        <v>68</v>
      </c>
      <c r="L3" s="94" t="s">
        <v>57</v>
      </c>
      <c r="M3" s="94" t="s">
        <v>58</v>
      </c>
      <c r="N3" s="95" t="s">
        <v>71</v>
      </c>
      <c r="O3" s="96" t="s">
        <v>52</v>
      </c>
      <c r="P3" s="96" t="s">
        <v>49</v>
      </c>
      <c r="Q3" s="96" t="s">
        <v>50</v>
      </c>
      <c r="R3" s="96" t="s">
        <v>51</v>
      </c>
      <c r="S3" s="97" t="s">
        <v>74</v>
      </c>
    </row>
    <row r="4" spans="1:24" x14ac:dyDescent="0.3">
      <c r="A4" s="98" t="s">
        <v>11</v>
      </c>
      <c r="B4" s="99" t="s">
        <v>11</v>
      </c>
      <c r="C4" s="100"/>
      <c r="D4" s="101"/>
      <c r="E4" s="102"/>
      <c r="F4" s="102"/>
      <c r="G4" s="102"/>
      <c r="H4" s="102"/>
      <c r="I4" s="102"/>
      <c r="J4" s="102"/>
      <c r="K4" s="102"/>
      <c r="L4" s="102"/>
      <c r="M4" s="102"/>
    </row>
    <row r="5" spans="1:24" x14ac:dyDescent="0.3">
      <c r="A5" s="103" t="s">
        <v>69</v>
      </c>
      <c r="B5" s="104">
        <v>393.4</v>
      </c>
      <c r="C5" s="105">
        <v>286.39999999999998</v>
      </c>
      <c r="D5" s="106">
        <v>410.5</v>
      </c>
      <c r="E5" s="107">
        <v>414.6</v>
      </c>
      <c r="F5" s="107">
        <v>375.8</v>
      </c>
      <c r="G5" s="107">
        <v>362.9</v>
      </c>
      <c r="H5" s="107">
        <v>381.7</v>
      </c>
      <c r="I5" s="107">
        <v>367.1</v>
      </c>
      <c r="J5" s="107">
        <v>408.5</v>
      </c>
      <c r="K5" s="107">
        <v>395.1</v>
      </c>
      <c r="L5" s="107">
        <v>426.8</v>
      </c>
      <c r="M5" s="107">
        <v>359.7</v>
      </c>
      <c r="N5" s="100"/>
      <c r="O5" s="108">
        <f>SUM(B5:M5)</f>
        <v>4582.4999999999991</v>
      </c>
      <c r="P5" s="108">
        <f>O5/12</f>
        <v>381.87499999999994</v>
      </c>
      <c r="Q5" s="108">
        <f>P5/30</f>
        <v>12.729166666666664</v>
      </c>
      <c r="R5" s="108">
        <f>Q5/24</f>
        <v>0.53038194444444431</v>
      </c>
      <c r="S5" s="89">
        <v>0</v>
      </c>
      <c r="T5" s="89">
        <v>0</v>
      </c>
      <c r="U5" s="89">
        <v>0</v>
      </c>
      <c r="V5" s="89">
        <v>0</v>
      </c>
      <c r="X5" s="108">
        <f>O5</f>
        <v>4582.4999999999991</v>
      </c>
    </row>
    <row r="6" spans="1:24" x14ac:dyDescent="0.3">
      <c r="A6" s="103" t="s">
        <v>4</v>
      </c>
      <c r="B6" s="231">
        <v>156.5</v>
      </c>
      <c r="C6" s="233">
        <v>156.6</v>
      </c>
      <c r="D6" s="231">
        <v>156.6</v>
      </c>
      <c r="E6" s="232">
        <v>156.6</v>
      </c>
      <c r="F6" s="232">
        <v>156.6</v>
      </c>
      <c r="G6" s="232">
        <v>156.6</v>
      </c>
      <c r="H6" s="232">
        <v>159.5</v>
      </c>
      <c r="I6" s="232">
        <v>159.5</v>
      </c>
      <c r="J6" s="232">
        <v>159.5</v>
      </c>
      <c r="K6" s="232">
        <v>159.5</v>
      </c>
      <c r="L6" s="232">
        <v>159.5</v>
      </c>
      <c r="M6" s="232">
        <v>159.5</v>
      </c>
      <c r="N6" s="100"/>
      <c r="O6" s="108"/>
      <c r="P6" s="108"/>
      <c r="Q6" s="108"/>
      <c r="R6" s="108"/>
    </row>
    <row r="7" spans="1:24" s="115" customFormat="1" ht="19.5" thickBot="1" x14ac:dyDescent="0.35">
      <c r="A7" s="109" t="s">
        <v>6</v>
      </c>
      <c r="B7" s="110">
        <f>B5*B6</f>
        <v>61567.1</v>
      </c>
      <c r="C7" s="111">
        <f t="shared" ref="C7:M7" si="0">C6*C5</f>
        <v>44850.239999999998</v>
      </c>
      <c r="D7" s="112">
        <f t="shared" si="0"/>
        <v>64284.299999999996</v>
      </c>
      <c r="E7" s="113">
        <f t="shared" si="0"/>
        <v>64926.36</v>
      </c>
      <c r="F7" s="113">
        <f t="shared" si="0"/>
        <v>58850.28</v>
      </c>
      <c r="G7" s="113">
        <f t="shared" si="0"/>
        <v>56830.139999999992</v>
      </c>
      <c r="H7" s="113">
        <f t="shared" si="0"/>
        <v>60881.15</v>
      </c>
      <c r="I7" s="113">
        <f t="shared" si="0"/>
        <v>58552.450000000004</v>
      </c>
      <c r="J7" s="113">
        <f t="shared" si="0"/>
        <v>65155.75</v>
      </c>
      <c r="K7" s="113">
        <f t="shared" si="0"/>
        <v>63018.450000000004</v>
      </c>
      <c r="L7" s="113">
        <f t="shared" si="0"/>
        <v>68074.600000000006</v>
      </c>
      <c r="M7" s="113">
        <f t="shared" si="0"/>
        <v>57372.15</v>
      </c>
      <c r="N7" s="114"/>
      <c r="O7" s="108"/>
      <c r="P7" s="108"/>
      <c r="Q7" s="108"/>
      <c r="R7" s="108"/>
    </row>
    <row r="8" spans="1:24" ht="19.5" thickTop="1" x14ac:dyDescent="0.3">
      <c r="A8" s="116" t="s">
        <v>75</v>
      </c>
      <c r="B8" s="124">
        <v>53.46</v>
      </c>
      <c r="C8" s="238">
        <v>56.540999999999997</v>
      </c>
      <c r="D8" s="124">
        <v>72.933999999999997</v>
      </c>
      <c r="E8" s="207">
        <v>52.642000000000003</v>
      </c>
      <c r="F8" s="207">
        <v>54.149000000000001</v>
      </c>
      <c r="G8" s="207">
        <v>50.228000000000002</v>
      </c>
      <c r="H8" s="207">
        <v>52.658000000000001</v>
      </c>
      <c r="I8" s="207">
        <v>60.387</v>
      </c>
      <c r="J8" s="207">
        <v>68.263000000000005</v>
      </c>
      <c r="K8" s="207">
        <v>71.17</v>
      </c>
      <c r="L8" s="207">
        <v>77.885999999999996</v>
      </c>
      <c r="M8" s="207">
        <v>53.084000000000003</v>
      </c>
      <c r="N8" s="100"/>
      <c r="O8" s="108">
        <f>SUM(B8:M8)</f>
        <v>723.40200000000004</v>
      </c>
      <c r="P8" s="108">
        <f>O8/12</f>
        <v>60.283500000000004</v>
      </c>
      <c r="Q8" s="108">
        <f>P8/30</f>
        <v>2.0094500000000002</v>
      </c>
      <c r="R8" s="108">
        <f>Q8/24</f>
        <v>8.3727083333333341E-2</v>
      </c>
    </row>
    <row r="9" spans="1:24" x14ac:dyDescent="0.3">
      <c r="A9" s="103" t="s">
        <v>7</v>
      </c>
      <c r="B9" s="231">
        <v>0.74199999999999999</v>
      </c>
      <c r="C9" s="233">
        <v>0.74199999999999999</v>
      </c>
      <c r="D9" s="231">
        <v>0.74199999999999999</v>
      </c>
      <c r="E9" s="232">
        <v>0.74199999999999999</v>
      </c>
      <c r="F9" s="232">
        <v>0.74199999999999999</v>
      </c>
      <c r="G9" s="232">
        <v>1.1455</v>
      </c>
      <c r="H9" s="232">
        <v>1.167</v>
      </c>
      <c r="I9" s="232">
        <v>1.167</v>
      </c>
      <c r="J9" s="232">
        <v>0.75600000000000001</v>
      </c>
      <c r="K9" s="232">
        <v>0.75600000000000001</v>
      </c>
      <c r="L9" s="232">
        <v>0.75600000000000001</v>
      </c>
      <c r="M9" s="232">
        <v>0.75600000000000001</v>
      </c>
      <c r="N9" s="100"/>
      <c r="O9" s="108"/>
      <c r="P9" s="108"/>
      <c r="Q9" s="108"/>
      <c r="R9" s="108"/>
    </row>
    <row r="10" spans="1:24" s="115" customFormat="1" ht="19.5" thickBot="1" x14ac:dyDescent="0.35">
      <c r="A10" s="121"/>
      <c r="B10" s="322">
        <f>SUM(B8*B9)*1000</f>
        <v>39667.320000000007</v>
      </c>
      <c r="C10" s="322">
        <f t="shared" ref="C10:M10" si="1">SUM(C8*C9)*1000</f>
        <v>41953.421999999999</v>
      </c>
      <c r="D10" s="322">
        <f t="shared" si="1"/>
        <v>54117.027999999998</v>
      </c>
      <c r="E10" s="322">
        <f t="shared" si="1"/>
        <v>39060.364000000001</v>
      </c>
      <c r="F10" s="322">
        <f t="shared" si="1"/>
        <v>40178.558000000005</v>
      </c>
      <c r="G10" s="322">
        <f t="shared" si="1"/>
        <v>57536.173999999999</v>
      </c>
      <c r="H10" s="322">
        <f t="shared" si="1"/>
        <v>61451.885999999999</v>
      </c>
      <c r="I10" s="322">
        <f t="shared" si="1"/>
        <v>70471.629000000001</v>
      </c>
      <c r="J10" s="322">
        <f t="shared" si="1"/>
        <v>51606.828000000009</v>
      </c>
      <c r="K10" s="322">
        <f t="shared" si="1"/>
        <v>53804.520000000004</v>
      </c>
      <c r="L10" s="322">
        <f t="shared" si="1"/>
        <v>58881.815999999999</v>
      </c>
      <c r="M10" s="322">
        <f t="shared" si="1"/>
        <v>40131.504000000001</v>
      </c>
      <c r="N10" s="123"/>
      <c r="O10" s="108"/>
      <c r="P10" s="108"/>
      <c r="Q10" s="108"/>
      <c r="R10" s="108"/>
    </row>
    <row r="11" spans="1:24" ht="19.5" thickTop="1" x14ac:dyDescent="0.3">
      <c r="A11" s="116" t="s">
        <v>76</v>
      </c>
      <c r="B11" s="124">
        <v>3.831</v>
      </c>
      <c r="C11" s="238">
        <v>23.875</v>
      </c>
      <c r="D11" s="124">
        <v>3.91</v>
      </c>
      <c r="E11" s="207">
        <v>19.975999999999999</v>
      </c>
      <c r="F11" s="207">
        <v>22.576000000000001</v>
      </c>
      <c r="G11" s="207">
        <v>21.466999999999999</v>
      </c>
      <c r="H11" s="207">
        <v>22.887</v>
      </c>
      <c r="I11" s="207">
        <v>25.472000000000001</v>
      </c>
      <c r="J11" s="207">
        <v>26.300999999999998</v>
      </c>
      <c r="K11" s="207">
        <v>29.61</v>
      </c>
      <c r="L11" s="207">
        <v>31.067</v>
      </c>
      <c r="M11" s="207">
        <v>21.227</v>
      </c>
      <c r="N11" s="100"/>
      <c r="O11" s="108">
        <f>SUM(B11:M11)</f>
        <v>252.19899999999998</v>
      </c>
      <c r="P11" s="108">
        <f>O11/12</f>
        <v>21.016583333333333</v>
      </c>
      <c r="Q11" s="108">
        <f>P11/30</f>
        <v>0.7005527777777778</v>
      </c>
      <c r="R11" s="108">
        <f>Q11/24</f>
        <v>2.9189699074074076E-2</v>
      </c>
    </row>
    <row r="12" spans="1:24" x14ac:dyDescent="0.3">
      <c r="A12" s="103" t="s">
        <v>8</v>
      </c>
      <c r="B12" s="231">
        <v>1.2010000000000001</v>
      </c>
      <c r="C12" s="233">
        <v>1.2010000000000001</v>
      </c>
      <c r="D12" s="231">
        <v>1.2010000000000001</v>
      </c>
      <c r="E12" s="232">
        <v>1.2010000000000001</v>
      </c>
      <c r="F12" s="232">
        <v>1.2010000000000001</v>
      </c>
      <c r="G12" s="232">
        <v>3.1360000000000001</v>
      </c>
      <c r="H12" s="232">
        <v>3.1949999999999998</v>
      </c>
      <c r="I12" s="232">
        <v>3.1949999999999998</v>
      </c>
      <c r="J12" s="232">
        <v>1.224</v>
      </c>
      <c r="K12" s="232">
        <v>1.224</v>
      </c>
      <c r="L12" s="232">
        <v>1.224</v>
      </c>
      <c r="M12" s="232">
        <v>1.224</v>
      </c>
      <c r="N12" s="100"/>
      <c r="O12" s="108"/>
      <c r="P12" s="108"/>
      <c r="Q12" s="108"/>
      <c r="R12" s="108"/>
    </row>
    <row r="13" spans="1:24" s="115" customFormat="1" ht="19.5" thickBot="1" x14ac:dyDescent="0.35">
      <c r="A13" s="121"/>
      <c r="B13" s="110">
        <f>SUM(B11*B12*1000)</f>
        <v>4601.0309999999999</v>
      </c>
      <c r="C13" s="110">
        <f t="shared" ref="C13:M13" si="2">SUM(C11*C12*1000)</f>
        <v>28673.875000000004</v>
      </c>
      <c r="D13" s="110">
        <f t="shared" si="2"/>
        <v>4695.9100000000008</v>
      </c>
      <c r="E13" s="110">
        <f t="shared" si="2"/>
        <v>23991.175999999999</v>
      </c>
      <c r="F13" s="110">
        <f t="shared" si="2"/>
        <v>27113.776000000002</v>
      </c>
      <c r="G13" s="110">
        <f t="shared" si="2"/>
        <v>67320.511999999988</v>
      </c>
      <c r="H13" s="110">
        <f t="shared" si="2"/>
        <v>73123.964999999997</v>
      </c>
      <c r="I13" s="110">
        <f t="shared" si="2"/>
        <v>81383.039999999994</v>
      </c>
      <c r="J13" s="110">
        <f t="shared" si="2"/>
        <v>32192.423999999995</v>
      </c>
      <c r="K13" s="110">
        <f t="shared" si="2"/>
        <v>36242.639999999999</v>
      </c>
      <c r="L13" s="110">
        <f t="shared" si="2"/>
        <v>38026.007999999994</v>
      </c>
      <c r="M13" s="110">
        <f t="shared" si="2"/>
        <v>25981.847999999998</v>
      </c>
      <c r="N13" s="123"/>
      <c r="O13" s="108"/>
      <c r="P13" s="108"/>
      <c r="Q13" s="108"/>
      <c r="R13" s="108"/>
    </row>
    <row r="14" spans="1:24" ht="19.5" thickTop="1" x14ac:dyDescent="0.3">
      <c r="A14" s="116" t="s">
        <v>77</v>
      </c>
      <c r="B14" s="124">
        <v>55.758000000000003</v>
      </c>
      <c r="C14" s="118">
        <v>58.947000000000003</v>
      </c>
      <c r="D14" s="119">
        <v>70.953000000000003</v>
      </c>
      <c r="E14" s="120">
        <v>65.323999999999998</v>
      </c>
      <c r="F14" s="120">
        <v>55.954000000000001</v>
      </c>
      <c r="G14" s="120">
        <v>49.820999999999998</v>
      </c>
      <c r="H14" s="120">
        <v>54.323999999999998</v>
      </c>
      <c r="I14" s="120">
        <v>58.792000000000002</v>
      </c>
      <c r="J14" s="120">
        <v>70.867999999999995</v>
      </c>
      <c r="K14" s="120">
        <v>69.763999999999996</v>
      </c>
      <c r="L14" s="120">
        <v>71.665999999999997</v>
      </c>
      <c r="M14" s="120">
        <v>68.451999999999998</v>
      </c>
      <c r="N14" s="100"/>
      <c r="O14" s="108">
        <f>SUM(B14:M14)</f>
        <v>750.62300000000005</v>
      </c>
      <c r="P14" s="108">
        <f>O14/12</f>
        <v>62.551916666666671</v>
      </c>
      <c r="Q14" s="108">
        <f>P14/30</f>
        <v>2.085063888888889</v>
      </c>
      <c r="R14" s="108">
        <f>Q14/24</f>
        <v>8.6877662037037048E-2</v>
      </c>
    </row>
    <row r="15" spans="1:24" x14ac:dyDescent="0.3">
      <c r="A15" s="103" t="s">
        <v>70</v>
      </c>
      <c r="B15" s="231">
        <v>0.52500000000000002</v>
      </c>
      <c r="C15" s="233">
        <v>0.52500000000000002</v>
      </c>
      <c r="D15" s="231">
        <v>0.52500000000000002</v>
      </c>
      <c r="E15" s="232">
        <v>0.52500000000000002</v>
      </c>
      <c r="F15" s="232">
        <v>0.52500000000000002</v>
      </c>
      <c r="G15" s="232">
        <v>0.61</v>
      </c>
      <c r="H15" s="232">
        <v>0.622</v>
      </c>
      <c r="I15" s="232">
        <v>0.622</v>
      </c>
      <c r="J15" s="232">
        <v>0.53500000000000003</v>
      </c>
      <c r="K15" s="232">
        <v>0.53500000000000003</v>
      </c>
      <c r="L15" s="232">
        <v>0.53500000000000003</v>
      </c>
      <c r="M15" s="232">
        <v>0.53500000000000003</v>
      </c>
      <c r="N15" s="100"/>
      <c r="O15" s="108"/>
      <c r="P15" s="108"/>
      <c r="Q15" s="108"/>
      <c r="R15" s="108"/>
    </row>
    <row r="16" spans="1:24" s="115" customFormat="1" ht="19.5" thickBot="1" x14ac:dyDescent="0.35">
      <c r="A16" s="121"/>
      <c r="B16" s="110">
        <f>SUM(B14*B15)*1000</f>
        <v>29272.95</v>
      </c>
      <c r="C16" s="110">
        <f t="shared" ref="C16:M16" si="3">SUM(C14*C15)*1000</f>
        <v>30947.175000000003</v>
      </c>
      <c r="D16" s="110">
        <f t="shared" si="3"/>
        <v>37250.325000000004</v>
      </c>
      <c r="E16" s="110">
        <f t="shared" si="3"/>
        <v>34295.1</v>
      </c>
      <c r="F16" s="110">
        <f t="shared" si="3"/>
        <v>29375.85</v>
      </c>
      <c r="G16" s="110">
        <f t="shared" si="3"/>
        <v>30390.809999999998</v>
      </c>
      <c r="H16" s="110">
        <f t="shared" si="3"/>
        <v>33789.527999999998</v>
      </c>
      <c r="I16" s="110">
        <f t="shared" si="3"/>
        <v>36568.623999999996</v>
      </c>
      <c r="J16" s="110">
        <f t="shared" si="3"/>
        <v>37914.380000000005</v>
      </c>
      <c r="K16" s="110">
        <f t="shared" si="3"/>
        <v>37323.74</v>
      </c>
      <c r="L16" s="110">
        <f t="shared" si="3"/>
        <v>38341.31</v>
      </c>
      <c r="M16" s="110">
        <f t="shared" si="3"/>
        <v>36621.82</v>
      </c>
      <c r="N16" s="123"/>
      <c r="O16" s="108"/>
      <c r="P16" s="108"/>
      <c r="Q16" s="108"/>
      <c r="R16" s="108"/>
    </row>
    <row r="17" spans="1:28" ht="19.5" thickTop="1" x14ac:dyDescent="0.3">
      <c r="A17" s="116" t="s">
        <v>2</v>
      </c>
      <c r="B17" s="228">
        <v>6372.24</v>
      </c>
      <c r="C17" s="229">
        <v>5861.95</v>
      </c>
      <c r="D17" s="228">
        <v>6683.17</v>
      </c>
      <c r="E17" s="230">
        <v>5141.32</v>
      </c>
      <c r="F17" s="230">
        <v>6580.14</v>
      </c>
      <c r="G17" s="230">
        <v>6278.96</v>
      </c>
      <c r="H17" s="230">
        <v>8152.7</v>
      </c>
      <c r="I17" s="230">
        <v>9610.27</v>
      </c>
      <c r="J17" s="230">
        <v>8021.66</v>
      </c>
      <c r="K17" s="230">
        <v>7156.8</v>
      </c>
      <c r="L17" s="230">
        <v>5489.57</v>
      </c>
      <c r="M17" s="230">
        <v>7533.79</v>
      </c>
      <c r="N17" s="100"/>
      <c r="O17" s="108">
        <f>SUM(B17:M17)</f>
        <v>82882.569999999992</v>
      </c>
      <c r="P17" s="108">
        <f>O17/12</f>
        <v>6906.8808333333327</v>
      </c>
      <c r="Q17" s="108">
        <f>P17/30</f>
        <v>230.2293611111111</v>
      </c>
      <c r="R17" s="108">
        <f>Q17/24</f>
        <v>9.5928900462962954</v>
      </c>
    </row>
    <row r="18" spans="1:28" x14ac:dyDescent="0.3">
      <c r="A18" s="103" t="s">
        <v>1</v>
      </c>
      <c r="B18" s="231">
        <v>1898.78</v>
      </c>
      <c r="C18" s="229">
        <v>1746.73</v>
      </c>
      <c r="D18" s="231">
        <v>1991.43</v>
      </c>
      <c r="E18" s="232">
        <v>1532</v>
      </c>
      <c r="F18" s="232">
        <v>1960.91</v>
      </c>
      <c r="G18" s="232">
        <v>1870.99</v>
      </c>
      <c r="H18" s="232">
        <v>2430.44</v>
      </c>
      <c r="I18" s="232">
        <v>2864.97</v>
      </c>
      <c r="J18" s="232">
        <v>2391.38</v>
      </c>
      <c r="K18" s="232">
        <v>2133.5</v>
      </c>
      <c r="L18" s="232">
        <v>1636.52</v>
      </c>
      <c r="M18" s="232">
        <v>2245.94</v>
      </c>
      <c r="N18" s="100"/>
      <c r="O18" s="108">
        <f>SUM(B18:M18)</f>
        <v>24703.59</v>
      </c>
      <c r="P18" s="108">
        <f>O18/12</f>
        <v>2058.6325000000002</v>
      </c>
      <c r="Q18" s="108">
        <f>P18/30</f>
        <v>68.621083333333345</v>
      </c>
      <c r="R18" s="108">
        <f>Q18/24</f>
        <v>2.8592118055555562</v>
      </c>
    </row>
    <row r="19" spans="1:28" x14ac:dyDescent="0.3">
      <c r="A19" s="103" t="s">
        <v>0</v>
      </c>
      <c r="B19" s="231">
        <v>134.41</v>
      </c>
      <c r="C19" s="233">
        <v>134.41</v>
      </c>
      <c r="D19" s="231">
        <v>134.41</v>
      </c>
      <c r="E19" s="232">
        <v>134.41</v>
      </c>
      <c r="F19" s="232">
        <v>134.41</v>
      </c>
      <c r="G19" s="232">
        <v>134.41</v>
      </c>
      <c r="H19" s="232">
        <v>144.49</v>
      </c>
      <c r="I19" s="232">
        <v>144.49</v>
      </c>
      <c r="J19" s="232">
        <v>144.49</v>
      </c>
      <c r="K19" s="232">
        <v>144.49</v>
      </c>
      <c r="L19" s="232">
        <v>144.49</v>
      </c>
      <c r="M19" s="232">
        <v>144.49</v>
      </c>
      <c r="N19" s="100"/>
      <c r="O19" s="108">
        <f>SUM(B19:M19)</f>
        <v>1673.4</v>
      </c>
      <c r="P19" s="108">
        <f>O19/12</f>
        <v>139.45000000000002</v>
      </c>
      <c r="Q19" s="108">
        <f>P19/30</f>
        <v>4.6483333333333343</v>
      </c>
      <c r="R19" s="108">
        <f>Q19/24</f>
        <v>0.19368055555555561</v>
      </c>
    </row>
    <row r="20" spans="1:28" ht="19.5" thickBot="1" x14ac:dyDescent="0.35">
      <c r="A20" s="131" t="s">
        <v>10</v>
      </c>
      <c r="B20" s="234">
        <v>221.88</v>
      </c>
      <c r="C20" s="235">
        <v>221.88</v>
      </c>
      <c r="D20" s="234">
        <v>221.88</v>
      </c>
      <c r="E20" s="236">
        <v>221.88</v>
      </c>
      <c r="F20" s="236">
        <v>221.88</v>
      </c>
      <c r="G20" s="236">
        <v>221.88</v>
      </c>
      <c r="H20" s="236">
        <v>226.47</v>
      </c>
      <c r="I20" s="236">
        <v>226.47</v>
      </c>
      <c r="J20" s="236">
        <v>226.47</v>
      </c>
      <c r="K20" s="236">
        <v>226.47</v>
      </c>
      <c r="L20" s="236">
        <v>226.47</v>
      </c>
      <c r="M20" s="236">
        <v>226.47</v>
      </c>
      <c r="N20" s="100"/>
      <c r="O20" s="108">
        <f>SUM(B20:M20)</f>
        <v>2690.1</v>
      </c>
      <c r="P20" s="108">
        <f>O20/12</f>
        <v>224.17499999999998</v>
      </c>
      <c r="Q20" s="108">
        <f>P20/30</f>
        <v>7.4724999999999993</v>
      </c>
      <c r="R20" s="108">
        <f>Q20/24</f>
        <v>0.31135416666666665</v>
      </c>
    </row>
    <row r="21" spans="1:28" ht="19.5" thickBot="1" x14ac:dyDescent="0.35">
      <c r="A21" s="135"/>
      <c r="B21" s="136"/>
      <c r="C21" s="100"/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O21" s="108"/>
      <c r="P21" s="108"/>
      <c r="Q21" s="108"/>
      <c r="R21" s="108"/>
    </row>
    <row r="22" spans="1:28" ht="19.5" thickBot="1" x14ac:dyDescent="0.35">
      <c r="A22" s="137" t="s">
        <v>81</v>
      </c>
      <c r="B22" s="314">
        <f>B8+B11+B14</f>
        <v>113.04900000000001</v>
      </c>
      <c r="C22" s="314">
        <f>C8+C11+C14</f>
        <v>139.363</v>
      </c>
      <c r="D22" s="314">
        <f t="shared" ref="D22:M22" si="4">D8+D11+D14</f>
        <v>147.797</v>
      </c>
      <c r="E22" s="314">
        <f t="shared" si="4"/>
        <v>137.94200000000001</v>
      </c>
      <c r="F22" s="314">
        <f t="shared" si="4"/>
        <v>132.679</v>
      </c>
      <c r="G22" s="314">
        <f t="shared" si="4"/>
        <v>121.51599999999999</v>
      </c>
      <c r="H22" s="314">
        <f t="shared" si="4"/>
        <v>129.869</v>
      </c>
      <c r="I22" s="314">
        <f t="shared" si="4"/>
        <v>144.65100000000001</v>
      </c>
      <c r="J22" s="314">
        <f t="shared" si="4"/>
        <v>165.43200000000002</v>
      </c>
      <c r="K22" s="314">
        <f t="shared" si="4"/>
        <v>170.54399999999998</v>
      </c>
      <c r="L22" s="314">
        <f t="shared" si="4"/>
        <v>180.619</v>
      </c>
      <c r="M22" s="314">
        <f t="shared" si="4"/>
        <v>142.76300000000001</v>
      </c>
      <c r="N22" s="138"/>
      <c r="O22" s="108">
        <f>SUM(B22:M22)</f>
        <v>1726.2239999999999</v>
      </c>
      <c r="P22" s="108">
        <f>O22/12</f>
        <v>143.852</v>
      </c>
      <c r="Q22" s="108">
        <f>P22/30</f>
        <v>4.795066666666667</v>
      </c>
      <c r="R22" s="108">
        <f>Q22/24</f>
        <v>0.19979444444444447</v>
      </c>
    </row>
    <row r="23" spans="1:28" s="115" customFormat="1" ht="19.5" thickBot="1" x14ac:dyDescent="0.35">
      <c r="A23" s="139" t="s">
        <v>12</v>
      </c>
      <c r="B23" s="140">
        <f>B16+B13+B10+B17+B18+B19+B20+B7</f>
        <v>143735.71100000001</v>
      </c>
      <c r="C23" s="141">
        <f t="shared" ref="C23:M23" si="5">C16+C13+C10+C17+C18+C19+C20+C7</f>
        <v>154389.682</v>
      </c>
      <c r="D23" s="140">
        <f t="shared" si="5"/>
        <v>169378.45300000001</v>
      </c>
      <c r="E23" s="142">
        <f t="shared" si="5"/>
        <v>169302.61</v>
      </c>
      <c r="F23" s="142">
        <f t="shared" si="5"/>
        <v>164415.804</v>
      </c>
      <c r="G23" s="142">
        <f t="shared" si="5"/>
        <v>220583.87599999996</v>
      </c>
      <c r="H23" s="142">
        <f t="shared" si="5"/>
        <v>240200.62899999999</v>
      </c>
      <c r="I23" s="142">
        <f t="shared" si="5"/>
        <v>259821.943</v>
      </c>
      <c r="J23" s="142">
        <f t="shared" si="5"/>
        <v>197653.38200000001</v>
      </c>
      <c r="K23" s="142">
        <f t="shared" si="5"/>
        <v>200050.61000000002</v>
      </c>
      <c r="L23" s="142">
        <f>L16+L13+L10+L17+L18+L19+L20+L7</f>
        <v>210820.78399999999</v>
      </c>
      <c r="M23" s="142">
        <f t="shared" si="5"/>
        <v>170258.01199999999</v>
      </c>
      <c r="N23" s="90"/>
    </row>
    <row r="24" spans="1:28" s="115" customFormat="1" x14ac:dyDescent="0.3">
      <c r="B24" s="123"/>
      <c r="C24" s="13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90"/>
    </row>
    <row r="25" spans="1:28" s="115" customFormat="1" x14ac:dyDescent="0.3"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90"/>
    </row>
    <row r="26" spans="1:28" s="115" customFormat="1" x14ac:dyDescent="0.3">
      <c r="B26" s="123"/>
      <c r="C26" s="13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90"/>
    </row>
    <row r="27" spans="1:28" ht="19.5" thickBot="1" x14ac:dyDescent="0.35">
      <c r="C27" s="143"/>
    </row>
    <row r="28" spans="1:28" ht="19.5" thickBot="1" x14ac:dyDescent="0.35">
      <c r="A28" s="144" t="s">
        <v>53</v>
      </c>
      <c r="B28" s="145" t="s">
        <v>54</v>
      </c>
      <c r="C28" s="146" t="s">
        <v>44</v>
      </c>
      <c r="D28" s="147" t="s">
        <v>45</v>
      </c>
      <c r="E28" s="147" t="s">
        <v>46</v>
      </c>
      <c r="F28" s="147"/>
    </row>
    <row r="29" spans="1:28" ht="19.5" thickBot="1" x14ac:dyDescent="0.35">
      <c r="A29" s="148" t="s">
        <v>43</v>
      </c>
      <c r="B29" s="149">
        <f>Complete!D7+Complete!D8</f>
        <v>8612</v>
      </c>
      <c r="C29" s="150">
        <f>B29</f>
        <v>8612</v>
      </c>
      <c r="D29" s="151">
        <f>C29</f>
        <v>8612</v>
      </c>
      <c r="E29" s="151">
        <f>D29</f>
        <v>8612</v>
      </c>
      <c r="F29" s="151"/>
    </row>
    <row r="30" spans="1:28" ht="19.5" thickBot="1" x14ac:dyDescent="0.35">
      <c r="B30" s="143"/>
      <c r="C30" s="143"/>
    </row>
    <row r="31" spans="1:28" ht="19.5" thickBot="1" x14ac:dyDescent="0.35">
      <c r="A31" s="152" t="s">
        <v>72</v>
      </c>
      <c r="B31" s="153">
        <f>O5</f>
        <v>4582.4999999999991</v>
      </c>
      <c r="C31" s="154">
        <f>P5</f>
        <v>381.87499999999994</v>
      </c>
      <c r="D31" s="154">
        <f>Q5</f>
        <v>12.729166666666664</v>
      </c>
      <c r="E31" s="154">
        <f>R5</f>
        <v>0.53038194444444431</v>
      </c>
      <c r="F31" s="154"/>
      <c r="AB31" s="155">
        <f>SUM(B22:M22)</f>
        <v>1726.2239999999999</v>
      </c>
    </row>
    <row r="32" spans="1:28" x14ac:dyDescent="0.3">
      <c r="A32" s="116" t="s">
        <v>5</v>
      </c>
      <c r="B32" s="124">
        <f>O8</f>
        <v>723.40200000000004</v>
      </c>
      <c r="C32" s="207">
        <f>P8</f>
        <v>60.283500000000004</v>
      </c>
      <c r="D32" s="207">
        <f>Q8</f>
        <v>2.0094500000000002</v>
      </c>
      <c r="E32" s="207">
        <f>R8</f>
        <v>8.3727083333333341E-2</v>
      </c>
      <c r="F32" s="156"/>
      <c r="AB32" s="143">
        <f>AB31/12</f>
        <v>143.852</v>
      </c>
    </row>
    <row r="33" spans="1:28" x14ac:dyDescent="0.3">
      <c r="A33" s="103" t="s">
        <v>48</v>
      </c>
      <c r="B33" s="104">
        <f>O11</f>
        <v>252.19899999999998</v>
      </c>
      <c r="C33" s="206">
        <f>P11</f>
        <v>21.016583333333333</v>
      </c>
      <c r="D33" s="206">
        <f>Q11</f>
        <v>0.7005527777777778</v>
      </c>
      <c r="E33" s="206">
        <f>R11</f>
        <v>2.9189699074074076E-2</v>
      </c>
      <c r="F33" s="157"/>
      <c r="AB33" s="88">
        <f>AB32/30</f>
        <v>4.795066666666667</v>
      </c>
    </row>
    <row r="34" spans="1:28" ht="19.5" thickBot="1" x14ac:dyDescent="0.35">
      <c r="A34" s="131" t="s">
        <v>9</v>
      </c>
      <c r="B34" s="319">
        <f>O14</f>
        <v>750.62300000000005</v>
      </c>
      <c r="C34" s="315">
        <f>P14</f>
        <v>62.551916666666671</v>
      </c>
      <c r="D34" s="315">
        <f>Q14</f>
        <v>2.085063888888889</v>
      </c>
      <c r="E34" s="315">
        <f>R14</f>
        <v>8.6877662037037048E-2</v>
      </c>
      <c r="F34" s="158"/>
      <c r="AB34" s="88">
        <f>AB33/24</f>
        <v>0.19979444444444447</v>
      </c>
    </row>
    <row r="35" spans="1:28" ht="19.5" thickBot="1" x14ac:dyDescent="0.35">
      <c r="B35" s="155"/>
      <c r="C35" s="155"/>
      <c r="D35" s="155"/>
      <c r="E35" s="155"/>
      <c r="F35" s="155"/>
    </row>
    <row r="36" spans="1:28" ht="19.5" thickBot="1" x14ac:dyDescent="0.35">
      <c r="A36" s="78" t="s">
        <v>73</v>
      </c>
      <c r="B36" s="314">
        <f>SUM(B32:B34)</f>
        <v>1726.2240000000002</v>
      </c>
      <c r="C36" s="314">
        <f>SUM(C32:C34)</f>
        <v>143.852</v>
      </c>
      <c r="D36" s="314">
        <f>SUM(D32:D34)</f>
        <v>4.795066666666667</v>
      </c>
      <c r="E36" s="314">
        <f>SUM(E32:E34)</f>
        <v>0.19979444444444447</v>
      </c>
      <c r="F36" s="314"/>
    </row>
    <row r="37" spans="1:28" ht="19.5" thickBot="1" x14ac:dyDescent="0.35">
      <c r="B37" s="155"/>
      <c r="C37" s="143"/>
      <c r="D37" s="155"/>
      <c r="E37" s="155"/>
      <c r="F37" s="155"/>
    </row>
    <row r="38" spans="1:28" s="163" customFormat="1" ht="19.5" thickBot="1" x14ac:dyDescent="0.35">
      <c r="A38" s="159" t="s">
        <v>47</v>
      </c>
      <c r="B38" s="160">
        <f>B36/B29*1000</f>
        <v>200.44403158383653</v>
      </c>
      <c r="C38" s="160">
        <f>C36/C29*1000</f>
        <v>16.703669298653043</v>
      </c>
      <c r="D38" s="160">
        <f>D36/D29*1000</f>
        <v>0.55678897662176818</v>
      </c>
      <c r="E38" s="160">
        <f>E36/E29*1000</f>
        <v>2.3199540692573673E-2</v>
      </c>
      <c r="F38" s="161" t="s">
        <v>11</v>
      </c>
      <c r="G38" s="88"/>
      <c r="H38" s="162"/>
      <c r="I38" s="162"/>
      <c r="J38" s="162"/>
      <c r="K38" s="162"/>
      <c r="L38" s="162"/>
      <c r="M38" s="162"/>
      <c r="N38" s="162"/>
    </row>
    <row r="39" spans="1:28" ht="254.25" customHeight="1" x14ac:dyDescent="0.3">
      <c r="A39" s="437"/>
      <c r="B39" s="437"/>
      <c r="C39" s="437"/>
      <c r="D39" s="437"/>
      <c r="E39" s="437"/>
      <c r="F39" s="437"/>
      <c r="G39" s="437"/>
      <c r="H39" s="437"/>
      <c r="I39" s="437"/>
      <c r="J39" s="437"/>
      <c r="K39" s="437"/>
      <c r="L39" s="437"/>
    </row>
    <row r="40" spans="1:28" x14ac:dyDescent="0.3">
      <c r="A40" s="437"/>
      <c r="B40" s="437"/>
      <c r="C40" s="437"/>
      <c r="D40" s="437"/>
      <c r="E40" s="437"/>
      <c r="F40" s="437"/>
      <c r="G40" s="437"/>
      <c r="H40" s="437"/>
      <c r="I40" s="437"/>
      <c r="J40" s="437"/>
      <c r="K40" s="437"/>
      <c r="L40" s="437"/>
    </row>
    <row r="41" spans="1:28" x14ac:dyDescent="0.3">
      <c r="A41" s="437"/>
      <c r="B41" s="437"/>
      <c r="C41" s="437"/>
      <c r="D41" s="437"/>
      <c r="E41" s="437"/>
      <c r="F41" s="437"/>
      <c r="G41" s="437"/>
      <c r="H41" s="437"/>
      <c r="I41" s="437"/>
      <c r="J41" s="437"/>
      <c r="K41" s="437"/>
      <c r="L41" s="437"/>
    </row>
    <row r="42" spans="1:28" x14ac:dyDescent="0.3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</row>
    <row r="43" spans="1:28" x14ac:dyDescent="0.3">
      <c r="A43" s="437"/>
      <c r="B43" s="437"/>
      <c r="C43" s="437"/>
      <c r="D43" s="437"/>
      <c r="E43" s="437"/>
      <c r="F43" s="437"/>
      <c r="G43" s="437"/>
      <c r="H43" s="437"/>
      <c r="I43" s="437"/>
      <c r="J43" s="437"/>
      <c r="K43" s="437"/>
      <c r="L43" s="437"/>
    </row>
    <row r="44" spans="1:28" x14ac:dyDescent="0.3">
      <c r="A44" s="437"/>
      <c r="B44" s="437"/>
      <c r="C44" s="437"/>
      <c r="D44" s="437"/>
      <c r="E44" s="437"/>
      <c r="F44" s="437"/>
      <c r="G44" s="437"/>
      <c r="H44" s="437"/>
      <c r="I44" s="437"/>
      <c r="J44" s="437"/>
      <c r="K44" s="437"/>
      <c r="L44" s="437"/>
    </row>
    <row r="45" spans="1:28" x14ac:dyDescent="0.3">
      <c r="A45" s="437"/>
      <c r="B45" s="437"/>
      <c r="C45" s="437"/>
      <c r="D45" s="437"/>
      <c r="E45" s="437"/>
      <c r="F45" s="437"/>
      <c r="G45" s="437"/>
      <c r="H45" s="437"/>
      <c r="I45" s="437"/>
      <c r="J45" s="437"/>
      <c r="K45" s="437"/>
      <c r="L45" s="437"/>
    </row>
    <row r="46" spans="1:28" x14ac:dyDescent="0.3">
      <c r="A46" s="437"/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</row>
    <row r="47" spans="1:28" x14ac:dyDescent="0.3">
      <c r="A47" s="437"/>
      <c r="B47" s="437"/>
      <c r="C47" s="437"/>
      <c r="D47" s="437"/>
      <c r="E47" s="437"/>
      <c r="F47" s="437"/>
      <c r="G47" s="437"/>
      <c r="H47" s="437"/>
      <c r="I47" s="437"/>
      <c r="J47" s="437"/>
      <c r="K47" s="437"/>
      <c r="L47" s="437"/>
    </row>
    <row r="48" spans="1:28" x14ac:dyDescent="0.3">
      <c r="A48" s="437"/>
      <c r="B48" s="437"/>
      <c r="C48" s="437"/>
      <c r="D48" s="437"/>
      <c r="E48" s="437"/>
      <c r="F48" s="437"/>
      <c r="G48" s="437"/>
      <c r="H48" s="437"/>
      <c r="I48" s="437"/>
      <c r="J48" s="437"/>
      <c r="K48" s="437"/>
      <c r="L48" s="437"/>
    </row>
    <row r="49" spans="1:12" x14ac:dyDescent="0.3">
      <c r="A49" s="437"/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</row>
    <row r="50" spans="1:12" ht="57.75" customHeight="1" x14ac:dyDescent="0.3">
      <c r="A50" s="437"/>
      <c r="B50" s="437"/>
      <c r="C50" s="437"/>
      <c r="D50" s="437"/>
      <c r="E50" s="437"/>
      <c r="F50" s="437"/>
      <c r="G50" s="437"/>
      <c r="H50" s="437"/>
      <c r="I50" s="437"/>
      <c r="J50" s="437"/>
      <c r="K50" s="437"/>
      <c r="L50" s="437"/>
    </row>
    <row r="51" spans="1:12" x14ac:dyDescent="0.3">
      <c r="A51" s="437"/>
      <c r="B51" s="437"/>
      <c r="C51" s="437"/>
      <c r="D51" s="437"/>
      <c r="E51" s="437"/>
      <c r="F51" s="437"/>
      <c r="G51" s="437"/>
      <c r="H51" s="437"/>
      <c r="I51" s="437"/>
      <c r="J51" s="437"/>
      <c r="K51" s="437"/>
      <c r="L51" s="437"/>
    </row>
    <row r="52" spans="1:12" x14ac:dyDescent="0.3">
      <c r="A52" s="437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</row>
    <row r="53" spans="1:12" x14ac:dyDescent="0.3">
      <c r="A53" s="437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</row>
    <row r="74" spans="1:19" ht="19.5" thickBot="1" x14ac:dyDescent="0.35"/>
    <row r="75" spans="1:19" x14ac:dyDescent="0.3">
      <c r="O75" s="191"/>
      <c r="P75" s="192" t="s">
        <v>52</v>
      </c>
      <c r="Q75" s="193" t="s">
        <v>49</v>
      </c>
      <c r="R75" s="194" t="s">
        <v>50</v>
      </c>
      <c r="S75" s="194" t="s">
        <v>51</v>
      </c>
    </row>
    <row r="76" spans="1:19" ht="19.5" hidden="1" thickBot="1" x14ac:dyDescent="0.35">
      <c r="A76" s="167" t="s">
        <v>2</v>
      </c>
      <c r="B76" s="168">
        <f t="shared" ref="B76:G76" si="6">B17/18.29</f>
        <v>348.40021869874249</v>
      </c>
      <c r="C76" s="168">
        <f t="shared" si="6"/>
        <v>320.50027337342812</v>
      </c>
      <c r="D76" s="168">
        <f t="shared" si="6"/>
        <v>365.40021869874249</v>
      </c>
      <c r="E76" s="168">
        <f t="shared" si="6"/>
        <v>281.10005467468562</v>
      </c>
      <c r="F76" s="168">
        <f t="shared" si="6"/>
        <v>359.76708583925648</v>
      </c>
      <c r="G76" s="168">
        <f t="shared" si="6"/>
        <v>343.30016402405687</v>
      </c>
      <c r="H76" s="168">
        <f t="shared" ref="H76:M76" si="7">H17/20.16</f>
        <v>404.39980158730157</v>
      </c>
      <c r="I76" s="168">
        <f t="shared" si="7"/>
        <v>476.69990079365078</v>
      </c>
      <c r="J76" s="168">
        <f t="shared" si="7"/>
        <v>397.89980158730157</v>
      </c>
      <c r="K76" s="168">
        <f t="shared" si="7"/>
        <v>355</v>
      </c>
      <c r="L76" s="168">
        <f t="shared" si="7"/>
        <v>272.30009920634922</v>
      </c>
      <c r="M76" s="169">
        <f t="shared" si="7"/>
        <v>373.69990079365078</v>
      </c>
      <c r="N76" s="170">
        <f>SUM(B76:M76)</f>
        <v>4298.4675192771665</v>
      </c>
      <c r="O76" s="195">
        <f>SUM(C76:N76)</f>
        <v>8248.5348198555894</v>
      </c>
      <c r="P76" s="196">
        <f>O76</f>
        <v>8248.5348198555894</v>
      </c>
      <c r="Q76" s="197">
        <f>P76/12</f>
        <v>687.37790165463241</v>
      </c>
      <c r="R76" s="197">
        <f>Q76/30</f>
        <v>22.912596721821082</v>
      </c>
      <c r="S76" s="198">
        <f>R76/24</f>
        <v>0.95469153007587837</v>
      </c>
    </row>
  </sheetData>
  <mergeCells count="1">
    <mergeCell ref="A39:L53"/>
  </mergeCells>
  <pageMargins left="1" right="1" top="1" bottom="1" header="0.5" footer="0.5"/>
  <pageSetup paperSize="9" scale="41" fitToHeight="2" orientation="landscape" r:id="rId1"/>
  <rowBreaks count="1" manualBreakCount="1">
    <brk id="94" max="16383" man="1"/>
  </rowBreaks>
  <colBreaks count="1" manualBreakCount="1">
    <brk id="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Complete</vt:lpstr>
      <vt:lpstr>Data Sheet</vt:lpstr>
      <vt:lpstr> % Usage per (M²)   </vt:lpstr>
      <vt:lpstr>Eli-Lilly</vt:lpstr>
      <vt:lpstr>Saint - Gobain</vt:lpstr>
      <vt:lpstr>Digistics</vt:lpstr>
      <vt:lpstr>Deposita</vt:lpstr>
      <vt:lpstr>Landis and Gyr</vt:lpstr>
      <vt:lpstr>Premium Ideas - Morvest</vt:lpstr>
      <vt:lpstr>Zodiac</vt:lpstr>
      <vt:lpstr>UTI</vt:lpstr>
      <vt:lpstr>CSD Targus</vt:lpstr>
      <vt:lpstr>UTI 2</vt:lpstr>
      <vt:lpstr>Alaris</vt:lpstr>
      <vt:lpstr>Elliot Mobility 2 Travertine</vt:lpstr>
      <vt:lpstr>Shoprite</vt:lpstr>
      <vt:lpstr>Mazda</vt:lpstr>
      <vt:lpstr>Elliot Mobility 5 Travertine</vt:lpstr>
      <vt:lpstr>IHL Medical</vt:lpstr>
      <vt:lpstr>Tevo</vt:lpstr>
      <vt:lpstr>Master</vt:lpstr>
      <vt:lpstr>Electricity_Demand</vt:lpstr>
      <vt:lpstr>Off_Peak_Consumption</vt:lpstr>
      <vt:lpstr>Peak_Consumtion</vt:lpstr>
      <vt:lpstr>'Data Sheet'!Print_Area</vt:lpstr>
      <vt:lpstr>Digistics!Print_Area</vt:lpstr>
      <vt:lpstr>Standard_Consumption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Private</cp:lastModifiedBy>
  <cp:lastPrinted>2018-02-21T13:21:44Z</cp:lastPrinted>
  <dcterms:created xsi:type="dcterms:W3CDTF">2018-02-08T12:45:35Z</dcterms:created>
  <dcterms:modified xsi:type="dcterms:W3CDTF">2018-02-21T17:00:14Z</dcterms:modified>
</cp:coreProperties>
</file>