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90" windowWidth="18195" windowHeight="12075" activeTab="1"/>
  </bookViews>
  <sheets>
    <sheet name="ct_A" sheetId="1" r:id="rId1"/>
    <sheet name="ct_L" sheetId="2" r:id="rId2"/>
    <sheet name="ct_I" sheetId="3" r:id="rId3"/>
    <sheet name="ct_V" sheetId="4" r:id="rId4"/>
    <sheet name="ct_D" sheetId="5" r:id="rId5"/>
    <sheet name="ct_E" sheetId="6" r:id="rId6"/>
    <sheet name="ct_K" sheetId="7" r:id="rId7"/>
    <sheet name="ct_N" sheetId="8" r:id="rId8"/>
    <sheet name="ct_P" sheetId="9" r:id="rId9"/>
    <sheet name="ct_Q" sheetId="10" r:id="rId10"/>
    <sheet name="ct_R" sheetId="11" r:id="rId11"/>
    <sheet name="ct_H" sheetId="12" r:id="rId12"/>
    <sheet name="ct_M" sheetId="13" r:id="rId13"/>
    <sheet name="ct_S" sheetId="14" r:id="rId14"/>
    <sheet name="ct_T" sheetId="15" r:id="rId15"/>
    <sheet name="ct_F" sheetId="16" r:id="rId16"/>
    <sheet name="ct_W" sheetId="17" r:id="rId17"/>
    <sheet name="ct_Y" sheetId="18" r:id="rId18"/>
    <sheet name="ct_G" sheetId="19" r:id="rId19"/>
  </sheets>
  <definedNames>
    <definedName name="dE0_A_1">ct_A!$B$5</definedName>
    <definedName name="dE0_A_2">ct_A!$B$10</definedName>
    <definedName name="dE0_D_1">ct_D!$B$5</definedName>
    <definedName name="dE0_D_2">ct_D!$B$10</definedName>
    <definedName name="dE0_E_1">ct_E!$B$5</definedName>
    <definedName name="dE0_E_2">ct_E!$B$10</definedName>
    <definedName name="dE0_F_1">ct_F!$B$5</definedName>
    <definedName name="dE0_F_2">ct_F!$B$10</definedName>
    <definedName name="dE0_G_1">ct_G!$B$5</definedName>
    <definedName name="dE0_G_2">ct_G!$B$10</definedName>
    <definedName name="dE0_H_1">ct_H!$B$5</definedName>
    <definedName name="dE0_H_2">ct_H!$B$10</definedName>
    <definedName name="dE0_I_1">ct_I!$B$5</definedName>
    <definedName name="dE0_I_2">ct_I!$B$10</definedName>
    <definedName name="dE0_K_1">ct_K!$B$5</definedName>
    <definedName name="dE0_K_2">ct_K!$B$10</definedName>
    <definedName name="dE0_L_1">ct_L!$B$5</definedName>
    <definedName name="dE0_L_2">ct_L!$B$10</definedName>
    <definedName name="dE0_M_1">ct_M!$B$5</definedName>
    <definedName name="dE0_M_2">ct_M!$B$10</definedName>
    <definedName name="dE0_N_1">ct_N!$B$5</definedName>
    <definedName name="dE0_N_2">ct_N!$B$10</definedName>
    <definedName name="dE0_P_1">ct_P!$B$5</definedName>
    <definedName name="dE0_P_2">ct_P!$B$10</definedName>
    <definedName name="dE0_Q_1">ct_Q!$B$5</definedName>
    <definedName name="dE0_Q_2">ct_Q!$B$10</definedName>
    <definedName name="dE0_R_1">ct_R!$B$5</definedName>
    <definedName name="dE0_R_2">ct_R!$B$10</definedName>
    <definedName name="dE0_S_1">ct_S!$B$5</definedName>
    <definedName name="dE0_S_2">ct_S!$B$10</definedName>
    <definedName name="dE0_T_1">ct_T!$B$5</definedName>
    <definedName name="dE0_T_2">ct_T!$B$10</definedName>
    <definedName name="dE0_V_1">ct_V!$B$5</definedName>
    <definedName name="dE0_V_2">ct_V!$B$10</definedName>
    <definedName name="dE0_W_1">ct_W!$B$5</definedName>
    <definedName name="dE0_W_2">ct_W!$B$10</definedName>
    <definedName name="dE0_Y_1">ct_Y!$B$5</definedName>
    <definedName name="dE0_Y_2">ct_Y!$B$10</definedName>
    <definedName name="n_A_1">ct_A!$B$7</definedName>
    <definedName name="n_A_2">ct_A!$B$12</definedName>
    <definedName name="n_D_1">ct_D!$B$7</definedName>
    <definedName name="n_D_2">ct_D!$B$12</definedName>
    <definedName name="n_E_1">ct_E!$B$7</definedName>
    <definedName name="n_E_2">ct_E!$B$12</definedName>
    <definedName name="n_F_1">ct_F!$B$7</definedName>
    <definedName name="n_F_2">ct_F!$B$12</definedName>
    <definedName name="n_G_1">ct_G!$B$7</definedName>
    <definedName name="n_G_2">ct_G!$B$12</definedName>
    <definedName name="n_H_1">ct_H!$B$7</definedName>
    <definedName name="n_H_2">ct_H!$B$12</definedName>
    <definedName name="n_I_1">ct_I!$B$7</definedName>
    <definedName name="n_I_2">ct_I!$B$12</definedName>
    <definedName name="n_K_1">ct_K!$B$7</definedName>
    <definedName name="n_K_2">ct_K!$B$12</definedName>
    <definedName name="n_L_1">ct_L!$B$7</definedName>
    <definedName name="n_L_2">ct_L!$B$12</definedName>
    <definedName name="n_M_1">ct_M!$B$7</definedName>
    <definedName name="n_M_2">ct_M!$B$12</definedName>
    <definedName name="n_N_1">ct_N!$B$7</definedName>
    <definedName name="n_N_2">ct_N!$B$12</definedName>
    <definedName name="n_P_1">ct_P!$B$7</definedName>
    <definedName name="n_P_2">ct_P!$B$12</definedName>
    <definedName name="n_Q_1">ct_Q!$B$7</definedName>
    <definedName name="n_Q_2">ct_Q!$B$12</definedName>
    <definedName name="n_R_1">ct_R!$B$7</definedName>
    <definedName name="n_R_2">ct_R!$B$12</definedName>
    <definedName name="n_Res_A">ct_A!$B$2</definedName>
    <definedName name="n_Res_D">ct_D!$B$2</definedName>
    <definedName name="n_Res_E">ct_E!$B$2</definedName>
    <definedName name="n_Res_F">ct_F!$B$2</definedName>
    <definedName name="n_Res_G">ct_G!$B$2</definedName>
    <definedName name="n_Res_H">ct_H!$B$2</definedName>
    <definedName name="n_Res_I">ct_I!$B$2</definedName>
    <definedName name="n_Res_K">ct_K!$B$2</definedName>
    <definedName name="n_Res_L">ct_L!$B$2</definedName>
    <definedName name="n_Res_M">ct_M!$B$2</definedName>
    <definedName name="n_Res_N">ct_N!$B$2</definedName>
    <definedName name="n_Res_P">ct_P!$B$2</definedName>
    <definedName name="n_Res_Q">ct_Q!$B$2</definedName>
    <definedName name="n_Res_R">ct_R!$B$2</definedName>
    <definedName name="n_Res_S">ct_S!$B$2</definedName>
    <definedName name="n_Res_T">ct_T!$B$2</definedName>
    <definedName name="n_Res_V">ct_V!$B$2</definedName>
    <definedName name="n_Res_W">ct_W!$B$2</definedName>
    <definedName name="n_Res_Y">ct_Y!$B$2</definedName>
    <definedName name="n_S_1">ct_S!$B$7</definedName>
    <definedName name="n_S_2">ct_S!$B$12</definedName>
    <definedName name="n_T_1">ct_T!$B$7</definedName>
    <definedName name="n_T_2">ct_T!$B$12</definedName>
    <definedName name="n_V_1">ct_V!$B$7</definedName>
    <definedName name="n_V_2">ct_V!$B$12</definedName>
    <definedName name="n_W_1">ct_W!$B$7</definedName>
    <definedName name="n_W_2">ct_W!$B$12</definedName>
    <definedName name="n_Y_1">ct_Y!$B$7</definedName>
    <definedName name="n_Y_2">ct_Y!$B$12</definedName>
    <definedName name="Paq_A_1">ct_A!$B$4</definedName>
    <definedName name="Paq_A_2">ct_A!$B$9</definedName>
    <definedName name="Paq_D_1">ct_D!$B$4</definedName>
    <definedName name="Paq_D_2">ct_D!$B$9</definedName>
    <definedName name="Paq_E_1">ct_E!$B$4</definedName>
    <definedName name="Paq_E_2">ct_E!$B$9</definedName>
    <definedName name="Paq_F_1">ct_F!$B$4</definedName>
    <definedName name="Paq_F_2">ct_F!$B$9</definedName>
    <definedName name="Paq_G_1">ct_G!$B$4</definedName>
    <definedName name="Paq_G_2">ct_G!$B$9</definedName>
    <definedName name="Paq_H_1">ct_H!$B$4</definedName>
    <definedName name="Paq_H_2">ct_H!$B$9</definedName>
    <definedName name="Paq_I_1">ct_I!$B$4</definedName>
    <definedName name="Paq_I_2">ct_I!$B$9</definedName>
    <definedName name="Paq_K_1">ct_K!$B$4</definedName>
    <definedName name="Paq_K_2">ct_K!$B$9</definedName>
    <definedName name="Paq_L_1">ct_L!$B$4</definedName>
    <definedName name="Paq_L_2">ct_L!$B$9</definedName>
    <definedName name="Paq_M_1">ct_M!$B$4</definedName>
    <definedName name="Paq_M_2">ct_M!$B$9</definedName>
    <definedName name="Paq_N_1">ct_N!$B$4</definedName>
    <definedName name="Paq_N_2">ct_N!$B$9</definedName>
    <definedName name="Paq_P_1">ct_P!$B$4</definedName>
    <definedName name="Paq_P_2">ct_P!$B$9</definedName>
    <definedName name="Paq_Q_1">ct_Q!$B$4</definedName>
    <definedName name="Paq_Q_2">ct_Q!$B$9</definedName>
    <definedName name="Paq_R_1">ct_R!$B$4</definedName>
    <definedName name="Paq_R_2">ct_R!$B$9</definedName>
    <definedName name="Paq_S_1">ct_S!$B$4</definedName>
    <definedName name="Paq_S_2">ct_S!$B$9</definedName>
    <definedName name="Paq_T_1">ct_T!$B$4</definedName>
    <definedName name="Paq_T_2">ct_T!$B$9</definedName>
    <definedName name="Paq_V_1">ct_V!$B$4</definedName>
    <definedName name="Paq_V_2">ct_V!$B$9</definedName>
    <definedName name="Paq_W_1">ct_W!$B$4</definedName>
    <definedName name="Paq_W_2">ct_W!$B$9</definedName>
    <definedName name="Paq_Y_1">ct_Y!$B$4</definedName>
    <definedName name="Paq_Y_2">ct_Y!$B$9</definedName>
    <definedName name="solver_adj" localSheetId="0" hidden="1">ct_A!$B$9:$B$12</definedName>
    <definedName name="solver_adj" localSheetId="4" hidden="1">ct_D!$B$9:$B$12</definedName>
    <definedName name="solver_adj" localSheetId="5" hidden="1">ct_E!$B$9:$B$12</definedName>
    <definedName name="solver_adj" localSheetId="15" hidden="1">ct_F!$B$9:$B$12</definedName>
    <definedName name="solver_adj" localSheetId="18" hidden="1">ct_G!$B$9:$B$12</definedName>
    <definedName name="solver_adj" localSheetId="11" hidden="1">ct_H!$B$9:$B$12</definedName>
    <definedName name="solver_adj" localSheetId="2" hidden="1">ct_I!$B$4:$B$7</definedName>
    <definedName name="solver_adj" localSheetId="6" hidden="1">ct_K!$B$9:$B$12</definedName>
    <definedName name="solver_adj" localSheetId="1" hidden="1">ct_L!$B$9:$B$12</definedName>
    <definedName name="solver_adj" localSheetId="12" hidden="1">ct_M!$B$9:$B$12</definedName>
    <definedName name="solver_adj" localSheetId="7" hidden="1">ct_N!$B$9:$B$12</definedName>
    <definedName name="solver_adj" localSheetId="8" hidden="1">ct_P!$B$9:$B$12</definedName>
    <definedName name="solver_adj" localSheetId="9" hidden="1">ct_Q!$B$9:$B$12</definedName>
    <definedName name="solver_adj" localSheetId="10" hidden="1">ct_R!$B$9:$B$12</definedName>
    <definedName name="solver_adj" localSheetId="13" hidden="1">ct_S!$B$9:$B$12</definedName>
    <definedName name="solver_adj" localSheetId="14" hidden="1">ct_T!$B$9:$B$12</definedName>
    <definedName name="solver_adj" localSheetId="3" hidden="1">ct_V!$B$9:$B$12</definedName>
    <definedName name="solver_adj" localSheetId="16" hidden="1">ct_W!$B$9:$B$12</definedName>
    <definedName name="solver_adj" localSheetId="17" hidden="1">ct_Y!$B$9:$B$12</definedName>
    <definedName name="solver_cvg" localSheetId="2" hidden="1">0.0001</definedName>
    <definedName name="solver_cvg" localSheetId="17" hidden="1">0.0001</definedName>
    <definedName name="solver_drv" localSheetId="2" hidden="1">1</definedName>
    <definedName name="solver_drv" localSheetId="17" hidden="1">2</definedName>
    <definedName name="solver_eng" localSheetId="0" hidden="1">1</definedName>
    <definedName name="solver_eng" localSheetId="4" hidden="1">1</definedName>
    <definedName name="solver_eng" localSheetId="5" hidden="1">1</definedName>
    <definedName name="solver_eng" localSheetId="15" hidden="1">1</definedName>
    <definedName name="solver_eng" localSheetId="18" hidden="1">1</definedName>
    <definedName name="solver_eng" localSheetId="11" hidden="1">1</definedName>
    <definedName name="solver_eng" localSheetId="2" hidden="1">1</definedName>
    <definedName name="solver_eng" localSheetId="6" hidden="1">1</definedName>
    <definedName name="solver_eng" localSheetId="1" hidden="1">1</definedName>
    <definedName name="solver_eng" localSheetId="12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ng" localSheetId="10" hidden="1">1</definedName>
    <definedName name="solver_eng" localSheetId="13" hidden="1">1</definedName>
    <definedName name="solver_eng" localSheetId="14" hidden="1">1</definedName>
    <definedName name="solver_eng" localSheetId="3" hidden="1">1</definedName>
    <definedName name="solver_eng" localSheetId="16" hidden="1">1</definedName>
    <definedName name="solver_eng" localSheetId="17" hidden="1">1</definedName>
    <definedName name="solver_est" localSheetId="2" hidden="1">1</definedName>
    <definedName name="solver_est" localSheetId="17" hidden="1">1</definedName>
    <definedName name="solver_itr" localSheetId="2" hidden="1">2147483647</definedName>
    <definedName name="solver_itr" localSheetId="17" hidden="1">2147483647</definedName>
    <definedName name="solver_lhs1" localSheetId="0" hidden="1">ct_A!$B$9</definedName>
    <definedName name="solver_lhs1" localSheetId="4" hidden="1">ct_D!$B$9</definedName>
    <definedName name="solver_lhs1" localSheetId="5" hidden="1">ct_E!$B$9</definedName>
    <definedName name="solver_lhs1" localSheetId="15" hidden="1">ct_F!$B$9</definedName>
    <definedName name="solver_lhs1" localSheetId="18" hidden="1">ct_G!$B$9</definedName>
    <definedName name="solver_lhs1" localSheetId="11" hidden="1">ct_H!$B$9</definedName>
    <definedName name="solver_lhs1" localSheetId="6" hidden="1">ct_K!$B$9</definedName>
    <definedName name="solver_lhs1" localSheetId="1" hidden="1">ct_L!$B$9</definedName>
    <definedName name="solver_lhs1" localSheetId="12" hidden="1">ct_M!$B$9</definedName>
    <definedName name="solver_lhs1" localSheetId="7" hidden="1">ct_N!$B$9</definedName>
    <definedName name="solver_lhs1" localSheetId="8" hidden="1">ct_P!$B$9</definedName>
    <definedName name="solver_lhs1" localSheetId="9" hidden="1">ct_Q!$B$9</definedName>
    <definedName name="solver_lhs1" localSheetId="10" hidden="1">ct_R!$B$9</definedName>
    <definedName name="solver_lhs1" localSheetId="13" hidden="1">ct_S!$B$9</definedName>
    <definedName name="solver_lhs1" localSheetId="14" hidden="1">ct_T!$B$9</definedName>
    <definedName name="solver_lhs1" localSheetId="3" hidden="1">ct_V!$B$9</definedName>
    <definedName name="solver_lhs1" localSheetId="16" hidden="1">ct_W!$B$9</definedName>
    <definedName name="solver_lhs1" localSheetId="17" hidden="1">ct_Y!$B$9</definedName>
    <definedName name="solver_lhs2" localSheetId="0" hidden="1">ct_A!$B$9</definedName>
    <definedName name="solver_lhs2" localSheetId="4" hidden="1">ct_D!$B$9</definedName>
    <definedName name="solver_lhs2" localSheetId="5" hidden="1">ct_E!$B$9</definedName>
    <definedName name="solver_lhs2" localSheetId="15" hidden="1">ct_F!$B$9</definedName>
    <definedName name="solver_lhs2" localSheetId="18" hidden="1">ct_G!$B$9</definedName>
    <definedName name="solver_lhs2" localSheetId="11" hidden="1">ct_H!$B$9</definedName>
    <definedName name="solver_lhs2" localSheetId="6" hidden="1">ct_K!$B$9</definedName>
    <definedName name="solver_lhs2" localSheetId="1" hidden="1">ct_L!$B$9</definedName>
    <definedName name="solver_lhs2" localSheetId="12" hidden="1">ct_M!$B$9</definedName>
    <definedName name="solver_lhs2" localSheetId="7" hidden="1">ct_N!$B$9</definedName>
    <definedName name="solver_lhs2" localSheetId="8" hidden="1">ct_P!$B$9</definedName>
    <definedName name="solver_lhs2" localSheetId="9" hidden="1">ct_Q!$B$9</definedName>
    <definedName name="solver_lhs2" localSheetId="10" hidden="1">ct_R!$B$9</definedName>
    <definedName name="solver_lhs2" localSheetId="13" hidden="1">ct_S!$B$9</definedName>
    <definedName name="solver_lhs2" localSheetId="14" hidden="1">ct_T!$B$9</definedName>
    <definedName name="solver_lhs2" localSheetId="3" hidden="1">ct_V!$B$9</definedName>
    <definedName name="solver_lhs2" localSheetId="16" hidden="1">ct_W!$B$9</definedName>
    <definedName name="solver_lhs2" localSheetId="17" hidden="1">ct_Y!$B$9</definedName>
    <definedName name="solver_lhs3" localSheetId="0" hidden="1">ct_A!$B$10</definedName>
    <definedName name="solver_lhs3" localSheetId="4" hidden="1">ct_D!$B$10</definedName>
    <definedName name="solver_lhs3" localSheetId="5" hidden="1">ct_E!$B$10</definedName>
    <definedName name="solver_lhs3" localSheetId="15" hidden="1">ct_F!$B$10</definedName>
    <definedName name="solver_lhs3" localSheetId="18" hidden="1">ct_G!$B$10</definedName>
    <definedName name="solver_lhs3" localSheetId="11" hidden="1">ct_H!$B$10</definedName>
    <definedName name="solver_lhs3" localSheetId="6" hidden="1">ct_K!$B$10</definedName>
    <definedName name="solver_lhs3" localSheetId="1" hidden="1">ct_L!$B$10</definedName>
    <definedName name="solver_lhs3" localSheetId="12" hidden="1">ct_M!$B$10</definedName>
    <definedName name="solver_lhs3" localSheetId="7" hidden="1">ct_N!$B$10</definedName>
    <definedName name="solver_lhs3" localSheetId="8" hidden="1">ct_P!$B$10</definedName>
    <definedName name="solver_lhs3" localSheetId="9" hidden="1">ct_Q!$B$10</definedName>
    <definedName name="solver_lhs3" localSheetId="10" hidden="1">ct_R!$B$10</definedName>
    <definedName name="solver_lhs3" localSheetId="13" hidden="1">ct_S!$B$10</definedName>
    <definedName name="solver_lhs3" localSheetId="14" hidden="1">ct_T!$B$10</definedName>
    <definedName name="solver_lhs3" localSheetId="3" hidden="1">ct_V!$B$10</definedName>
    <definedName name="solver_lhs3" localSheetId="16" hidden="1">ct_W!$B$10</definedName>
    <definedName name="solver_lhs3" localSheetId="17" hidden="1">ct_Y!$B$10</definedName>
    <definedName name="solver_lhs4" localSheetId="0" hidden="1">ct_A!$B$10</definedName>
    <definedName name="solver_lhs4" localSheetId="4" hidden="1">ct_D!$B$10</definedName>
    <definedName name="solver_lhs4" localSheetId="5" hidden="1">ct_E!$B$10</definedName>
    <definedName name="solver_lhs4" localSheetId="15" hidden="1">ct_F!$B$10</definedName>
    <definedName name="solver_lhs4" localSheetId="18" hidden="1">ct_G!$B$10</definedName>
    <definedName name="solver_lhs4" localSheetId="11" hidden="1">ct_H!$B$10</definedName>
    <definedName name="solver_lhs4" localSheetId="6" hidden="1">ct_K!$B$10</definedName>
    <definedName name="solver_lhs4" localSheetId="1" hidden="1">ct_L!$B$10</definedName>
    <definedName name="solver_lhs4" localSheetId="12" hidden="1">ct_M!$B$10</definedName>
    <definedName name="solver_lhs4" localSheetId="7" hidden="1">ct_N!$B$10</definedName>
    <definedName name="solver_lhs4" localSheetId="8" hidden="1">ct_P!$B$10</definedName>
    <definedName name="solver_lhs4" localSheetId="9" hidden="1">ct_Q!$B$10</definedName>
    <definedName name="solver_lhs4" localSheetId="10" hidden="1">ct_R!$B$10</definedName>
    <definedName name="solver_lhs4" localSheetId="13" hidden="1">ct_S!$B$10</definedName>
    <definedName name="solver_lhs4" localSheetId="14" hidden="1">ct_T!$B$10</definedName>
    <definedName name="solver_lhs4" localSheetId="3" hidden="1">ct_V!$B$10</definedName>
    <definedName name="solver_lhs4" localSheetId="16" hidden="1">ct_W!$B$10</definedName>
    <definedName name="solver_lhs4" localSheetId="17" hidden="1">ct_Y!$B$12</definedName>
    <definedName name="solver_lhs5" localSheetId="0" hidden="1">ct_A!$B$11</definedName>
    <definedName name="solver_lhs5" localSheetId="4" hidden="1">ct_D!$B$11</definedName>
    <definedName name="solver_lhs5" localSheetId="5" hidden="1">ct_E!$B$11</definedName>
    <definedName name="solver_lhs5" localSheetId="15" hidden="1">ct_F!$B$11</definedName>
    <definedName name="solver_lhs5" localSheetId="18" hidden="1">ct_G!$B$11</definedName>
    <definedName name="solver_lhs5" localSheetId="11" hidden="1">ct_H!$B$11</definedName>
    <definedName name="solver_lhs5" localSheetId="6" hidden="1">ct_K!$B$11</definedName>
    <definedName name="solver_lhs5" localSheetId="1" hidden="1">ct_L!$B$11</definedName>
    <definedName name="solver_lhs5" localSheetId="12" hidden="1">ct_M!$B$11</definedName>
    <definedName name="solver_lhs5" localSheetId="7" hidden="1">ct_N!$B$11</definedName>
    <definedName name="solver_lhs5" localSheetId="8" hidden="1">ct_P!$B$11</definedName>
    <definedName name="solver_lhs5" localSheetId="9" hidden="1">ct_Q!$B$11</definedName>
    <definedName name="solver_lhs5" localSheetId="10" hidden="1">ct_R!$B$11</definedName>
    <definedName name="solver_lhs5" localSheetId="13" hidden="1">ct_S!$B$11</definedName>
    <definedName name="solver_lhs5" localSheetId="14" hidden="1">ct_T!$B$11</definedName>
    <definedName name="solver_lhs5" localSheetId="3" hidden="1">ct_V!$B$11</definedName>
    <definedName name="solver_lhs5" localSheetId="16" hidden="1">ct_W!$B$11</definedName>
    <definedName name="solver_lhs5" localSheetId="17" hidden="1">ct_Y!$B$12</definedName>
    <definedName name="solver_lhs6" localSheetId="0" hidden="1">ct_A!$B$11</definedName>
    <definedName name="solver_lhs6" localSheetId="4" hidden="1">ct_D!$B$11</definedName>
    <definedName name="solver_lhs6" localSheetId="5" hidden="1">ct_E!$B$11</definedName>
    <definedName name="solver_lhs6" localSheetId="15" hidden="1">ct_F!$B$11</definedName>
    <definedName name="solver_lhs6" localSheetId="18" hidden="1">ct_G!$B$11</definedName>
    <definedName name="solver_lhs6" localSheetId="11" hidden="1">ct_H!$B$11</definedName>
    <definedName name="solver_lhs6" localSheetId="6" hidden="1">ct_K!$B$11</definedName>
    <definedName name="solver_lhs6" localSheetId="1" hidden="1">ct_L!$B$11</definedName>
    <definedName name="solver_lhs6" localSheetId="12" hidden="1">ct_M!$B$11</definedName>
    <definedName name="solver_lhs6" localSheetId="7" hidden="1">ct_N!$B$11</definedName>
    <definedName name="solver_lhs6" localSheetId="8" hidden="1">ct_P!$B$11</definedName>
    <definedName name="solver_lhs6" localSheetId="9" hidden="1">ct_Q!$B$11</definedName>
    <definedName name="solver_lhs6" localSheetId="10" hidden="1">ct_R!$B$11</definedName>
    <definedName name="solver_lhs6" localSheetId="13" hidden="1">ct_S!$B$11</definedName>
    <definedName name="solver_lhs6" localSheetId="14" hidden="1">ct_T!$B$11</definedName>
    <definedName name="solver_lhs6" localSheetId="3" hidden="1">ct_V!$B$11</definedName>
    <definedName name="solver_lhs6" localSheetId="16" hidden="1">ct_W!$B$11</definedName>
    <definedName name="solver_lhs6" localSheetId="17" hidden="1">ct_Y!$B$10</definedName>
    <definedName name="solver_lhs7" localSheetId="0" hidden="1">ct_A!$B$12</definedName>
    <definedName name="solver_lhs7" localSheetId="4" hidden="1">ct_D!$B$12</definedName>
    <definedName name="solver_lhs7" localSheetId="5" hidden="1">ct_E!$B$12</definedName>
    <definedName name="solver_lhs7" localSheetId="15" hidden="1">ct_F!$B$12</definedName>
    <definedName name="solver_lhs7" localSheetId="18" hidden="1">ct_G!$B$12</definedName>
    <definedName name="solver_lhs7" localSheetId="11" hidden="1">ct_H!$B$12</definedName>
    <definedName name="solver_lhs7" localSheetId="6" hidden="1">ct_K!$B$12</definedName>
    <definedName name="solver_lhs7" localSheetId="1" hidden="1">ct_L!$B$12</definedName>
    <definedName name="solver_lhs7" localSheetId="12" hidden="1">ct_M!$B$12</definedName>
    <definedName name="solver_lhs7" localSheetId="7" hidden="1">ct_N!$B$12</definedName>
    <definedName name="solver_lhs7" localSheetId="8" hidden="1">ct_P!$B$12</definedName>
    <definedName name="solver_lhs7" localSheetId="9" hidden="1">ct_Q!$B$12</definedName>
    <definedName name="solver_lhs7" localSheetId="10" hidden="1">ct_R!$B$12</definedName>
    <definedName name="solver_lhs7" localSheetId="13" hidden="1">ct_S!$B$12</definedName>
    <definedName name="solver_lhs7" localSheetId="14" hidden="1">ct_T!$B$12</definedName>
    <definedName name="solver_lhs7" localSheetId="3" hidden="1">ct_V!$B$12</definedName>
    <definedName name="solver_lhs7" localSheetId="16" hidden="1">ct_W!$B$12</definedName>
    <definedName name="solver_lhs7" localSheetId="17" hidden="1">ct_Y!$B$11</definedName>
    <definedName name="solver_lhs8" localSheetId="0" hidden="1">ct_A!$B$12</definedName>
    <definedName name="solver_lhs8" localSheetId="4" hidden="1">ct_D!$B$12</definedName>
    <definedName name="solver_lhs8" localSheetId="5" hidden="1">ct_E!$B$12</definedName>
    <definedName name="solver_lhs8" localSheetId="15" hidden="1">ct_F!$B$12</definedName>
    <definedName name="solver_lhs8" localSheetId="18" hidden="1">ct_G!$B$12</definedName>
    <definedName name="solver_lhs8" localSheetId="11" hidden="1">ct_H!$B$12</definedName>
    <definedName name="solver_lhs8" localSheetId="6" hidden="1">ct_K!$B$12</definedName>
    <definedName name="solver_lhs8" localSheetId="1" hidden="1">ct_L!$B$12</definedName>
    <definedName name="solver_lhs8" localSheetId="12" hidden="1">ct_M!$B$12</definedName>
    <definedName name="solver_lhs8" localSheetId="7" hidden="1">ct_N!$B$12</definedName>
    <definedName name="solver_lhs8" localSheetId="8" hidden="1">ct_P!$B$12</definedName>
    <definedName name="solver_lhs8" localSheetId="9" hidden="1">ct_Q!$B$12</definedName>
    <definedName name="solver_lhs8" localSheetId="10" hidden="1">ct_R!$B$12</definedName>
    <definedName name="solver_lhs8" localSheetId="13" hidden="1">ct_S!$B$12</definedName>
    <definedName name="solver_lhs8" localSheetId="14" hidden="1">ct_T!$B$12</definedName>
    <definedName name="solver_lhs8" localSheetId="3" hidden="1">ct_V!$B$12</definedName>
    <definedName name="solver_lhs8" localSheetId="16" hidden="1">ct_W!$B$12</definedName>
    <definedName name="solver_lhs8" localSheetId="17" hidden="1">ct_Y!$B$11</definedName>
    <definedName name="solver_mip" localSheetId="2" hidden="1">2147483647</definedName>
    <definedName name="solver_mip" localSheetId="17" hidden="1">2147483647</definedName>
    <definedName name="solver_mni" localSheetId="2" hidden="1">30</definedName>
    <definedName name="solver_mni" localSheetId="17" hidden="1">30</definedName>
    <definedName name="solver_mrt" localSheetId="2" hidden="1">0.075</definedName>
    <definedName name="solver_mrt" localSheetId="17" hidden="1">0.075</definedName>
    <definedName name="solver_msl" localSheetId="2" hidden="1">2</definedName>
    <definedName name="solver_msl" localSheetId="17" hidden="1">2</definedName>
    <definedName name="solver_neg" localSheetId="0" hidden="1">1</definedName>
    <definedName name="solver_neg" localSheetId="4" hidden="1">1</definedName>
    <definedName name="solver_neg" localSheetId="5" hidden="1">1</definedName>
    <definedName name="solver_neg" localSheetId="15" hidden="1">1</definedName>
    <definedName name="solver_neg" localSheetId="18" hidden="1">1</definedName>
    <definedName name="solver_neg" localSheetId="11" hidden="1">1</definedName>
    <definedName name="solver_neg" localSheetId="2" hidden="1">1</definedName>
    <definedName name="solver_neg" localSheetId="6" hidden="1">1</definedName>
    <definedName name="solver_neg" localSheetId="1" hidden="1">1</definedName>
    <definedName name="solver_neg" localSheetId="12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eg" localSheetId="13" hidden="1">1</definedName>
    <definedName name="solver_neg" localSheetId="14" hidden="1">1</definedName>
    <definedName name="solver_neg" localSheetId="3" hidden="1">1</definedName>
    <definedName name="solver_neg" localSheetId="16" hidden="1">1</definedName>
    <definedName name="solver_neg" localSheetId="17" hidden="1">1</definedName>
    <definedName name="solver_nod" localSheetId="2" hidden="1">2147483647</definedName>
    <definedName name="solver_nod" localSheetId="17" hidden="1">2147483647</definedName>
    <definedName name="solver_num" localSheetId="0" hidden="1">8</definedName>
    <definedName name="solver_num" localSheetId="4" hidden="1">8</definedName>
    <definedName name="solver_num" localSheetId="5" hidden="1">8</definedName>
    <definedName name="solver_num" localSheetId="15" hidden="1">8</definedName>
    <definedName name="solver_num" localSheetId="18" hidden="1">8</definedName>
    <definedName name="solver_num" localSheetId="11" hidden="1">8</definedName>
    <definedName name="solver_num" localSheetId="2" hidden="1">0</definedName>
    <definedName name="solver_num" localSheetId="6" hidden="1">8</definedName>
    <definedName name="solver_num" localSheetId="1" hidden="1">8</definedName>
    <definedName name="solver_num" localSheetId="12" hidden="1">8</definedName>
    <definedName name="solver_num" localSheetId="7" hidden="1">8</definedName>
    <definedName name="solver_num" localSheetId="8" hidden="1">8</definedName>
    <definedName name="solver_num" localSheetId="9" hidden="1">8</definedName>
    <definedName name="solver_num" localSheetId="10" hidden="1">8</definedName>
    <definedName name="solver_num" localSheetId="13" hidden="1">8</definedName>
    <definedName name="solver_num" localSheetId="14" hidden="1">8</definedName>
    <definedName name="solver_num" localSheetId="3" hidden="1">8</definedName>
    <definedName name="solver_num" localSheetId="16" hidden="1">8</definedName>
    <definedName name="solver_num" localSheetId="17" hidden="1">8</definedName>
    <definedName name="solver_nwt" localSheetId="2" hidden="1">1</definedName>
    <definedName name="solver_nwt" localSheetId="17" hidden="1">1</definedName>
    <definedName name="solver_opt" localSheetId="0" hidden="1">ct_A!$K$35</definedName>
    <definedName name="solver_opt" localSheetId="4" hidden="1">ct_D!$K$35</definedName>
    <definedName name="solver_opt" localSheetId="5" hidden="1">ct_E!$K$35</definedName>
    <definedName name="solver_opt" localSheetId="15" hidden="1">ct_F!$K$35</definedName>
    <definedName name="solver_opt" localSheetId="18" hidden="1">ct_G!$K$35</definedName>
    <definedName name="solver_opt" localSheetId="11" hidden="1">ct_H!$K$35</definedName>
    <definedName name="solver_opt" localSheetId="2" hidden="1">ct_I!$I$34</definedName>
    <definedName name="solver_opt" localSheetId="6" hidden="1">ct_K!$K$35</definedName>
    <definedName name="solver_opt" localSheetId="1" hidden="1">ct_L!$K$35</definedName>
    <definedName name="solver_opt" localSheetId="12" hidden="1">ct_M!$K$35</definedName>
    <definedName name="solver_opt" localSheetId="7" hidden="1">ct_N!$K$35</definedName>
    <definedName name="solver_opt" localSheetId="8" hidden="1">ct_P!$K$35</definedName>
    <definedName name="solver_opt" localSheetId="9" hidden="1">ct_Q!$K$35</definedName>
    <definedName name="solver_opt" localSheetId="10" hidden="1">ct_R!$K$35</definedName>
    <definedName name="solver_opt" localSheetId="13" hidden="1">ct_S!$K$35</definedName>
    <definedName name="solver_opt" localSheetId="14" hidden="1">ct_T!$K$35</definedName>
    <definedName name="solver_opt" localSheetId="3" hidden="1">ct_V!$K$35</definedName>
    <definedName name="solver_opt" localSheetId="16" hidden="1">ct_W!$K$35</definedName>
    <definedName name="solver_opt" localSheetId="17" hidden="1">ct_Y!$K$35</definedName>
    <definedName name="solver_pre" localSheetId="2" hidden="1">0.000001</definedName>
    <definedName name="solver_pre" localSheetId="17" hidden="1">0.000001</definedName>
    <definedName name="solver_rbv" localSheetId="2" hidden="1">1</definedName>
    <definedName name="solver_rbv" localSheetId="17" hidden="1">2</definedName>
    <definedName name="solver_rel1" localSheetId="0" hidden="1">1</definedName>
    <definedName name="solver_rel1" localSheetId="4" hidden="1">1</definedName>
    <definedName name="solver_rel1" localSheetId="5" hidden="1">1</definedName>
    <definedName name="solver_rel1" localSheetId="15" hidden="1">1</definedName>
    <definedName name="solver_rel1" localSheetId="18" hidden="1">1</definedName>
    <definedName name="solver_rel1" localSheetId="11" hidden="1">1</definedName>
    <definedName name="solver_rel1" localSheetId="6" hidden="1">1</definedName>
    <definedName name="solver_rel1" localSheetId="1" hidden="1">1</definedName>
    <definedName name="solver_rel1" localSheetId="12" hidden="1">1</definedName>
    <definedName name="solver_rel1" localSheetId="7" hidden="1">1</definedName>
    <definedName name="solver_rel1" localSheetId="8" hidden="1">1</definedName>
    <definedName name="solver_rel1" localSheetId="9" hidden="1">1</definedName>
    <definedName name="solver_rel1" localSheetId="10" hidden="1">1</definedName>
    <definedName name="solver_rel1" localSheetId="13" hidden="1">1</definedName>
    <definedName name="solver_rel1" localSheetId="14" hidden="1">1</definedName>
    <definedName name="solver_rel1" localSheetId="3" hidden="1">1</definedName>
    <definedName name="solver_rel1" localSheetId="16" hidden="1">1</definedName>
    <definedName name="solver_rel1" localSheetId="17" hidden="1">1</definedName>
    <definedName name="solver_rel2" localSheetId="0" hidden="1">3</definedName>
    <definedName name="solver_rel2" localSheetId="4" hidden="1">3</definedName>
    <definedName name="solver_rel2" localSheetId="5" hidden="1">3</definedName>
    <definedName name="solver_rel2" localSheetId="15" hidden="1">3</definedName>
    <definedName name="solver_rel2" localSheetId="18" hidden="1">3</definedName>
    <definedName name="solver_rel2" localSheetId="11" hidden="1">3</definedName>
    <definedName name="solver_rel2" localSheetId="6" hidden="1">3</definedName>
    <definedName name="solver_rel2" localSheetId="1" hidden="1">3</definedName>
    <definedName name="solver_rel2" localSheetId="12" hidden="1">3</definedName>
    <definedName name="solver_rel2" localSheetId="7" hidden="1">3</definedName>
    <definedName name="solver_rel2" localSheetId="8" hidden="1">3</definedName>
    <definedName name="solver_rel2" localSheetId="9" hidden="1">3</definedName>
    <definedName name="solver_rel2" localSheetId="10" hidden="1">3</definedName>
    <definedName name="solver_rel2" localSheetId="13" hidden="1">3</definedName>
    <definedName name="solver_rel2" localSheetId="14" hidden="1">3</definedName>
    <definedName name="solver_rel2" localSheetId="3" hidden="1">3</definedName>
    <definedName name="solver_rel2" localSheetId="16" hidden="1">3</definedName>
    <definedName name="solver_rel2" localSheetId="17" hidden="1">3</definedName>
    <definedName name="solver_rel3" localSheetId="0" hidden="1">1</definedName>
    <definedName name="solver_rel3" localSheetId="4" hidden="1">1</definedName>
    <definedName name="solver_rel3" localSheetId="5" hidden="1">1</definedName>
    <definedName name="solver_rel3" localSheetId="15" hidden="1">1</definedName>
    <definedName name="solver_rel3" localSheetId="18" hidden="1">1</definedName>
    <definedName name="solver_rel3" localSheetId="11" hidden="1">1</definedName>
    <definedName name="solver_rel3" localSheetId="6" hidden="1">1</definedName>
    <definedName name="solver_rel3" localSheetId="1" hidden="1">1</definedName>
    <definedName name="solver_rel3" localSheetId="12" hidden="1">1</definedName>
    <definedName name="solver_rel3" localSheetId="7" hidden="1">1</definedName>
    <definedName name="solver_rel3" localSheetId="8" hidden="1">1</definedName>
    <definedName name="solver_rel3" localSheetId="9" hidden="1">1</definedName>
    <definedName name="solver_rel3" localSheetId="10" hidden="1">1</definedName>
    <definedName name="solver_rel3" localSheetId="13" hidden="1">1</definedName>
    <definedName name="solver_rel3" localSheetId="14" hidden="1">1</definedName>
    <definedName name="solver_rel3" localSheetId="3" hidden="1">1</definedName>
    <definedName name="solver_rel3" localSheetId="16" hidden="1">1</definedName>
    <definedName name="solver_rel3" localSheetId="17" hidden="1">1</definedName>
    <definedName name="solver_rel4" localSheetId="0" hidden="1">3</definedName>
    <definedName name="solver_rel4" localSheetId="4" hidden="1">3</definedName>
    <definedName name="solver_rel4" localSheetId="5" hidden="1">3</definedName>
    <definedName name="solver_rel4" localSheetId="15" hidden="1">3</definedName>
    <definedName name="solver_rel4" localSheetId="18" hidden="1">3</definedName>
    <definedName name="solver_rel4" localSheetId="11" hidden="1">3</definedName>
    <definedName name="solver_rel4" localSheetId="6" hidden="1">3</definedName>
    <definedName name="solver_rel4" localSheetId="1" hidden="1">3</definedName>
    <definedName name="solver_rel4" localSheetId="12" hidden="1">3</definedName>
    <definedName name="solver_rel4" localSheetId="7" hidden="1">3</definedName>
    <definedName name="solver_rel4" localSheetId="8" hidden="1">3</definedName>
    <definedName name="solver_rel4" localSheetId="9" hidden="1">3</definedName>
    <definedName name="solver_rel4" localSheetId="10" hidden="1">3</definedName>
    <definedName name="solver_rel4" localSheetId="13" hidden="1">3</definedName>
    <definedName name="solver_rel4" localSheetId="14" hidden="1">3</definedName>
    <definedName name="solver_rel4" localSheetId="3" hidden="1">3</definedName>
    <definedName name="solver_rel4" localSheetId="16" hidden="1">3</definedName>
    <definedName name="solver_rel4" localSheetId="17" hidden="1">1</definedName>
    <definedName name="solver_rel5" localSheetId="0" hidden="1">1</definedName>
    <definedName name="solver_rel5" localSheetId="4" hidden="1">1</definedName>
    <definedName name="solver_rel5" localSheetId="5" hidden="1">1</definedName>
    <definedName name="solver_rel5" localSheetId="15" hidden="1">1</definedName>
    <definedName name="solver_rel5" localSheetId="18" hidden="1">1</definedName>
    <definedName name="solver_rel5" localSheetId="11" hidden="1">1</definedName>
    <definedName name="solver_rel5" localSheetId="6" hidden="1">1</definedName>
    <definedName name="solver_rel5" localSheetId="1" hidden="1">1</definedName>
    <definedName name="solver_rel5" localSheetId="12" hidden="1">1</definedName>
    <definedName name="solver_rel5" localSheetId="7" hidden="1">1</definedName>
    <definedName name="solver_rel5" localSheetId="8" hidden="1">1</definedName>
    <definedName name="solver_rel5" localSheetId="9" hidden="1">1</definedName>
    <definedName name="solver_rel5" localSheetId="10" hidden="1">1</definedName>
    <definedName name="solver_rel5" localSheetId="13" hidden="1">1</definedName>
    <definedName name="solver_rel5" localSheetId="14" hidden="1">1</definedName>
    <definedName name="solver_rel5" localSheetId="3" hidden="1">1</definedName>
    <definedName name="solver_rel5" localSheetId="16" hidden="1">1</definedName>
    <definedName name="solver_rel5" localSheetId="17" hidden="1">3</definedName>
    <definedName name="solver_rel6" localSheetId="0" hidden="1">3</definedName>
    <definedName name="solver_rel6" localSheetId="4" hidden="1">3</definedName>
    <definedName name="solver_rel6" localSheetId="5" hidden="1">3</definedName>
    <definedName name="solver_rel6" localSheetId="15" hidden="1">3</definedName>
    <definedName name="solver_rel6" localSheetId="18" hidden="1">3</definedName>
    <definedName name="solver_rel6" localSheetId="11" hidden="1">3</definedName>
    <definedName name="solver_rel6" localSheetId="6" hidden="1">3</definedName>
    <definedName name="solver_rel6" localSheetId="1" hidden="1">3</definedName>
    <definedName name="solver_rel6" localSheetId="12" hidden="1">3</definedName>
    <definedName name="solver_rel6" localSheetId="7" hidden="1">3</definedName>
    <definedName name="solver_rel6" localSheetId="8" hidden="1">3</definedName>
    <definedName name="solver_rel6" localSheetId="9" hidden="1">3</definedName>
    <definedName name="solver_rel6" localSheetId="10" hidden="1">3</definedName>
    <definedName name="solver_rel6" localSheetId="13" hidden="1">3</definedName>
    <definedName name="solver_rel6" localSheetId="14" hidden="1">3</definedName>
    <definedName name="solver_rel6" localSheetId="3" hidden="1">3</definedName>
    <definedName name="solver_rel6" localSheetId="16" hidden="1">3</definedName>
    <definedName name="solver_rel6" localSheetId="17" hidden="1">3</definedName>
    <definedName name="solver_rel7" localSheetId="0" hidden="1">1</definedName>
    <definedName name="solver_rel7" localSheetId="4" hidden="1">1</definedName>
    <definedName name="solver_rel7" localSheetId="5" hidden="1">1</definedName>
    <definedName name="solver_rel7" localSheetId="15" hidden="1">1</definedName>
    <definedName name="solver_rel7" localSheetId="18" hidden="1">1</definedName>
    <definedName name="solver_rel7" localSheetId="11" hidden="1">1</definedName>
    <definedName name="solver_rel7" localSheetId="6" hidden="1">1</definedName>
    <definedName name="solver_rel7" localSheetId="1" hidden="1">1</definedName>
    <definedName name="solver_rel7" localSheetId="12" hidden="1">1</definedName>
    <definedName name="solver_rel7" localSheetId="7" hidden="1">1</definedName>
    <definedName name="solver_rel7" localSheetId="8" hidden="1">1</definedName>
    <definedName name="solver_rel7" localSheetId="9" hidden="1">1</definedName>
    <definedName name="solver_rel7" localSheetId="10" hidden="1">1</definedName>
    <definedName name="solver_rel7" localSheetId="13" hidden="1">1</definedName>
    <definedName name="solver_rel7" localSheetId="14" hidden="1">1</definedName>
    <definedName name="solver_rel7" localSheetId="3" hidden="1">1</definedName>
    <definedName name="solver_rel7" localSheetId="16" hidden="1">1</definedName>
    <definedName name="solver_rel7" localSheetId="17" hidden="1">1</definedName>
    <definedName name="solver_rel8" localSheetId="0" hidden="1">3</definedName>
    <definedName name="solver_rel8" localSheetId="4" hidden="1">3</definedName>
    <definedName name="solver_rel8" localSheetId="5" hidden="1">3</definedName>
    <definedName name="solver_rel8" localSheetId="15" hidden="1">3</definedName>
    <definedName name="solver_rel8" localSheetId="18" hidden="1">3</definedName>
    <definedName name="solver_rel8" localSheetId="11" hidden="1">3</definedName>
    <definedName name="solver_rel8" localSheetId="6" hidden="1">3</definedName>
    <definedName name="solver_rel8" localSheetId="1" hidden="1">3</definedName>
    <definedName name="solver_rel8" localSheetId="12" hidden="1">3</definedName>
    <definedName name="solver_rel8" localSheetId="7" hidden="1">3</definedName>
    <definedName name="solver_rel8" localSheetId="8" hidden="1">3</definedName>
    <definedName name="solver_rel8" localSheetId="9" hidden="1">3</definedName>
    <definedName name="solver_rel8" localSheetId="10" hidden="1">3</definedName>
    <definedName name="solver_rel8" localSheetId="13" hidden="1">3</definedName>
    <definedName name="solver_rel8" localSheetId="14" hidden="1">3</definedName>
    <definedName name="solver_rel8" localSheetId="3" hidden="1">3</definedName>
    <definedName name="solver_rel8" localSheetId="16" hidden="1">3</definedName>
    <definedName name="solver_rel8" localSheetId="17" hidden="1">3</definedName>
    <definedName name="solver_rhs1" localSheetId="0" hidden="1">3</definedName>
    <definedName name="solver_rhs1" localSheetId="4" hidden="1">3</definedName>
    <definedName name="solver_rhs1" localSheetId="5" hidden="1">3</definedName>
    <definedName name="solver_rhs1" localSheetId="15" hidden="1">3</definedName>
    <definedName name="solver_rhs1" localSheetId="18" hidden="1">3</definedName>
    <definedName name="solver_rhs1" localSheetId="11" hidden="1">3</definedName>
    <definedName name="solver_rhs1" localSheetId="6" hidden="1">3</definedName>
    <definedName name="solver_rhs1" localSheetId="1" hidden="1">3</definedName>
    <definedName name="solver_rhs1" localSheetId="12" hidden="1">3</definedName>
    <definedName name="solver_rhs1" localSheetId="7" hidden="1">3</definedName>
    <definedName name="solver_rhs1" localSheetId="8" hidden="1">3</definedName>
    <definedName name="solver_rhs1" localSheetId="9" hidden="1">3</definedName>
    <definedName name="solver_rhs1" localSheetId="10" hidden="1">3</definedName>
    <definedName name="solver_rhs1" localSheetId="13" hidden="1">3</definedName>
    <definedName name="solver_rhs1" localSheetId="14" hidden="1">3</definedName>
    <definedName name="solver_rhs1" localSheetId="3" hidden="1">3</definedName>
    <definedName name="solver_rhs1" localSheetId="16" hidden="1">3</definedName>
    <definedName name="solver_rhs1" localSheetId="17" hidden="1">3</definedName>
    <definedName name="solver_rhs2" localSheetId="0" hidden="1">0.001</definedName>
    <definedName name="solver_rhs2" localSheetId="4" hidden="1">0.001</definedName>
    <definedName name="solver_rhs2" localSheetId="5" hidden="1">0.001</definedName>
    <definedName name="solver_rhs2" localSheetId="15" hidden="1">0.001</definedName>
    <definedName name="solver_rhs2" localSheetId="18" hidden="1">0.001</definedName>
    <definedName name="solver_rhs2" localSheetId="11" hidden="1">0.001</definedName>
    <definedName name="solver_rhs2" localSheetId="6" hidden="1">0.001</definedName>
    <definedName name="solver_rhs2" localSheetId="1" hidden="1">0.001</definedName>
    <definedName name="solver_rhs2" localSheetId="12" hidden="1">0.001</definedName>
    <definedName name="solver_rhs2" localSheetId="7" hidden="1">0.001</definedName>
    <definedName name="solver_rhs2" localSheetId="8" hidden="1">0.001</definedName>
    <definedName name="solver_rhs2" localSheetId="9" hidden="1">0.001</definedName>
    <definedName name="solver_rhs2" localSheetId="10" hidden="1">0.001</definedName>
    <definedName name="solver_rhs2" localSheetId="13" hidden="1">0.001</definedName>
    <definedName name="solver_rhs2" localSheetId="14" hidden="1">0.001</definedName>
    <definedName name="solver_rhs2" localSheetId="3" hidden="1">0.001</definedName>
    <definedName name="solver_rhs2" localSheetId="16" hidden="1">0.001</definedName>
    <definedName name="solver_rhs2" localSheetId="17" hidden="1">0.001</definedName>
    <definedName name="solver_rhs3" localSheetId="0" hidden="1">3</definedName>
    <definedName name="solver_rhs3" localSheetId="4" hidden="1">3</definedName>
    <definedName name="solver_rhs3" localSheetId="5" hidden="1">3</definedName>
    <definedName name="solver_rhs3" localSheetId="15" hidden="1">3</definedName>
    <definedName name="solver_rhs3" localSheetId="18" hidden="1">3</definedName>
    <definedName name="solver_rhs3" localSheetId="11" hidden="1">3</definedName>
    <definedName name="solver_rhs3" localSheetId="6" hidden="1">3</definedName>
    <definedName name="solver_rhs3" localSheetId="1" hidden="1">3</definedName>
    <definedName name="solver_rhs3" localSheetId="12" hidden="1">3</definedName>
    <definedName name="solver_rhs3" localSheetId="7" hidden="1">3</definedName>
    <definedName name="solver_rhs3" localSheetId="8" hidden="1">3</definedName>
    <definedName name="solver_rhs3" localSheetId="9" hidden="1">3</definedName>
    <definedName name="solver_rhs3" localSheetId="10" hidden="1">3</definedName>
    <definedName name="solver_rhs3" localSheetId="13" hidden="1">3</definedName>
    <definedName name="solver_rhs3" localSheetId="14" hidden="1">3</definedName>
    <definedName name="solver_rhs3" localSheetId="3" hidden="1">3</definedName>
    <definedName name="solver_rhs3" localSheetId="16" hidden="1">3</definedName>
    <definedName name="solver_rhs3" localSheetId="17" hidden="1">3</definedName>
    <definedName name="solver_rhs4" localSheetId="0" hidden="1">-3</definedName>
    <definedName name="solver_rhs4" localSheetId="4" hidden="1">-3</definedName>
    <definedName name="solver_rhs4" localSheetId="5" hidden="1">-3</definedName>
    <definedName name="solver_rhs4" localSheetId="15" hidden="1">-3</definedName>
    <definedName name="solver_rhs4" localSheetId="18" hidden="1">-3</definedName>
    <definedName name="solver_rhs4" localSheetId="11" hidden="1">-3</definedName>
    <definedName name="solver_rhs4" localSheetId="6" hidden="1">-3</definedName>
    <definedName name="solver_rhs4" localSheetId="1" hidden="1">-3</definedName>
    <definedName name="solver_rhs4" localSheetId="12" hidden="1">-3</definedName>
    <definedName name="solver_rhs4" localSheetId="7" hidden="1">-3</definedName>
    <definedName name="solver_rhs4" localSheetId="8" hidden="1">-3</definedName>
    <definedName name="solver_rhs4" localSheetId="9" hidden="1">-3</definedName>
    <definedName name="solver_rhs4" localSheetId="10" hidden="1">-3</definedName>
    <definedName name="solver_rhs4" localSheetId="13" hidden="1">-3</definedName>
    <definedName name="solver_rhs4" localSheetId="14" hidden="1">-3</definedName>
    <definedName name="solver_rhs4" localSheetId="3" hidden="1">-3</definedName>
    <definedName name="solver_rhs4" localSheetId="16" hidden="1">-3</definedName>
    <definedName name="solver_rhs4" localSheetId="17" hidden="1">30</definedName>
    <definedName name="solver_rhs5" localSheetId="0" hidden="1">-0.001</definedName>
    <definedName name="solver_rhs5" localSheetId="4" hidden="1">-0.001</definedName>
    <definedName name="solver_rhs5" localSheetId="5" hidden="1">-0.001</definedName>
    <definedName name="solver_rhs5" localSheetId="15" hidden="1">-0.001</definedName>
    <definedName name="solver_rhs5" localSheetId="18" hidden="1">-0.001</definedName>
    <definedName name="solver_rhs5" localSheetId="11" hidden="1">-0.001</definedName>
    <definedName name="solver_rhs5" localSheetId="6" hidden="1">-0.001</definedName>
    <definedName name="solver_rhs5" localSheetId="1" hidden="1">-0.001</definedName>
    <definedName name="solver_rhs5" localSheetId="12" hidden="1">-0.001</definedName>
    <definedName name="solver_rhs5" localSheetId="7" hidden="1">-0.001</definedName>
    <definedName name="solver_rhs5" localSheetId="8" hidden="1">-0.001</definedName>
    <definedName name="solver_rhs5" localSheetId="9" hidden="1">-0.001</definedName>
    <definedName name="solver_rhs5" localSheetId="10" hidden="1">-0.001</definedName>
    <definedName name="solver_rhs5" localSheetId="13" hidden="1">-0.001</definedName>
    <definedName name="solver_rhs5" localSheetId="14" hidden="1">-0.001</definedName>
    <definedName name="solver_rhs5" localSheetId="3" hidden="1">-0.001</definedName>
    <definedName name="solver_rhs5" localSheetId="16" hidden="1">-0.001</definedName>
    <definedName name="solver_rhs5" localSheetId="17" hidden="1">1</definedName>
    <definedName name="solver_rhs6" localSheetId="0" hidden="1">-18</definedName>
    <definedName name="solver_rhs6" localSheetId="4" hidden="1">-18</definedName>
    <definedName name="solver_rhs6" localSheetId="5" hidden="1">-18</definedName>
    <definedName name="solver_rhs6" localSheetId="15" hidden="1">-18</definedName>
    <definedName name="solver_rhs6" localSheetId="18" hidden="1">-18</definedName>
    <definedName name="solver_rhs6" localSheetId="11" hidden="1">-18</definedName>
    <definedName name="solver_rhs6" localSheetId="6" hidden="1">-18</definedName>
    <definedName name="solver_rhs6" localSheetId="1" hidden="1">-18</definedName>
    <definedName name="solver_rhs6" localSheetId="12" hidden="1">-18</definedName>
    <definedName name="solver_rhs6" localSheetId="7" hidden="1">-18</definedName>
    <definedName name="solver_rhs6" localSheetId="8" hidden="1">-18</definedName>
    <definedName name="solver_rhs6" localSheetId="9" hidden="1">-18</definedName>
    <definedName name="solver_rhs6" localSheetId="10" hidden="1">-18</definedName>
    <definedName name="solver_rhs6" localSheetId="13" hidden="1">-18</definedName>
    <definedName name="solver_rhs6" localSheetId="14" hidden="1">-18</definedName>
    <definedName name="solver_rhs6" localSheetId="3" hidden="1">-18</definedName>
    <definedName name="solver_rhs6" localSheetId="16" hidden="1">-18</definedName>
    <definedName name="solver_rhs6" localSheetId="17" hidden="1">-3</definedName>
    <definedName name="solver_rhs7" localSheetId="0" hidden="1">30</definedName>
    <definedName name="solver_rhs7" localSheetId="4" hidden="1">30</definedName>
    <definedName name="solver_rhs7" localSheetId="5" hidden="1">30</definedName>
    <definedName name="solver_rhs7" localSheetId="15" hidden="1">30</definedName>
    <definedName name="solver_rhs7" localSheetId="18" hidden="1">30</definedName>
    <definedName name="solver_rhs7" localSheetId="11" hidden="1">30</definedName>
    <definedName name="solver_rhs7" localSheetId="6" hidden="1">30</definedName>
    <definedName name="solver_rhs7" localSheetId="1" hidden="1">30</definedName>
    <definedName name="solver_rhs7" localSheetId="12" hidden="1">30</definedName>
    <definedName name="solver_rhs7" localSheetId="7" hidden="1">30</definedName>
    <definedName name="solver_rhs7" localSheetId="8" hidden="1">30</definedName>
    <definedName name="solver_rhs7" localSheetId="9" hidden="1">30</definedName>
    <definedName name="solver_rhs7" localSheetId="10" hidden="1">30</definedName>
    <definedName name="solver_rhs7" localSheetId="13" hidden="1">30</definedName>
    <definedName name="solver_rhs7" localSheetId="14" hidden="1">30</definedName>
    <definedName name="solver_rhs7" localSheetId="3" hidden="1">30</definedName>
    <definedName name="solver_rhs7" localSheetId="16" hidden="1">30</definedName>
    <definedName name="solver_rhs7" localSheetId="17" hidden="1">-0.001</definedName>
    <definedName name="solver_rhs8" localSheetId="0" hidden="1">1</definedName>
    <definedName name="solver_rhs8" localSheetId="4" hidden="1">1</definedName>
    <definedName name="solver_rhs8" localSheetId="5" hidden="1">1</definedName>
    <definedName name="solver_rhs8" localSheetId="15" hidden="1">1</definedName>
    <definedName name="solver_rhs8" localSheetId="18" hidden="1">1</definedName>
    <definedName name="solver_rhs8" localSheetId="11" hidden="1">1</definedName>
    <definedName name="solver_rhs8" localSheetId="6" hidden="1">1</definedName>
    <definedName name="solver_rhs8" localSheetId="1" hidden="1">1</definedName>
    <definedName name="solver_rhs8" localSheetId="12" hidden="1">1</definedName>
    <definedName name="solver_rhs8" localSheetId="7" hidden="1">1</definedName>
    <definedName name="solver_rhs8" localSheetId="8" hidden="1">1</definedName>
    <definedName name="solver_rhs8" localSheetId="9" hidden="1">1</definedName>
    <definedName name="solver_rhs8" localSheetId="10" hidden="1">1</definedName>
    <definedName name="solver_rhs8" localSheetId="13" hidden="1">1</definedName>
    <definedName name="solver_rhs8" localSheetId="14" hidden="1">1</definedName>
    <definedName name="solver_rhs8" localSheetId="3" hidden="1">1</definedName>
    <definedName name="solver_rhs8" localSheetId="16" hidden="1">1</definedName>
    <definedName name="solver_rhs8" localSheetId="17" hidden="1">-18</definedName>
    <definedName name="solver_rlx" localSheetId="2" hidden="1">2</definedName>
    <definedName name="solver_rlx" localSheetId="17" hidden="1">2</definedName>
    <definedName name="solver_rsd" localSheetId="2" hidden="1">0</definedName>
    <definedName name="solver_rsd" localSheetId="17" hidden="1">0</definedName>
    <definedName name="solver_scl" localSheetId="2" hidden="1">1</definedName>
    <definedName name="solver_scl" localSheetId="17" hidden="1">2</definedName>
    <definedName name="solver_sho" localSheetId="2" hidden="1">2</definedName>
    <definedName name="solver_sho" localSheetId="17" hidden="1">2</definedName>
    <definedName name="solver_ssz" localSheetId="2" hidden="1">100</definedName>
    <definedName name="solver_ssz" localSheetId="17" hidden="1">100</definedName>
    <definedName name="solver_tim" localSheetId="2" hidden="1">2147483647</definedName>
    <definedName name="solver_tim" localSheetId="17" hidden="1">2147483647</definedName>
    <definedName name="solver_tol" localSheetId="2" hidden="1">0.01</definedName>
    <definedName name="solver_tol" localSheetId="17" hidden="1">0.01</definedName>
    <definedName name="solver_typ" localSheetId="0" hidden="1">2</definedName>
    <definedName name="solver_typ" localSheetId="4" hidden="1">2</definedName>
    <definedName name="solver_typ" localSheetId="5" hidden="1">2</definedName>
    <definedName name="solver_typ" localSheetId="15" hidden="1">2</definedName>
    <definedName name="solver_typ" localSheetId="18" hidden="1">2</definedName>
    <definedName name="solver_typ" localSheetId="11" hidden="1">2</definedName>
    <definedName name="solver_typ" localSheetId="2" hidden="1">1</definedName>
    <definedName name="solver_typ" localSheetId="6" hidden="1">2</definedName>
    <definedName name="solver_typ" localSheetId="1" hidden="1">2</definedName>
    <definedName name="solver_typ" localSheetId="12" hidden="1">2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typ" localSheetId="10" hidden="1">2</definedName>
    <definedName name="solver_typ" localSheetId="13" hidden="1">2</definedName>
    <definedName name="solver_typ" localSheetId="14" hidden="1">2</definedName>
    <definedName name="solver_typ" localSheetId="3" hidden="1">2</definedName>
    <definedName name="solver_typ" localSheetId="16" hidden="1">2</definedName>
    <definedName name="solver_typ" localSheetId="17" hidden="1">2</definedName>
    <definedName name="solver_val" localSheetId="0" hidden="1">0</definedName>
    <definedName name="solver_val" localSheetId="4" hidden="1">0</definedName>
    <definedName name="solver_val" localSheetId="5" hidden="1">0</definedName>
    <definedName name="solver_val" localSheetId="15" hidden="1">0</definedName>
    <definedName name="solver_val" localSheetId="18" hidden="1">0</definedName>
    <definedName name="solver_val" localSheetId="11" hidden="1">0</definedName>
    <definedName name="solver_val" localSheetId="2" hidden="1">0</definedName>
    <definedName name="solver_val" localSheetId="6" hidden="1">0</definedName>
    <definedName name="solver_val" localSheetId="1" hidden="1">0</definedName>
    <definedName name="solver_val" localSheetId="12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al" localSheetId="13" hidden="1">0</definedName>
    <definedName name="solver_val" localSheetId="14" hidden="1">0</definedName>
    <definedName name="solver_val" localSheetId="3" hidden="1">0</definedName>
    <definedName name="solver_val" localSheetId="16" hidden="1">0</definedName>
    <definedName name="solver_val" localSheetId="17" hidden="1">0</definedName>
    <definedName name="solver_ver" localSheetId="0" hidden="1">3</definedName>
    <definedName name="solver_ver" localSheetId="4" hidden="1">3</definedName>
    <definedName name="solver_ver" localSheetId="5" hidden="1">3</definedName>
    <definedName name="solver_ver" localSheetId="15" hidden="1">3</definedName>
    <definedName name="solver_ver" localSheetId="18" hidden="1">3</definedName>
    <definedName name="solver_ver" localSheetId="11" hidden="1">3</definedName>
    <definedName name="solver_ver" localSheetId="2" hidden="1">3</definedName>
    <definedName name="solver_ver" localSheetId="6" hidden="1">3</definedName>
    <definedName name="solver_ver" localSheetId="1" hidden="1">3</definedName>
    <definedName name="solver_ver" localSheetId="12" hidden="1">3</definedName>
    <definedName name="solver_ver" localSheetId="7" hidden="1">3</definedName>
    <definedName name="solver_ver" localSheetId="8" hidden="1">3</definedName>
    <definedName name="solver_ver" localSheetId="9" hidden="1">3</definedName>
    <definedName name="solver_ver" localSheetId="10" hidden="1">3</definedName>
    <definedName name="solver_ver" localSheetId="13" hidden="1">3</definedName>
    <definedName name="solver_ver" localSheetId="14" hidden="1">3</definedName>
    <definedName name="solver_ver" localSheetId="3" hidden="1">3</definedName>
    <definedName name="solver_ver" localSheetId="16" hidden="1">3</definedName>
    <definedName name="solver_ver" localSheetId="17" hidden="1">3</definedName>
    <definedName name="zMid_A_1">ct_A!$B$6</definedName>
    <definedName name="zMid_A_2">ct_A!$B$11</definedName>
    <definedName name="zMid_D_1">ct_D!$B$6</definedName>
    <definedName name="zMid_D_2">ct_D!$B$11</definedName>
    <definedName name="zMid_E_1">ct_E!$B$6</definedName>
    <definedName name="zMid_E_2">ct_E!$B$11</definedName>
    <definedName name="zMid_F_1">ct_F!$B$6</definedName>
    <definedName name="zMid_F_2">ct_F!$B$11</definedName>
    <definedName name="zMid_G_1">ct_G!$B$6</definedName>
    <definedName name="zMid_G_2">ct_G!$B$11</definedName>
    <definedName name="zMid_H_1">ct_H!$B$6</definedName>
    <definedName name="zMid_H_2">ct_H!$B$11</definedName>
    <definedName name="zMid_I_1">ct_I!$B$6</definedName>
    <definedName name="zMid_I_2">ct_I!$B$11</definedName>
    <definedName name="zMid_K_1">ct_K!$B$6</definedName>
    <definedName name="zMid_K_2">ct_K!$B$11</definedName>
    <definedName name="zMid_L_1">ct_L!$B$6</definedName>
    <definedName name="zMid_L_2">ct_L!$B$11</definedName>
    <definedName name="zMid_M_1">ct_M!$B$6</definedName>
    <definedName name="zMid_M_2">ct_M!$B$11</definedName>
    <definedName name="zMid_N_1">ct_N!$B$6</definedName>
    <definedName name="zMid_N_2">ct_N!$B$11</definedName>
    <definedName name="zMid_P_1">ct_P!$B$6</definedName>
    <definedName name="zMid_P_2">ct_P!$B$11</definedName>
    <definedName name="zMid_Q_1">ct_Q!$B$6</definedName>
    <definedName name="zMid_Q_2">ct_Q!$B$11</definedName>
    <definedName name="zMid_R_1">ct_R!$B$6</definedName>
    <definedName name="zMid_R_2">ct_R!$B$11</definedName>
    <definedName name="zMid_S_1">ct_S!$B$6</definedName>
    <definedName name="zMid_S_2">ct_S!$B$11</definedName>
    <definedName name="zMid_T_1">ct_T!$B$6</definedName>
    <definedName name="zMid_T_2">ct_T!$B$11</definedName>
    <definedName name="zMid_V_1">ct_V!$B$6</definedName>
    <definedName name="zMid_V_2">ct_V!$B$11</definedName>
    <definedName name="zMid_W_1">ct_W!$B$6</definedName>
    <definedName name="zMid_W_2">ct_W!$B$11</definedName>
    <definedName name="zMid_Y_1">ct_Y!$B$6</definedName>
    <definedName name="zMid_Y_2">ct_Y!$B$11</definedName>
  </definedNames>
  <calcPr calcId="145621"/>
</workbook>
</file>

<file path=xl/calcChain.xml><?xml version="1.0" encoding="utf-8"?>
<calcChain xmlns="http://schemas.openxmlformats.org/spreadsheetml/2006/main">
  <c r="O50" i="19" l="1"/>
  <c r="N50" i="19"/>
  <c r="O49" i="19"/>
  <c r="N49" i="19"/>
  <c r="O48" i="19"/>
  <c r="N48" i="19"/>
  <c r="O47" i="19"/>
  <c r="N47" i="19"/>
  <c r="O46" i="19"/>
  <c r="N46" i="19"/>
  <c r="O45" i="19"/>
  <c r="N45" i="19"/>
  <c r="O44" i="19"/>
  <c r="N44" i="19"/>
  <c r="O43" i="19"/>
  <c r="N43" i="19"/>
  <c r="O42" i="19"/>
  <c r="N42" i="19"/>
  <c r="O41" i="19"/>
  <c r="N41" i="19"/>
  <c r="O40" i="19"/>
  <c r="N40" i="19"/>
  <c r="O39" i="19"/>
  <c r="N39" i="19"/>
  <c r="O38" i="19"/>
  <c r="N38" i="19"/>
  <c r="O37" i="19"/>
  <c r="N37" i="19"/>
  <c r="O36" i="19"/>
  <c r="N36" i="19"/>
  <c r="O35" i="19"/>
  <c r="N35" i="19"/>
  <c r="O34" i="19"/>
  <c r="N34" i="19"/>
  <c r="O33" i="19"/>
  <c r="N33" i="19"/>
  <c r="O32" i="19"/>
  <c r="N32" i="19"/>
  <c r="O31" i="19"/>
  <c r="N31" i="19"/>
  <c r="O30" i="19"/>
  <c r="N30" i="19"/>
  <c r="O29" i="19"/>
  <c r="N29" i="19"/>
  <c r="O28" i="19"/>
  <c r="N28" i="19"/>
  <c r="O27" i="19"/>
  <c r="N27" i="19"/>
  <c r="O26" i="19"/>
  <c r="N26" i="19"/>
  <c r="O25" i="19"/>
  <c r="N25" i="19"/>
  <c r="O24" i="19"/>
  <c r="N24" i="19"/>
  <c r="O23" i="19"/>
  <c r="N23" i="19"/>
  <c r="O22" i="19"/>
  <c r="N22" i="19"/>
  <c r="O21" i="19"/>
  <c r="N21" i="19"/>
  <c r="O20" i="19"/>
  <c r="N20" i="19"/>
  <c r="O19" i="19"/>
  <c r="N19" i="19"/>
  <c r="O18" i="19"/>
  <c r="N18" i="19"/>
  <c r="O17" i="19"/>
  <c r="N17" i="19"/>
  <c r="O16" i="19"/>
  <c r="N16" i="19"/>
  <c r="O15" i="19"/>
  <c r="N15" i="19"/>
  <c r="O14" i="19"/>
  <c r="N14" i="19"/>
  <c r="O13" i="19"/>
  <c r="N13" i="19"/>
  <c r="O12" i="19"/>
  <c r="N12" i="19"/>
  <c r="O11" i="19"/>
  <c r="N11" i="19"/>
  <c r="O10" i="19"/>
  <c r="N10" i="19"/>
  <c r="O9" i="19"/>
  <c r="N9" i="19"/>
  <c r="O8" i="19"/>
  <c r="N8" i="19"/>
  <c r="O7" i="19"/>
  <c r="N7" i="19"/>
  <c r="O6" i="19"/>
  <c r="N6" i="19"/>
  <c r="O5" i="19"/>
  <c r="N5" i="19"/>
  <c r="O4" i="19"/>
  <c r="N4" i="19"/>
  <c r="O3" i="19"/>
  <c r="N3" i="19"/>
  <c r="O2" i="19"/>
  <c r="N2" i="19"/>
  <c r="J32" i="19"/>
  <c r="K32" i="19" s="1"/>
  <c r="H32" i="19"/>
  <c r="I32" i="19" s="1"/>
  <c r="J31" i="19"/>
  <c r="K31" i="19" s="1"/>
  <c r="H31" i="19"/>
  <c r="I31" i="19" s="1"/>
  <c r="J30" i="19"/>
  <c r="K30" i="19" s="1"/>
  <c r="H30" i="19"/>
  <c r="I30" i="19" s="1"/>
  <c r="J29" i="19"/>
  <c r="K29" i="19" s="1"/>
  <c r="H29" i="19"/>
  <c r="I29" i="19" s="1"/>
  <c r="J28" i="19"/>
  <c r="K28" i="19" s="1"/>
  <c r="H28" i="19"/>
  <c r="I28" i="19" s="1"/>
  <c r="J27" i="19"/>
  <c r="K27" i="19" s="1"/>
  <c r="H27" i="19"/>
  <c r="I27" i="19" s="1"/>
  <c r="J26" i="19"/>
  <c r="K26" i="19" s="1"/>
  <c r="H26" i="19"/>
  <c r="I26" i="19" s="1"/>
  <c r="J25" i="19"/>
  <c r="K25" i="19" s="1"/>
  <c r="H25" i="19"/>
  <c r="I25" i="19" s="1"/>
  <c r="J24" i="19"/>
  <c r="K24" i="19" s="1"/>
  <c r="H24" i="19"/>
  <c r="I24" i="19" s="1"/>
  <c r="J23" i="19"/>
  <c r="K23" i="19" s="1"/>
  <c r="H23" i="19"/>
  <c r="I23" i="19" s="1"/>
  <c r="J22" i="19"/>
  <c r="K22" i="19" s="1"/>
  <c r="H22" i="19"/>
  <c r="I22" i="19" s="1"/>
  <c r="J21" i="19"/>
  <c r="K21" i="19" s="1"/>
  <c r="H21" i="19"/>
  <c r="I21" i="19" s="1"/>
  <c r="J20" i="19"/>
  <c r="K20" i="19" s="1"/>
  <c r="H20" i="19"/>
  <c r="I20" i="19" s="1"/>
  <c r="J19" i="19"/>
  <c r="K19" i="19" s="1"/>
  <c r="H19" i="19"/>
  <c r="I19" i="19" s="1"/>
  <c r="J18" i="19"/>
  <c r="K18" i="19" s="1"/>
  <c r="H18" i="19"/>
  <c r="I18" i="19" s="1"/>
  <c r="J17" i="19"/>
  <c r="K17" i="19" s="1"/>
  <c r="H17" i="19"/>
  <c r="I17" i="19" s="1"/>
  <c r="J16" i="19"/>
  <c r="K16" i="19" s="1"/>
  <c r="H16" i="19"/>
  <c r="I16" i="19" s="1"/>
  <c r="J15" i="19"/>
  <c r="K15" i="19" s="1"/>
  <c r="H15" i="19"/>
  <c r="I15" i="19" s="1"/>
  <c r="J14" i="19"/>
  <c r="K14" i="19" s="1"/>
  <c r="H14" i="19"/>
  <c r="I14" i="19" s="1"/>
  <c r="J13" i="19"/>
  <c r="K13" i="19" s="1"/>
  <c r="H13" i="19"/>
  <c r="I13" i="19" s="1"/>
  <c r="J12" i="19"/>
  <c r="K12" i="19" s="1"/>
  <c r="H12" i="19"/>
  <c r="I12" i="19" s="1"/>
  <c r="J11" i="19"/>
  <c r="K11" i="19" s="1"/>
  <c r="H11" i="19"/>
  <c r="I11" i="19" s="1"/>
  <c r="J10" i="19"/>
  <c r="K10" i="19" s="1"/>
  <c r="H10" i="19"/>
  <c r="I10" i="19" s="1"/>
  <c r="J9" i="19"/>
  <c r="K9" i="19" s="1"/>
  <c r="H9" i="19"/>
  <c r="I9" i="19" s="1"/>
  <c r="J8" i="19"/>
  <c r="K8" i="19" s="1"/>
  <c r="H8" i="19"/>
  <c r="I8" i="19" s="1"/>
  <c r="J7" i="19"/>
  <c r="K7" i="19" s="1"/>
  <c r="H7" i="19"/>
  <c r="I7" i="19" s="1"/>
  <c r="J6" i="19"/>
  <c r="K6" i="19" s="1"/>
  <c r="H6" i="19"/>
  <c r="I6" i="19" s="1"/>
  <c r="J5" i="19"/>
  <c r="K5" i="19" s="1"/>
  <c r="H5" i="19"/>
  <c r="I5" i="19" s="1"/>
  <c r="J4" i="19"/>
  <c r="K4" i="19" s="1"/>
  <c r="H4" i="19"/>
  <c r="I4" i="19" s="1"/>
  <c r="J3" i="19"/>
  <c r="K3" i="19" s="1"/>
  <c r="H3" i="19"/>
  <c r="I3" i="19" s="1"/>
  <c r="J2" i="19"/>
  <c r="K2" i="19" s="1"/>
  <c r="H2" i="19"/>
  <c r="I2" i="19" s="1"/>
  <c r="O50" i="18"/>
  <c r="N50" i="18"/>
  <c r="O49" i="18"/>
  <c r="N49" i="18"/>
  <c r="O48" i="18"/>
  <c r="N48" i="18"/>
  <c r="O47" i="18"/>
  <c r="N47" i="18"/>
  <c r="O46" i="18"/>
  <c r="N46" i="18"/>
  <c r="O45" i="18"/>
  <c r="N45" i="18"/>
  <c r="O44" i="18"/>
  <c r="N44" i="18"/>
  <c r="O43" i="18"/>
  <c r="N43" i="18"/>
  <c r="O42" i="18"/>
  <c r="N42" i="18"/>
  <c r="O41" i="18"/>
  <c r="N41" i="18"/>
  <c r="O40" i="18"/>
  <c r="N40" i="18"/>
  <c r="O39" i="18"/>
  <c r="N39" i="18"/>
  <c r="O38" i="18"/>
  <c r="N38" i="18"/>
  <c r="O37" i="18"/>
  <c r="N37" i="18"/>
  <c r="O36" i="18"/>
  <c r="N36" i="18"/>
  <c r="O35" i="18"/>
  <c r="N35" i="18"/>
  <c r="O34" i="18"/>
  <c r="N34" i="18"/>
  <c r="O33" i="18"/>
  <c r="N33" i="18"/>
  <c r="O32" i="18"/>
  <c r="N32" i="18"/>
  <c r="O31" i="18"/>
  <c r="N31" i="18"/>
  <c r="O30" i="18"/>
  <c r="N30" i="18"/>
  <c r="O29" i="18"/>
  <c r="N29" i="18"/>
  <c r="O28" i="18"/>
  <c r="N28" i="18"/>
  <c r="O27" i="18"/>
  <c r="N27" i="18"/>
  <c r="O26" i="18"/>
  <c r="N26" i="18"/>
  <c r="O25" i="18"/>
  <c r="N25" i="18"/>
  <c r="O24" i="18"/>
  <c r="N24" i="18"/>
  <c r="O23" i="18"/>
  <c r="N23" i="18"/>
  <c r="O22" i="18"/>
  <c r="N22" i="18"/>
  <c r="O21" i="18"/>
  <c r="N21" i="18"/>
  <c r="O20" i="18"/>
  <c r="N20" i="18"/>
  <c r="O19" i="18"/>
  <c r="N19" i="18"/>
  <c r="O18" i="18"/>
  <c r="N18" i="18"/>
  <c r="O17" i="18"/>
  <c r="N17" i="18"/>
  <c r="O16" i="18"/>
  <c r="N16" i="18"/>
  <c r="O15" i="18"/>
  <c r="N15" i="18"/>
  <c r="O14" i="18"/>
  <c r="N14" i="18"/>
  <c r="O13" i="18"/>
  <c r="N13" i="18"/>
  <c r="O12" i="18"/>
  <c r="N12" i="18"/>
  <c r="O11" i="18"/>
  <c r="N11" i="18"/>
  <c r="O10" i="18"/>
  <c r="N10" i="18"/>
  <c r="O9" i="18"/>
  <c r="N9" i="18"/>
  <c r="O8" i="18"/>
  <c r="N8" i="18"/>
  <c r="O7" i="18"/>
  <c r="N7" i="18"/>
  <c r="O6" i="18"/>
  <c r="N6" i="18"/>
  <c r="O5" i="18"/>
  <c r="N5" i="18"/>
  <c r="O4" i="18"/>
  <c r="N4" i="18"/>
  <c r="O3" i="18"/>
  <c r="N3" i="18"/>
  <c r="O2" i="18"/>
  <c r="N2" i="18"/>
  <c r="J32" i="18"/>
  <c r="K32" i="18" s="1"/>
  <c r="H32" i="18"/>
  <c r="I32" i="18" s="1"/>
  <c r="J31" i="18"/>
  <c r="K31" i="18" s="1"/>
  <c r="H31" i="18"/>
  <c r="I31" i="18" s="1"/>
  <c r="J30" i="18"/>
  <c r="K30" i="18" s="1"/>
  <c r="H30" i="18"/>
  <c r="I30" i="18" s="1"/>
  <c r="J29" i="18"/>
  <c r="K29" i="18" s="1"/>
  <c r="H29" i="18"/>
  <c r="I29" i="18" s="1"/>
  <c r="J28" i="18"/>
  <c r="K28" i="18" s="1"/>
  <c r="H28" i="18"/>
  <c r="I28" i="18" s="1"/>
  <c r="J27" i="18"/>
  <c r="K27" i="18" s="1"/>
  <c r="H27" i="18"/>
  <c r="I27" i="18" s="1"/>
  <c r="J26" i="18"/>
  <c r="K26" i="18" s="1"/>
  <c r="H26" i="18"/>
  <c r="I26" i="18" s="1"/>
  <c r="J25" i="18"/>
  <c r="K25" i="18" s="1"/>
  <c r="H25" i="18"/>
  <c r="I25" i="18" s="1"/>
  <c r="J24" i="18"/>
  <c r="K24" i="18" s="1"/>
  <c r="H24" i="18"/>
  <c r="I24" i="18" s="1"/>
  <c r="J23" i="18"/>
  <c r="K23" i="18" s="1"/>
  <c r="H23" i="18"/>
  <c r="I23" i="18" s="1"/>
  <c r="J22" i="18"/>
  <c r="K22" i="18" s="1"/>
  <c r="H22" i="18"/>
  <c r="I22" i="18" s="1"/>
  <c r="J21" i="18"/>
  <c r="K21" i="18" s="1"/>
  <c r="H21" i="18"/>
  <c r="I21" i="18" s="1"/>
  <c r="J20" i="18"/>
  <c r="K20" i="18" s="1"/>
  <c r="H20" i="18"/>
  <c r="I20" i="18" s="1"/>
  <c r="J19" i="18"/>
  <c r="K19" i="18" s="1"/>
  <c r="H19" i="18"/>
  <c r="I19" i="18" s="1"/>
  <c r="J18" i="18"/>
  <c r="K18" i="18" s="1"/>
  <c r="H18" i="18"/>
  <c r="I18" i="18" s="1"/>
  <c r="J17" i="18"/>
  <c r="K17" i="18" s="1"/>
  <c r="H17" i="18"/>
  <c r="I17" i="18" s="1"/>
  <c r="J16" i="18"/>
  <c r="K16" i="18" s="1"/>
  <c r="H16" i="18"/>
  <c r="I16" i="18" s="1"/>
  <c r="J15" i="18"/>
  <c r="K15" i="18" s="1"/>
  <c r="H15" i="18"/>
  <c r="I15" i="18" s="1"/>
  <c r="J14" i="18"/>
  <c r="K14" i="18" s="1"/>
  <c r="H14" i="18"/>
  <c r="I14" i="18" s="1"/>
  <c r="J13" i="18"/>
  <c r="K13" i="18" s="1"/>
  <c r="H13" i="18"/>
  <c r="I13" i="18" s="1"/>
  <c r="J12" i="18"/>
  <c r="K12" i="18" s="1"/>
  <c r="H12" i="18"/>
  <c r="I12" i="18" s="1"/>
  <c r="J11" i="18"/>
  <c r="K11" i="18" s="1"/>
  <c r="H11" i="18"/>
  <c r="I11" i="18" s="1"/>
  <c r="J10" i="18"/>
  <c r="K10" i="18" s="1"/>
  <c r="H10" i="18"/>
  <c r="I10" i="18" s="1"/>
  <c r="J9" i="18"/>
  <c r="K9" i="18" s="1"/>
  <c r="H9" i="18"/>
  <c r="I9" i="18" s="1"/>
  <c r="J8" i="18"/>
  <c r="K8" i="18" s="1"/>
  <c r="H8" i="18"/>
  <c r="I8" i="18" s="1"/>
  <c r="J7" i="18"/>
  <c r="K7" i="18" s="1"/>
  <c r="H7" i="18"/>
  <c r="I7" i="18" s="1"/>
  <c r="J6" i="18"/>
  <c r="K6" i="18" s="1"/>
  <c r="H6" i="18"/>
  <c r="I6" i="18" s="1"/>
  <c r="J5" i="18"/>
  <c r="K5" i="18" s="1"/>
  <c r="H5" i="18"/>
  <c r="I5" i="18" s="1"/>
  <c r="J4" i="18"/>
  <c r="K4" i="18" s="1"/>
  <c r="H4" i="18"/>
  <c r="I4" i="18" s="1"/>
  <c r="J3" i="18"/>
  <c r="K3" i="18" s="1"/>
  <c r="H3" i="18"/>
  <c r="I3" i="18" s="1"/>
  <c r="J2" i="18"/>
  <c r="K2" i="18" s="1"/>
  <c r="H2" i="18"/>
  <c r="I2" i="18" s="1"/>
  <c r="O50" i="17"/>
  <c r="N50" i="17"/>
  <c r="O49" i="17"/>
  <c r="N49" i="17"/>
  <c r="O48" i="17"/>
  <c r="N48" i="17"/>
  <c r="O47" i="17"/>
  <c r="N47" i="17"/>
  <c r="O46" i="17"/>
  <c r="N46" i="17"/>
  <c r="O45" i="17"/>
  <c r="N45" i="17"/>
  <c r="O44" i="17"/>
  <c r="N44" i="17"/>
  <c r="O43" i="17"/>
  <c r="N43" i="17"/>
  <c r="O42" i="17"/>
  <c r="N42" i="17"/>
  <c r="O41" i="17"/>
  <c r="N41" i="17"/>
  <c r="O40" i="17"/>
  <c r="N40" i="17"/>
  <c r="O39" i="17"/>
  <c r="N39" i="17"/>
  <c r="O38" i="17"/>
  <c r="N38" i="17"/>
  <c r="O37" i="17"/>
  <c r="N37" i="17"/>
  <c r="O36" i="17"/>
  <c r="N36" i="17"/>
  <c r="O35" i="17"/>
  <c r="N35" i="17"/>
  <c r="O34" i="17"/>
  <c r="N34" i="17"/>
  <c r="O33" i="17"/>
  <c r="N33" i="17"/>
  <c r="O32" i="17"/>
  <c r="N32" i="17"/>
  <c r="O31" i="17"/>
  <c r="N31" i="17"/>
  <c r="O30" i="17"/>
  <c r="N30" i="17"/>
  <c r="O29" i="17"/>
  <c r="N29" i="17"/>
  <c r="O28" i="17"/>
  <c r="N28" i="17"/>
  <c r="O27" i="17"/>
  <c r="N27" i="17"/>
  <c r="O26" i="17"/>
  <c r="N26" i="17"/>
  <c r="O25" i="17"/>
  <c r="N25" i="17"/>
  <c r="O24" i="17"/>
  <c r="N24" i="17"/>
  <c r="O23" i="17"/>
  <c r="N23" i="17"/>
  <c r="O22" i="17"/>
  <c r="N22" i="17"/>
  <c r="O21" i="17"/>
  <c r="N21" i="17"/>
  <c r="O20" i="17"/>
  <c r="N20" i="17"/>
  <c r="O19" i="17"/>
  <c r="N19" i="17"/>
  <c r="O18" i="17"/>
  <c r="N18" i="17"/>
  <c r="O17" i="17"/>
  <c r="N17" i="17"/>
  <c r="O16" i="17"/>
  <c r="N16" i="17"/>
  <c r="O15" i="17"/>
  <c r="N15" i="17"/>
  <c r="O14" i="17"/>
  <c r="N14" i="17"/>
  <c r="O13" i="17"/>
  <c r="N13" i="17"/>
  <c r="O12" i="17"/>
  <c r="N12" i="17"/>
  <c r="O11" i="17"/>
  <c r="N11" i="17"/>
  <c r="O10" i="17"/>
  <c r="N10" i="17"/>
  <c r="O9" i="17"/>
  <c r="N9" i="17"/>
  <c r="O8" i="17"/>
  <c r="N8" i="17"/>
  <c r="O7" i="17"/>
  <c r="N7" i="17"/>
  <c r="O6" i="17"/>
  <c r="N6" i="17"/>
  <c r="O5" i="17"/>
  <c r="N5" i="17"/>
  <c r="O4" i="17"/>
  <c r="N4" i="17"/>
  <c r="O3" i="17"/>
  <c r="N3" i="17"/>
  <c r="O2" i="17"/>
  <c r="N2" i="17"/>
  <c r="J32" i="17"/>
  <c r="K32" i="17" s="1"/>
  <c r="H32" i="17"/>
  <c r="I32" i="17" s="1"/>
  <c r="J31" i="17"/>
  <c r="K31" i="17" s="1"/>
  <c r="H31" i="17"/>
  <c r="I31" i="17" s="1"/>
  <c r="J30" i="17"/>
  <c r="K30" i="17" s="1"/>
  <c r="H30" i="17"/>
  <c r="I30" i="17" s="1"/>
  <c r="J29" i="17"/>
  <c r="K29" i="17" s="1"/>
  <c r="H29" i="17"/>
  <c r="I29" i="17" s="1"/>
  <c r="J28" i="17"/>
  <c r="K28" i="17" s="1"/>
  <c r="H28" i="17"/>
  <c r="I28" i="17" s="1"/>
  <c r="J27" i="17"/>
  <c r="K27" i="17" s="1"/>
  <c r="H27" i="17"/>
  <c r="I27" i="17" s="1"/>
  <c r="J26" i="17"/>
  <c r="K26" i="17" s="1"/>
  <c r="H26" i="17"/>
  <c r="I26" i="17" s="1"/>
  <c r="J25" i="17"/>
  <c r="K25" i="17" s="1"/>
  <c r="H25" i="17"/>
  <c r="I25" i="17" s="1"/>
  <c r="J24" i="17"/>
  <c r="K24" i="17" s="1"/>
  <c r="H24" i="17"/>
  <c r="I24" i="17" s="1"/>
  <c r="J23" i="17"/>
  <c r="K23" i="17" s="1"/>
  <c r="H23" i="17"/>
  <c r="I23" i="17" s="1"/>
  <c r="J22" i="17"/>
  <c r="K22" i="17" s="1"/>
  <c r="H22" i="17"/>
  <c r="I22" i="17" s="1"/>
  <c r="J21" i="17"/>
  <c r="K21" i="17" s="1"/>
  <c r="H21" i="17"/>
  <c r="I21" i="17" s="1"/>
  <c r="J20" i="17"/>
  <c r="K20" i="17" s="1"/>
  <c r="H20" i="17"/>
  <c r="I20" i="17" s="1"/>
  <c r="J19" i="17"/>
  <c r="K19" i="17" s="1"/>
  <c r="H19" i="17"/>
  <c r="I19" i="17" s="1"/>
  <c r="J18" i="17"/>
  <c r="K18" i="17" s="1"/>
  <c r="H18" i="17"/>
  <c r="I18" i="17" s="1"/>
  <c r="J17" i="17"/>
  <c r="K17" i="17" s="1"/>
  <c r="H17" i="17"/>
  <c r="I17" i="17" s="1"/>
  <c r="J16" i="17"/>
  <c r="K16" i="17" s="1"/>
  <c r="H16" i="17"/>
  <c r="I16" i="17" s="1"/>
  <c r="J15" i="17"/>
  <c r="K15" i="17" s="1"/>
  <c r="H15" i="17"/>
  <c r="I15" i="17" s="1"/>
  <c r="J14" i="17"/>
  <c r="K14" i="17" s="1"/>
  <c r="H14" i="17"/>
  <c r="I14" i="17" s="1"/>
  <c r="J13" i="17"/>
  <c r="K13" i="17" s="1"/>
  <c r="H13" i="17"/>
  <c r="I13" i="17" s="1"/>
  <c r="J12" i="17"/>
  <c r="K12" i="17" s="1"/>
  <c r="H12" i="17"/>
  <c r="I12" i="17" s="1"/>
  <c r="J11" i="17"/>
  <c r="K11" i="17" s="1"/>
  <c r="H11" i="17"/>
  <c r="I11" i="17" s="1"/>
  <c r="J10" i="17"/>
  <c r="K10" i="17" s="1"/>
  <c r="H10" i="17"/>
  <c r="I10" i="17" s="1"/>
  <c r="J9" i="17"/>
  <c r="K9" i="17" s="1"/>
  <c r="H9" i="17"/>
  <c r="I9" i="17" s="1"/>
  <c r="J8" i="17"/>
  <c r="K8" i="17" s="1"/>
  <c r="H8" i="17"/>
  <c r="I8" i="17" s="1"/>
  <c r="J7" i="17"/>
  <c r="K7" i="17" s="1"/>
  <c r="H7" i="17"/>
  <c r="I7" i="17" s="1"/>
  <c r="J6" i="17"/>
  <c r="K6" i="17" s="1"/>
  <c r="H6" i="17"/>
  <c r="I6" i="17" s="1"/>
  <c r="J5" i="17"/>
  <c r="K5" i="17" s="1"/>
  <c r="H5" i="17"/>
  <c r="I5" i="17" s="1"/>
  <c r="J4" i="17"/>
  <c r="K4" i="17" s="1"/>
  <c r="H4" i="17"/>
  <c r="I4" i="17" s="1"/>
  <c r="J3" i="17"/>
  <c r="K3" i="17" s="1"/>
  <c r="H3" i="17"/>
  <c r="I3" i="17" s="1"/>
  <c r="J2" i="17"/>
  <c r="K2" i="17" s="1"/>
  <c r="H2" i="17"/>
  <c r="I2" i="17" s="1"/>
  <c r="O50" i="16"/>
  <c r="N50" i="16"/>
  <c r="O49" i="16"/>
  <c r="N49" i="16"/>
  <c r="O48" i="16"/>
  <c r="N48" i="16"/>
  <c r="O47" i="16"/>
  <c r="N47" i="16"/>
  <c r="O46" i="16"/>
  <c r="N46" i="16"/>
  <c r="O45" i="16"/>
  <c r="N45" i="16"/>
  <c r="O44" i="16"/>
  <c r="N44" i="16"/>
  <c r="O43" i="16"/>
  <c r="N43" i="16"/>
  <c r="O42" i="16"/>
  <c r="N42" i="16"/>
  <c r="O41" i="16"/>
  <c r="N41" i="16"/>
  <c r="O40" i="16"/>
  <c r="N40" i="16"/>
  <c r="O39" i="16"/>
  <c r="N39" i="16"/>
  <c r="O38" i="16"/>
  <c r="N38" i="16"/>
  <c r="O37" i="16"/>
  <c r="N37" i="16"/>
  <c r="O36" i="16"/>
  <c r="N36" i="16"/>
  <c r="O35" i="16"/>
  <c r="N35" i="16"/>
  <c r="O34" i="16"/>
  <c r="N34" i="16"/>
  <c r="O33" i="16"/>
  <c r="N33" i="16"/>
  <c r="O32" i="16"/>
  <c r="N32" i="16"/>
  <c r="O31" i="16"/>
  <c r="N31" i="16"/>
  <c r="O30" i="16"/>
  <c r="N30" i="16"/>
  <c r="O29" i="16"/>
  <c r="N29" i="16"/>
  <c r="O28" i="16"/>
  <c r="N28" i="16"/>
  <c r="O27" i="16"/>
  <c r="N27" i="16"/>
  <c r="O26" i="16"/>
  <c r="N26" i="16"/>
  <c r="O25" i="16"/>
  <c r="N25" i="16"/>
  <c r="O24" i="16"/>
  <c r="N24" i="16"/>
  <c r="O23" i="16"/>
  <c r="N23" i="16"/>
  <c r="O22" i="16"/>
  <c r="N22" i="16"/>
  <c r="O21" i="16"/>
  <c r="N21" i="16"/>
  <c r="O20" i="16"/>
  <c r="N20" i="16"/>
  <c r="O19" i="16"/>
  <c r="N19" i="16"/>
  <c r="O18" i="16"/>
  <c r="N18" i="16"/>
  <c r="O17" i="16"/>
  <c r="N17" i="16"/>
  <c r="O16" i="16"/>
  <c r="N16" i="16"/>
  <c r="O15" i="16"/>
  <c r="N15" i="16"/>
  <c r="O14" i="16"/>
  <c r="N14" i="16"/>
  <c r="O13" i="16"/>
  <c r="N13" i="16"/>
  <c r="O12" i="16"/>
  <c r="N12" i="16"/>
  <c r="O11" i="16"/>
  <c r="N11" i="16"/>
  <c r="O10" i="16"/>
  <c r="N10" i="16"/>
  <c r="O9" i="16"/>
  <c r="N9" i="16"/>
  <c r="O8" i="16"/>
  <c r="N8" i="16"/>
  <c r="O7" i="16"/>
  <c r="N7" i="16"/>
  <c r="O6" i="16"/>
  <c r="N6" i="16"/>
  <c r="O5" i="16"/>
  <c r="N5" i="16"/>
  <c r="O4" i="16"/>
  <c r="N4" i="16"/>
  <c r="O3" i="16"/>
  <c r="N3" i="16"/>
  <c r="O2" i="16"/>
  <c r="N2" i="16"/>
  <c r="J32" i="16"/>
  <c r="K32" i="16" s="1"/>
  <c r="H32" i="16"/>
  <c r="I32" i="16" s="1"/>
  <c r="J31" i="16"/>
  <c r="K31" i="16" s="1"/>
  <c r="H31" i="16"/>
  <c r="I31" i="16" s="1"/>
  <c r="J30" i="16"/>
  <c r="K30" i="16" s="1"/>
  <c r="H30" i="16"/>
  <c r="I30" i="16" s="1"/>
  <c r="J29" i="16"/>
  <c r="K29" i="16" s="1"/>
  <c r="H29" i="16"/>
  <c r="I29" i="16" s="1"/>
  <c r="J28" i="16"/>
  <c r="K28" i="16" s="1"/>
  <c r="H28" i="16"/>
  <c r="I28" i="16" s="1"/>
  <c r="J27" i="16"/>
  <c r="K27" i="16" s="1"/>
  <c r="H27" i="16"/>
  <c r="I27" i="16" s="1"/>
  <c r="J26" i="16"/>
  <c r="K26" i="16" s="1"/>
  <c r="H26" i="16"/>
  <c r="I26" i="16" s="1"/>
  <c r="J25" i="16"/>
  <c r="K25" i="16" s="1"/>
  <c r="H25" i="16"/>
  <c r="I25" i="16" s="1"/>
  <c r="J24" i="16"/>
  <c r="K24" i="16" s="1"/>
  <c r="H24" i="16"/>
  <c r="I24" i="16" s="1"/>
  <c r="J23" i="16"/>
  <c r="K23" i="16" s="1"/>
  <c r="H23" i="16"/>
  <c r="I23" i="16" s="1"/>
  <c r="J22" i="16"/>
  <c r="K22" i="16" s="1"/>
  <c r="H22" i="16"/>
  <c r="I22" i="16" s="1"/>
  <c r="J21" i="16"/>
  <c r="K21" i="16" s="1"/>
  <c r="H21" i="16"/>
  <c r="I21" i="16" s="1"/>
  <c r="J20" i="16"/>
  <c r="K20" i="16" s="1"/>
  <c r="H20" i="16"/>
  <c r="I20" i="16" s="1"/>
  <c r="J19" i="16"/>
  <c r="K19" i="16" s="1"/>
  <c r="H19" i="16"/>
  <c r="I19" i="16" s="1"/>
  <c r="J18" i="16"/>
  <c r="K18" i="16" s="1"/>
  <c r="H18" i="16"/>
  <c r="I18" i="16" s="1"/>
  <c r="J17" i="16"/>
  <c r="K17" i="16" s="1"/>
  <c r="H17" i="16"/>
  <c r="I17" i="16" s="1"/>
  <c r="J16" i="16"/>
  <c r="K16" i="16" s="1"/>
  <c r="H16" i="16"/>
  <c r="I16" i="16" s="1"/>
  <c r="J15" i="16"/>
  <c r="K15" i="16" s="1"/>
  <c r="H15" i="16"/>
  <c r="I15" i="16" s="1"/>
  <c r="J14" i="16"/>
  <c r="K14" i="16" s="1"/>
  <c r="H14" i="16"/>
  <c r="I14" i="16" s="1"/>
  <c r="J13" i="16"/>
  <c r="K13" i="16" s="1"/>
  <c r="H13" i="16"/>
  <c r="I13" i="16" s="1"/>
  <c r="J12" i="16"/>
  <c r="K12" i="16" s="1"/>
  <c r="H12" i="16"/>
  <c r="I12" i="16" s="1"/>
  <c r="J11" i="16"/>
  <c r="K11" i="16" s="1"/>
  <c r="H11" i="16"/>
  <c r="I11" i="16" s="1"/>
  <c r="J10" i="16"/>
  <c r="K10" i="16" s="1"/>
  <c r="H10" i="16"/>
  <c r="I10" i="16" s="1"/>
  <c r="J9" i="16"/>
  <c r="K9" i="16" s="1"/>
  <c r="H9" i="16"/>
  <c r="I9" i="16" s="1"/>
  <c r="J8" i="16"/>
  <c r="K8" i="16" s="1"/>
  <c r="H8" i="16"/>
  <c r="I8" i="16" s="1"/>
  <c r="J7" i="16"/>
  <c r="K7" i="16" s="1"/>
  <c r="H7" i="16"/>
  <c r="I7" i="16" s="1"/>
  <c r="J6" i="16"/>
  <c r="K6" i="16" s="1"/>
  <c r="H6" i="16"/>
  <c r="I6" i="16" s="1"/>
  <c r="J5" i="16"/>
  <c r="K5" i="16" s="1"/>
  <c r="H5" i="16"/>
  <c r="I5" i="16" s="1"/>
  <c r="J4" i="16"/>
  <c r="K4" i="16" s="1"/>
  <c r="H4" i="16"/>
  <c r="I4" i="16" s="1"/>
  <c r="J3" i="16"/>
  <c r="K3" i="16" s="1"/>
  <c r="H3" i="16"/>
  <c r="I3" i="16" s="1"/>
  <c r="J2" i="16"/>
  <c r="K2" i="16" s="1"/>
  <c r="H2" i="16"/>
  <c r="I2" i="16" s="1"/>
  <c r="O50" i="15"/>
  <c r="N50" i="15"/>
  <c r="O49" i="15"/>
  <c r="N49" i="15"/>
  <c r="O48" i="15"/>
  <c r="N48" i="15"/>
  <c r="O47" i="15"/>
  <c r="N47" i="15"/>
  <c r="O46" i="15"/>
  <c r="N46" i="15"/>
  <c r="O45" i="15"/>
  <c r="N45" i="15"/>
  <c r="O44" i="15"/>
  <c r="N44" i="15"/>
  <c r="O43" i="15"/>
  <c r="N43" i="15"/>
  <c r="O42" i="15"/>
  <c r="N42" i="15"/>
  <c r="O41" i="15"/>
  <c r="N41" i="15"/>
  <c r="O40" i="15"/>
  <c r="N40" i="15"/>
  <c r="O39" i="15"/>
  <c r="N39" i="15"/>
  <c r="O38" i="15"/>
  <c r="N38" i="15"/>
  <c r="O37" i="15"/>
  <c r="N37" i="15"/>
  <c r="O36" i="15"/>
  <c r="N36" i="15"/>
  <c r="O35" i="15"/>
  <c r="N35" i="15"/>
  <c r="O34" i="15"/>
  <c r="N34" i="15"/>
  <c r="O33" i="15"/>
  <c r="N33" i="15"/>
  <c r="O32" i="15"/>
  <c r="N32" i="15"/>
  <c r="O31" i="15"/>
  <c r="N31" i="15"/>
  <c r="O30" i="15"/>
  <c r="N30" i="15"/>
  <c r="O29" i="15"/>
  <c r="N29" i="15"/>
  <c r="O28" i="15"/>
  <c r="N28" i="15"/>
  <c r="O27" i="15"/>
  <c r="N27" i="15"/>
  <c r="O26" i="15"/>
  <c r="N26" i="15"/>
  <c r="O25" i="15"/>
  <c r="N25" i="15"/>
  <c r="O24" i="15"/>
  <c r="N24" i="15"/>
  <c r="O23" i="15"/>
  <c r="N23" i="15"/>
  <c r="O22" i="15"/>
  <c r="N22" i="15"/>
  <c r="O21" i="15"/>
  <c r="N21" i="15"/>
  <c r="O20" i="15"/>
  <c r="N20" i="15"/>
  <c r="O19" i="15"/>
  <c r="N19" i="15"/>
  <c r="O18" i="15"/>
  <c r="N18" i="15"/>
  <c r="O17" i="15"/>
  <c r="N17" i="15"/>
  <c r="O16" i="15"/>
  <c r="N16" i="15"/>
  <c r="O15" i="15"/>
  <c r="N15" i="15"/>
  <c r="O14" i="15"/>
  <c r="N14" i="15"/>
  <c r="O13" i="15"/>
  <c r="N13" i="15"/>
  <c r="O12" i="15"/>
  <c r="N12" i="15"/>
  <c r="O11" i="15"/>
  <c r="N11" i="15"/>
  <c r="O10" i="15"/>
  <c r="N10" i="15"/>
  <c r="O9" i="15"/>
  <c r="N9" i="15"/>
  <c r="O8" i="15"/>
  <c r="N8" i="15"/>
  <c r="O7" i="15"/>
  <c r="N7" i="15"/>
  <c r="O6" i="15"/>
  <c r="N6" i="15"/>
  <c r="O5" i="15"/>
  <c r="N5" i="15"/>
  <c r="O4" i="15"/>
  <c r="N4" i="15"/>
  <c r="O3" i="15"/>
  <c r="N3" i="15"/>
  <c r="O2" i="15"/>
  <c r="N2" i="15"/>
  <c r="J32" i="15"/>
  <c r="K32" i="15" s="1"/>
  <c r="H32" i="15"/>
  <c r="I32" i="15" s="1"/>
  <c r="J31" i="15"/>
  <c r="K31" i="15" s="1"/>
  <c r="H31" i="15"/>
  <c r="I31" i="15" s="1"/>
  <c r="J30" i="15"/>
  <c r="K30" i="15" s="1"/>
  <c r="H30" i="15"/>
  <c r="I30" i="15" s="1"/>
  <c r="J29" i="15"/>
  <c r="K29" i="15" s="1"/>
  <c r="H29" i="15"/>
  <c r="I29" i="15" s="1"/>
  <c r="J28" i="15"/>
  <c r="K28" i="15" s="1"/>
  <c r="H28" i="15"/>
  <c r="I28" i="15" s="1"/>
  <c r="J27" i="15"/>
  <c r="K27" i="15" s="1"/>
  <c r="H27" i="15"/>
  <c r="I27" i="15" s="1"/>
  <c r="J26" i="15"/>
  <c r="K26" i="15" s="1"/>
  <c r="H26" i="15"/>
  <c r="I26" i="15" s="1"/>
  <c r="J25" i="15"/>
  <c r="K25" i="15" s="1"/>
  <c r="H25" i="15"/>
  <c r="I25" i="15" s="1"/>
  <c r="J24" i="15"/>
  <c r="K24" i="15" s="1"/>
  <c r="H24" i="15"/>
  <c r="I24" i="15" s="1"/>
  <c r="J23" i="15"/>
  <c r="K23" i="15" s="1"/>
  <c r="H23" i="15"/>
  <c r="I23" i="15" s="1"/>
  <c r="J22" i="15"/>
  <c r="K22" i="15" s="1"/>
  <c r="H22" i="15"/>
  <c r="I22" i="15" s="1"/>
  <c r="J21" i="15"/>
  <c r="K21" i="15" s="1"/>
  <c r="H21" i="15"/>
  <c r="I21" i="15" s="1"/>
  <c r="J20" i="15"/>
  <c r="K20" i="15" s="1"/>
  <c r="H20" i="15"/>
  <c r="I20" i="15" s="1"/>
  <c r="J19" i="15"/>
  <c r="K19" i="15" s="1"/>
  <c r="H19" i="15"/>
  <c r="I19" i="15" s="1"/>
  <c r="J18" i="15"/>
  <c r="K18" i="15" s="1"/>
  <c r="H18" i="15"/>
  <c r="I18" i="15" s="1"/>
  <c r="J17" i="15"/>
  <c r="K17" i="15" s="1"/>
  <c r="H17" i="15"/>
  <c r="I17" i="15" s="1"/>
  <c r="J16" i="15"/>
  <c r="K16" i="15" s="1"/>
  <c r="H16" i="15"/>
  <c r="I16" i="15" s="1"/>
  <c r="J15" i="15"/>
  <c r="K15" i="15" s="1"/>
  <c r="H15" i="15"/>
  <c r="I15" i="15" s="1"/>
  <c r="J14" i="15"/>
  <c r="K14" i="15" s="1"/>
  <c r="H14" i="15"/>
  <c r="I14" i="15" s="1"/>
  <c r="J13" i="15"/>
  <c r="K13" i="15" s="1"/>
  <c r="H13" i="15"/>
  <c r="I13" i="15" s="1"/>
  <c r="J12" i="15"/>
  <c r="K12" i="15" s="1"/>
  <c r="H12" i="15"/>
  <c r="I12" i="15" s="1"/>
  <c r="J11" i="15"/>
  <c r="K11" i="15" s="1"/>
  <c r="H11" i="15"/>
  <c r="I11" i="15" s="1"/>
  <c r="J10" i="15"/>
  <c r="K10" i="15" s="1"/>
  <c r="H10" i="15"/>
  <c r="I10" i="15" s="1"/>
  <c r="J9" i="15"/>
  <c r="K9" i="15" s="1"/>
  <c r="H9" i="15"/>
  <c r="I9" i="15" s="1"/>
  <c r="J8" i="15"/>
  <c r="K8" i="15" s="1"/>
  <c r="H8" i="15"/>
  <c r="I8" i="15" s="1"/>
  <c r="J7" i="15"/>
  <c r="K7" i="15" s="1"/>
  <c r="H7" i="15"/>
  <c r="I7" i="15" s="1"/>
  <c r="J6" i="15"/>
  <c r="K6" i="15" s="1"/>
  <c r="H6" i="15"/>
  <c r="I6" i="15" s="1"/>
  <c r="J5" i="15"/>
  <c r="K5" i="15" s="1"/>
  <c r="H5" i="15"/>
  <c r="I5" i="15" s="1"/>
  <c r="J4" i="15"/>
  <c r="K4" i="15" s="1"/>
  <c r="H4" i="15"/>
  <c r="I4" i="15" s="1"/>
  <c r="J3" i="15"/>
  <c r="K3" i="15" s="1"/>
  <c r="H3" i="15"/>
  <c r="I3" i="15" s="1"/>
  <c r="J2" i="15"/>
  <c r="K2" i="15" s="1"/>
  <c r="H2" i="15"/>
  <c r="I2" i="15" s="1"/>
  <c r="O50" i="14"/>
  <c r="N50" i="14"/>
  <c r="O49" i="14"/>
  <c r="N49" i="14"/>
  <c r="O48" i="14"/>
  <c r="N48" i="14"/>
  <c r="O47" i="14"/>
  <c r="N47" i="14"/>
  <c r="O46" i="14"/>
  <c r="N46" i="14"/>
  <c r="O45" i="14"/>
  <c r="N45" i="14"/>
  <c r="O44" i="14"/>
  <c r="N44" i="14"/>
  <c r="O43" i="14"/>
  <c r="N43" i="14"/>
  <c r="O42" i="14"/>
  <c r="N42" i="14"/>
  <c r="O41" i="14"/>
  <c r="N41" i="14"/>
  <c r="O40" i="14"/>
  <c r="N40" i="14"/>
  <c r="O39" i="14"/>
  <c r="N39" i="14"/>
  <c r="O38" i="14"/>
  <c r="N38" i="14"/>
  <c r="O37" i="14"/>
  <c r="N37" i="14"/>
  <c r="O36" i="14"/>
  <c r="N36" i="14"/>
  <c r="O35" i="14"/>
  <c r="N35" i="14"/>
  <c r="O34" i="14"/>
  <c r="N34" i="14"/>
  <c r="O33" i="14"/>
  <c r="N33" i="14"/>
  <c r="O32" i="14"/>
  <c r="N32" i="14"/>
  <c r="O31" i="14"/>
  <c r="N31" i="14"/>
  <c r="O30" i="14"/>
  <c r="N30" i="14"/>
  <c r="O29" i="14"/>
  <c r="N29" i="14"/>
  <c r="O28" i="14"/>
  <c r="N28" i="14"/>
  <c r="O27" i="14"/>
  <c r="N27" i="14"/>
  <c r="O26" i="14"/>
  <c r="N26" i="14"/>
  <c r="O25" i="14"/>
  <c r="N25" i="14"/>
  <c r="O24" i="14"/>
  <c r="N24" i="14"/>
  <c r="O23" i="14"/>
  <c r="N23" i="14"/>
  <c r="O22" i="14"/>
  <c r="N22" i="14"/>
  <c r="O21" i="14"/>
  <c r="N21" i="14"/>
  <c r="O20" i="14"/>
  <c r="N20" i="14"/>
  <c r="O19" i="14"/>
  <c r="N19" i="14"/>
  <c r="O18" i="14"/>
  <c r="N18" i="14"/>
  <c r="O17" i="14"/>
  <c r="N17" i="14"/>
  <c r="O16" i="14"/>
  <c r="N16" i="14"/>
  <c r="O15" i="14"/>
  <c r="N15" i="14"/>
  <c r="O14" i="14"/>
  <c r="N14" i="14"/>
  <c r="O13" i="14"/>
  <c r="N13" i="14"/>
  <c r="O12" i="14"/>
  <c r="N12" i="14"/>
  <c r="O11" i="14"/>
  <c r="N11" i="14"/>
  <c r="O10" i="14"/>
  <c r="N10" i="14"/>
  <c r="O9" i="14"/>
  <c r="N9" i="14"/>
  <c r="O8" i="14"/>
  <c r="N8" i="14"/>
  <c r="O7" i="14"/>
  <c r="N7" i="14"/>
  <c r="O6" i="14"/>
  <c r="N6" i="14"/>
  <c r="O5" i="14"/>
  <c r="N5" i="14"/>
  <c r="O4" i="14"/>
  <c r="N4" i="14"/>
  <c r="O3" i="14"/>
  <c r="N3" i="14"/>
  <c r="O2" i="14"/>
  <c r="N2" i="14"/>
  <c r="J32" i="14"/>
  <c r="K32" i="14" s="1"/>
  <c r="H32" i="14"/>
  <c r="I32" i="14" s="1"/>
  <c r="J31" i="14"/>
  <c r="K31" i="14" s="1"/>
  <c r="H31" i="14"/>
  <c r="I31" i="14" s="1"/>
  <c r="J30" i="14"/>
  <c r="K30" i="14" s="1"/>
  <c r="H30" i="14"/>
  <c r="I30" i="14" s="1"/>
  <c r="J29" i="14"/>
  <c r="K29" i="14" s="1"/>
  <c r="H29" i="14"/>
  <c r="I29" i="14" s="1"/>
  <c r="J28" i="14"/>
  <c r="K28" i="14" s="1"/>
  <c r="H28" i="14"/>
  <c r="I28" i="14" s="1"/>
  <c r="J27" i="14"/>
  <c r="K27" i="14" s="1"/>
  <c r="H27" i="14"/>
  <c r="I27" i="14" s="1"/>
  <c r="J26" i="14"/>
  <c r="K26" i="14" s="1"/>
  <c r="H26" i="14"/>
  <c r="I26" i="14" s="1"/>
  <c r="J25" i="14"/>
  <c r="K25" i="14" s="1"/>
  <c r="H25" i="14"/>
  <c r="I25" i="14" s="1"/>
  <c r="J24" i="14"/>
  <c r="K24" i="14" s="1"/>
  <c r="H24" i="14"/>
  <c r="I24" i="14" s="1"/>
  <c r="J23" i="14"/>
  <c r="K23" i="14" s="1"/>
  <c r="H23" i="14"/>
  <c r="I23" i="14" s="1"/>
  <c r="J22" i="14"/>
  <c r="K22" i="14" s="1"/>
  <c r="H22" i="14"/>
  <c r="I22" i="14" s="1"/>
  <c r="J21" i="14"/>
  <c r="K21" i="14" s="1"/>
  <c r="H21" i="14"/>
  <c r="I21" i="14" s="1"/>
  <c r="J20" i="14"/>
  <c r="K20" i="14" s="1"/>
  <c r="H20" i="14"/>
  <c r="I20" i="14" s="1"/>
  <c r="J19" i="14"/>
  <c r="K19" i="14" s="1"/>
  <c r="H19" i="14"/>
  <c r="I19" i="14" s="1"/>
  <c r="J18" i="14"/>
  <c r="K18" i="14" s="1"/>
  <c r="H18" i="14"/>
  <c r="I18" i="14" s="1"/>
  <c r="J17" i="14"/>
  <c r="K17" i="14" s="1"/>
  <c r="H17" i="14"/>
  <c r="I17" i="14" s="1"/>
  <c r="J16" i="14"/>
  <c r="K16" i="14" s="1"/>
  <c r="H16" i="14"/>
  <c r="I16" i="14" s="1"/>
  <c r="J15" i="14"/>
  <c r="K15" i="14" s="1"/>
  <c r="H15" i="14"/>
  <c r="I15" i="14" s="1"/>
  <c r="J14" i="14"/>
  <c r="K14" i="14" s="1"/>
  <c r="H14" i="14"/>
  <c r="I14" i="14" s="1"/>
  <c r="J13" i="14"/>
  <c r="K13" i="14" s="1"/>
  <c r="H13" i="14"/>
  <c r="I13" i="14" s="1"/>
  <c r="J12" i="14"/>
  <c r="K12" i="14" s="1"/>
  <c r="H12" i="14"/>
  <c r="I12" i="14" s="1"/>
  <c r="J11" i="14"/>
  <c r="K11" i="14" s="1"/>
  <c r="H11" i="14"/>
  <c r="I11" i="14" s="1"/>
  <c r="J10" i="14"/>
  <c r="K10" i="14" s="1"/>
  <c r="H10" i="14"/>
  <c r="I10" i="14" s="1"/>
  <c r="J9" i="14"/>
  <c r="K9" i="14" s="1"/>
  <c r="H9" i="14"/>
  <c r="I9" i="14" s="1"/>
  <c r="J8" i="14"/>
  <c r="K8" i="14" s="1"/>
  <c r="H8" i="14"/>
  <c r="I8" i="14" s="1"/>
  <c r="J7" i="14"/>
  <c r="K7" i="14" s="1"/>
  <c r="H7" i="14"/>
  <c r="I7" i="14" s="1"/>
  <c r="J6" i="14"/>
  <c r="K6" i="14" s="1"/>
  <c r="H6" i="14"/>
  <c r="I6" i="14" s="1"/>
  <c r="J5" i="14"/>
  <c r="K5" i="14" s="1"/>
  <c r="H5" i="14"/>
  <c r="I5" i="14" s="1"/>
  <c r="J4" i="14"/>
  <c r="K4" i="14" s="1"/>
  <c r="H4" i="14"/>
  <c r="I4" i="14" s="1"/>
  <c r="J3" i="14"/>
  <c r="K3" i="14" s="1"/>
  <c r="H3" i="14"/>
  <c r="I3" i="14" s="1"/>
  <c r="J2" i="14"/>
  <c r="K2" i="14" s="1"/>
  <c r="H2" i="14"/>
  <c r="I2" i="14" s="1"/>
  <c r="O50" i="13"/>
  <c r="N50" i="13"/>
  <c r="O49" i="13"/>
  <c r="N49" i="13"/>
  <c r="O48" i="13"/>
  <c r="N48" i="13"/>
  <c r="O47" i="13"/>
  <c r="N47" i="13"/>
  <c r="O46" i="13"/>
  <c r="N46" i="13"/>
  <c r="O45" i="13"/>
  <c r="N45" i="13"/>
  <c r="O44" i="13"/>
  <c r="N44" i="13"/>
  <c r="O43" i="13"/>
  <c r="N43" i="13"/>
  <c r="O42" i="13"/>
  <c r="N42" i="13"/>
  <c r="O41" i="13"/>
  <c r="N41" i="13"/>
  <c r="O40" i="13"/>
  <c r="N40" i="13"/>
  <c r="O39" i="13"/>
  <c r="N39" i="13"/>
  <c r="O38" i="13"/>
  <c r="N38" i="13"/>
  <c r="O37" i="13"/>
  <c r="N37" i="13"/>
  <c r="O36" i="13"/>
  <c r="N36" i="13"/>
  <c r="O35" i="13"/>
  <c r="N35" i="13"/>
  <c r="O34" i="13"/>
  <c r="N34" i="13"/>
  <c r="O33" i="13"/>
  <c r="N33" i="13"/>
  <c r="O32" i="13"/>
  <c r="N32" i="13"/>
  <c r="O31" i="13"/>
  <c r="N31" i="13"/>
  <c r="O30" i="13"/>
  <c r="N30" i="13"/>
  <c r="O29" i="13"/>
  <c r="N29" i="13"/>
  <c r="O28" i="13"/>
  <c r="N28" i="13"/>
  <c r="O27" i="13"/>
  <c r="N27" i="13"/>
  <c r="O26" i="13"/>
  <c r="N26" i="13"/>
  <c r="O25" i="13"/>
  <c r="N25" i="13"/>
  <c r="O24" i="13"/>
  <c r="N24" i="13"/>
  <c r="O23" i="13"/>
  <c r="N23" i="13"/>
  <c r="O22" i="13"/>
  <c r="N22" i="13"/>
  <c r="O21" i="13"/>
  <c r="N21" i="13"/>
  <c r="O20" i="13"/>
  <c r="N20" i="13"/>
  <c r="O19" i="13"/>
  <c r="N19" i="13"/>
  <c r="O18" i="13"/>
  <c r="N18" i="13"/>
  <c r="O17" i="13"/>
  <c r="N17" i="13"/>
  <c r="O16" i="13"/>
  <c r="N16" i="13"/>
  <c r="O15" i="13"/>
  <c r="N15" i="13"/>
  <c r="O14" i="13"/>
  <c r="N14" i="13"/>
  <c r="O13" i="13"/>
  <c r="N13" i="13"/>
  <c r="O12" i="13"/>
  <c r="N12" i="13"/>
  <c r="O11" i="13"/>
  <c r="N11" i="13"/>
  <c r="O10" i="13"/>
  <c r="N10" i="13"/>
  <c r="O9" i="13"/>
  <c r="N9" i="13"/>
  <c r="O8" i="13"/>
  <c r="N8" i="13"/>
  <c r="O7" i="13"/>
  <c r="N7" i="13"/>
  <c r="O6" i="13"/>
  <c r="N6" i="13"/>
  <c r="O5" i="13"/>
  <c r="N5" i="13"/>
  <c r="O4" i="13"/>
  <c r="N4" i="13"/>
  <c r="O3" i="13"/>
  <c r="N3" i="13"/>
  <c r="O2" i="13"/>
  <c r="N2" i="13"/>
  <c r="J32" i="13"/>
  <c r="K32" i="13" s="1"/>
  <c r="H32" i="13"/>
  <c r="I32" i="13" s="1"/>
  <c r="J31" i="13"/>
  <c r="K31" i="13" s="1"/>
  <c r="H31" i="13"/>
  <c r="I31" i="13" s="1"/>
  <c r="J30" i="13"/>
  <c r="K30" i="13" s="1"/>
  <c r="H30" i="13"/>
  <c r="I30" i="13" s="1"/>
  <c r="J29" i="13"/>
  <c r="K29" i="13" s="1"/>
  <c r="H29" i="13"/>
  <c r="I29" i="13" s="1"/>
  <c r="J28" i="13"/>
  <c r="K28" i="13" s="1"/>
  <c r="H28" i="13"/>
  <c r="I28" i="13" s="1"/>
  <c r="J27" i="13"/>
  <c r="K27" i="13" s="1"/>
  <c r="H27" i="13"/>
  <c r="I27" i="13" s="1"/>
  <c r="J26" i="13"/>
  <c r="K26" i="13" s="1"/>
  <c r="H26" i="13"/>
  <c r="I26" i="13" s="1"/>
  <c r="J25" i="13"/>
  <c r="K25" i="13" s="1"/>
  <c r="H25" i="13"/>
  <c r="I25" i="13" s="1"/>
  <c r="J24" i="13"/>
  <c r="K24" i="13" s="1"/>
  <c r="H24" i="13"/>
  <c r="I24" i="13" s="1"/>
  <c r="J23" i="13"/>
  <c r="K23" i="13" s="1"/>
  <c r="H23" i="13"/>
  <c r="I23" i="13" s="1"/>
  <c r="J22" i="13"/>
  <c r="K22" i="13" s="1"/>
  <c r="H22" i="13"/>
  <c r="I22" i="13" s="1"/>
  <c r="J21" i="13"/>
  <c r="K21" i="13" s="1"/>
  <c r="H21" i="13"/>
  <c r="I21" i="13" s="1"/>
  <c r="J20" i="13"/>
  <c r="K20" i="13" s="1"/>
  <c r="H20" i="13"/>
  <c r="I20" i="13" s="1"/>
  <c r="J19" i="13"/>
  <c r="K19" i="13" s="1"/>
  <c r="H19" i="13"/>
  <c r="I19" i="13" s="1"/>
  <c r="J18" i="13"/>
  <c r="K18" i="13" s="1"/>
  <c r="H18" i="13"/>
  <c r="I18" i="13" s="1"/>
  <c r="J17" i="13"/>
  <c r="K17" i="13" s="1"/>
  <c r="H17" i="13"/>
  <c r="I17" i="13" s="1"/>
  <c r="J16" i="13"/>
  <c r="K16" i="13" s="1"/>
  <c r="H16" i="13"/>
  <c r="I16" i="13" s="1"/>
  <c r="J15" i="13"/>
  <c r="K15" i="13" s="1"/>
  <c r="H15" i="13"/>
  <c r="I15" i="13" s="1"/>
  <c r="J14" i="13"/>
  <c r="K14" i="13" s="1"/>
  <c r="H14" i="13"/>
  <c r="I14" i="13" s="1"/>
  <c r="J13" i="13"/>
  <c r="K13" i="13" s="1"/>
  <c r="H13" i="13"/>
  <c r="I13" i="13" s="1"/>
  <c r="J12" i="13"/>
  <c r="K12" i="13" s="1"/>
  <c r="H12" i="13"/>
  <c r="I12" i="13" s="1"/>
  <c r="J11" i="13"/>
  <c r="K11" i="13" s="1"/>
  <c r="H11" i="13"/>
  <c r="I11" i="13" s="1"/>
  <c r="J10" i="13"/>
  <c r="K10" i="13" s="1"/>
  <c r="H10" i="13"/>
  <c r="I10" i="13" s="1"/>
  <c r="J9" i="13"/>
  <c r="K9" i="13" s="1"/>
  <c r="H9" i="13"/>
  <c r="I9" i="13" s="1"/>
  <c r="J8" i="13"/>
  <c r="K8" i="13" s="1"/>
  <c r="H8" i="13"/>
  <c r="I8" i="13" s="1"/>
  <c r="J7" i="13"/>
  <c r="K7" i="13" s="1"/>
  <c r="H7" i="13"/>
  <c r="I7" i="13" s="1"/>
  <c r="J6" i="13"/>
  <c r="K6" i="13" s="1"/>
  <c r="H6" i="13"/>
  <c r="I6" i="13" s="1"/>
  <c r="J5" i="13"/>
  <c r="K5" i="13" s="1"/>
  <c r="H5" i="13"/>
  <c r="I5" i="13" s="1"/>
  <c r="J4" i="13"/>
  <c r="K4" i="13" s="1"/>
  <c r="H4" i="13"/>
  <c r="I4" i="13" s="1"/>
  <c r="J3" i="13"/>
  <c r="K3" i="13" s="1"/>
  <c r="H3" i="13"/>
  <c r="I3" i="13" s="1"/>
  <c r="J2" i="13"/>
  <c r="K2" i="13" s="1"/>
  <c r="H2" i="13"/>
  <c r="I2" i="13" s="1"/>
  <c r="O50" i="12"/>
  <c r="N50" i="12"/>
  <c r="O49" i="12"/>
  <c r="N49" i="12"/>
  <c r="O48" i="12"/>
  <c r="N48" i="12"/>
  <c r="O47" i="12"/>
  <c r="N47" i="12"/>
  <c r="O46" i="12"/>
  <c r="N46" i="12"/>
  <c r="O45" i="12"/>
  <c r="N45" i="12"/>
  <c r="O44" i="12"/>
  <c r="N44" i="12"/>
  <c r="O43" i="12"/>
  <c r="N43" i="12"/>
  <c r="O42" i="12"/>
  <c r="N42" i="12"/>
  <c r="O41" i="12"/>
  <c r="N41" i="12"/>
  <c r="O40" i="12"/>
  <c r="N40" i="12"/>
  <c r="O39" i="12"/>
  <c r="N39" i="12"/>
  <c r="O38" i="12"/>
  <c r="N38" i="12"/>
  <c r="O37" i="12"/>
  <c r="N37" i="12"/>
  <c r="O36" i="12"/>
  <c r="N36" i="12"/>
  <c r="O35" i="12"/>
  <c r="N35" i="12"/>
  <c r="O34" i="12"/>
  <c r="N34" i="12"/>
  <c r="O33" i="12"/>
  <c r="N33" i="12"/>
  <c r="O32" i="12"/>
  <c r="N32" i="12"/>
  <c r="O31" i="12"/>
  <c r="N31" i="12"/>
  <c r="O30" i="12"/>
  <c r="N30" i="12"/>
  <c r="O29" i="12"/>
  <c r="N29" i="12"/>
  <c r="O28" i="12"/>
  <c r="N28" i="12"/>
  <c r="O27" i="12"/>
  <c r="N27" i="12"/>
  <c r="O26" i="12"/>
  <c r="N26" i="12"/>
  <c r="O25" i="12"/>
  <c r="N25" i="12"/>
  <c r="O24" i="12"/>
  <c r="N24" i="12"/>
  <c r="O23" i="12"/>
  <c r="N23" i="12"/>
  <c r="O22" i="12"/>
  <c r="N22" i="12"/>
  <c r="O21" i="12"/>
  <c r="N21" i="12"/>
  <c r="O20" i="12"/>
  <c r="N20" i="12"/>
  <c r="O19" i="12"/>
  <c r="N19" i="12"/>
  <c r="O18" i="12"/>
  <c r="N18" i="12"/>
  <c r="O17" i="12"/>
  <c r="N17" i="12"/>
  <c r="O16" i="12"/>
  <c r="N16" i="12"/>
  <c r="O15" i="12"/>
  <c r="N15" i="12"/>
  <c r="O14" i="12"/>
  <c r="N14" i="12"/>
  <c r="O13" i="12"/>
  <c r="N13" i="12"/>
  <c r="O12" i="12"/>
  <c r="N12" i="12"/>
  <c r="O11" i="12"/>
  <c r="N11" i="12"/>
  <c r="O10" i="12"/>
  <c r="N10" i="12"/>
  <c r="O9" i="12"/>
  <c r="N9" i="12"/>
  <c r="O8" i="12"/>
  <c r="N8" i="12"/>
  <c r="O7" i="12"/>
  <c r="N7" i="12"/>
  <c r="O6" i="12"/>
  <c r="N6" i="12"/>
  <c r="O5" i="12"/>
  <c r="N5" i="12"/>
  <c r="O4" i="12"/>
  <c r="N4" i="12"/>
  <c r="O3" i="12"/>
  <c r="N3" i="12"/>
  <c r="O2" i="12"/>
  <c r="N2" i="12"/>
  <c r="J32" i="12"/>
  <c r="K32" i="12" s="1"/>
  <c r="H32" i="12"/>
  <c r="I32" i="12" s="1"/>
  <c r="J31" i="12"/>
  <c r="K31" i="12" s="1"/>
  <c r="H31" i="12"/>
  <c r="I31" i="12" s="1"/>
  <c r="J30" i="12"/>
  <c r="K30" i="12" s="1"/>
  <c r="H30" i="12"/>
  <c r="I30" i="12" s="1"/>
  <c r="J29" i="12"/>
  <c r="K29" i="12" s="1"/>
  <c r="H29" i="12"/>
  <c r="I29" i="12" s="1"/>
  <c r="J28" i="12"/>
  <c r="K28" i="12" s="1"/>
  <c r="H28" i="12"/>
  <c r="I28" i="12" s="1"/>
  <c r="J27" i="12"/>
  <c r="K27" i="12" s="1"/>
  <c r="H27" i="12"/>
  <c r="I27" i="12" s="1"/>
  <c r="J26" i="12"/>
  <c r="K26" i="12" s="1"/>
  <c r="H26" i="12"/>
  <c r="I26" i="12" s="1"/>
  <c r="J25" i="12"/>
  <c r="K25" i="12" s="1"/>
  <c r="H25" i="12"/>
  <c r="I25" i="12" s="1"/>
  <c r="J24" i="12"/>
  <c r="K24" i="12" s="1"/>
  <c r="H24" i="12"/>
  <c r="I24" i="12" s="1"/>
  <c r="J23" i="12"/>
  <c r="K23" i="12" s="1"/>
  <c r="H23" i="12"/>
  <c r="I23" i="12" s="1"/>
  <c r="J22" i="12"/>
  <c r="K22" i="12" s="1"/>
  <c r="H22" i="12"/>
  <c r="I22" i="12" s="1"/>
  <c r="J21" i="12"/>
  <c r="K21" i="12" s="1"/>
  <c r="H21" i="12"/>
  <c r="I21" i="12" s="1"/>
  <c r="J20" i="12"/>
  <c r="K20" i="12" s="1"/>
  <c r="H20" i="12"/>
  <c r="I20" i="12" s="1"/>
  <c r="J19" i="12"/>
  <c r="K19" i="12" s="1"/>
  <c r="H19" i="12"/>
  <c r="I19" i="12" s="1"/>
  <c r="J18" i="12"/>
  <c r="K18" i="12" s="1"/>
  <c r="H18" i="12"/>
  <c r="I18" i="12" s="1"/>
  <c r="J17" i="12"/>
  <c r="K17" i="12" s="1"/>
  <c r="H17" i="12"/>
  <c r="I17" i="12" s="1"/>
  <c r="J16" i="12"/>
  <c r="K16" i="12" s="1"/>
  <c r="H16" i="12"/>
  <c r="I16" i="12" s="1"/>
  <c r="J15" i="12"/>
  <c r="K15" i="12" s="1"/>
  <c r="H15" i="12"/>
  <c r="I15" i="12" s="1"/>
  <c r="J14" i="12"/>
  <c r="K14" i="12" s="1"/>
  <c r="H14" i="12"/>
  <c r="I14" i="12" s="1"/>
  <c r="J13" i="12"/>
  <c r="K13" i="12" s="1"/>
  <c r="H13" i="12"/>
  <c r="I13" i="12" s="1"/>
  <c r="J12" i="12"/>
  <c r="K12" i="12" s="1"/>
  <c r="H12" i="12"/>
  <c r="I12" i="12" s="1"/>
  <c r="J11" i="12"/>
  <c r="K11" i="12" s="1"/>
  <c r="H11" i="12"/>
  <c r="I11" i="12" s="1"/>
  <c r="J10" i="12"/>
  <c r="K10" i="12" s="1"/>
  <c r="H10" i="12"/>
  <c r="I10" i="12" s="1"/>
  <c r="J9" i="12"/>
  <c r="K9" i="12" s="1"/>
  <c r="H9" i="12"/>
  <c r="I9" i="12" s="1"/>
  <c r="J8" i="12"/>
  <c r="K8" i="12" s="1"/>
  <c r="H8" i="12"/>
  <c r="I8" i="12" s="1"/>
  <c r="J7" i="12"/>
  <c r="K7" i="12" s="1"/>
  <c r="H7" i="12"/>
  <c r="I7" i="12" s="1"/>
  <c r="J6" i="12"/>
  <c r="K6" i="12" s="1"/>
  <c r="H6" i="12"/>
  <c r="I6" i="12" s="1"/>
  <c r="J5" i="12"/>
  <c r="K5" i="12" s="1"/>
  <c r="H5" i="12"/>
  <c r="I5" i="12" s="1"/>
  <c r="J4" i="12"/>
  <c r="K4" i="12" s="1"/>
  <c r="H4" i="12"/>
  <c r="I4" i="12" s="1"/>
  <c r="J3" i="12"/>
  <c r="K3" i="12" s="1"/>
  <c r="H3" i="12"/>
  <c r="I3" i="12" s="1"/>
  <c r="J2" i="12"/>
  <c r="K2" i="12" s="1"/>
  <c r="H2" i="12"/>
  <c r="I2" i="12" s="1"/>
  <c r="O50" i="11"/>
  <c r="N50" i="11"/>
  <c r="O49" i="11"/>
  <c r="N49" i="11"/>
  <c r="O48" i="11"/>
  <c r="N48" i="11"/>
  <c r="O47" i="11"/>
  <c r="N47" i="11"/>
  <c r="O46" i="11"/>
  <c r="N46" i="11"/>
  <c r="O45" i="11"/>
  <c r="N45" i="11"/>
  <c r="O44" i="11"/>
  <c r="N44" i="11"/>
  <c r="O43" i="11"/>
  <c r="N43" i="11"/>
  <c r="O42" i="11"/>
  <c r="N42" i="11"/>
  <c r="O41" i="11"/>
  <c r="N41" i="11"/>
  <c r="O40" i="11"/>
  <c r="N40" i="11"/>
  <c r="O39" i="11"/>
  <c r="N39" i="11"/>
  <c r="O38" i="11"/>
  <c r="N38" i="11"/>
  <c r="O37" i="11"/>
  <c r="N37" i="11"/>
  <c r="O36" i="11"/>
  <c r="N36" i="11"/>
  <c r="O35" i="11"/>
  <c r="N35" i="11"/>
  <c r="O34" i="11"/>
  <c r="N34" i="11"/>
  <c r="O33" i="11"/>
  <c r="N33" i="11"/>
  <c r="O32" i="11"/>
  <c r="N32" i="11"/>
  <c r="O31" i="11"/>
  <c r="N31" i="11"/>
  <c r="O30" i="11"/>
  <c r="N30" i="11"/>
  <c r="O29" i="11"/>
  <c r="N29" i="11"/>
  <c r="O28" i="11"/>
  <c r="N28" i="11"/>
  <c r="O27" i="11"/>
  <c r="N27" i="11"/>
  <c r="O26" i="11"/>
  <c r="N26" i="11"/>
  <c r="O25" i="11"/>
  <c r="N25" i="11"/>
  <c r="O24" i="11"/>
  <c r="N24" i="11"/>
  <c r="O23" i="11"/>
  <c r="N23" i="11"/>
  <c r="O22" i="11"/>
  <c r="N22" i="11"/>
  <c r="O21" i="11"/>
  <c r="N21" i="11"/>
  <c r="O20" i="11"/>
  <c r="N20" i="11"/>
  <c r="O19" i="11"/>
  <c r="N19" i="11"/>
  <c r="O18" i="11"/>
  <c r="N18" i="11"/>
  <c r="O17" i="11"/>
  <c r="N17" i="11"/>
  <c r="O16" i="11"/>
  <c r="N16" i="11"/>
  <c r="O15" i="11"/>
  <c r="N15" i="11"/>
  <c r="O14" i="11"/>
  <c r="N14" i="11"/>
  <c r="O13" i="11"/>
  <c r="N13" i="11"/>
  <c r="O12" i="11"/>
  <c r="N12" i="11"/>
  <c r="O11" i="11"/>
  <c r="N11" i="11"/>
  <c r="O10" i="11"/>
  <c r="N10" i="11"/>
  <c r="O9" i="11"/>
  <c r="N9" i="11"/>
  <c r="O8" i="11"/>
  <c r="N8" i="11"/>
  <c r="O7" i="11"/>
  <c r="N7" i="11"/>
  <c r="O6" i="11"/>
  <c r="N6" i="11"/>
  <c r="O5" i="11"/>
  <c r="N5" i="11"/>
  <c r="O4" i="11"/>
  <c r="N4" i="11"/>
  <c r="O3" i="11"/>
  <c r="N3" i="11"/>
  <c r="O2" i="11"/>
  <c r="N2" i="11"/>
  <c r="J32" i="11"/>
  <c r="K32" i="11" s="1"/>
  <c r="H32" i="11"/>
  <c r="I32" i="11" s="1"/>
  <c r="J31" i="11"/>
  <c r="K31" i="11" s="1"/>
  <c r="H31" i="11"/>
  <c r="I31" i="11" s="1"/>
  <c r="J30" i="11"/>
  <c r="K30" i="11" s="1"/>
  <c r="H30" i="11"/>
  <c r="I30" i="11" s="1"/>
  <c r="J29" i="11"/>
  <c r="K29" i="11" s="1"/>
  <c r="H29" i="11"/>
  <c r="I29" i="11" s="1"/>
  <c r="J28" i="11"/>
  <c r="K28" i="11" s="1"/>
  <c r="H28" i="11"/>
  <c r="I28" i="11" s="1"/>
  <c r="J27" i="11"/>
  <c r="K27" i="11" s="1"/>
  <c r="H27" i="11"/>
  <c r="I27" i="11" s="1"/>
  <c r="J26" i="11"/>
  <c r="K26" i="11" s="1"/>
  <c r="H26" i="11"/>
  <c r="I26" i="11" s="1"/>
  <c r="J25" i="11"/>
  <c r="K25" i="11" s="1"/>
  <c r="H25" i="11"/>
  <c r="I25" i="11" s="1"/>
  <c r="J24" i="11"/>
  <c r="K24" i="11" s="1"/>
  <c r="H24" i="11"/>
  <c r="I24" i="11" s="1"/>
  <c r="J23" i="11"/>
  <c r="K23" i="11" s="1"/>
  <c r="H23" i="11"/>
  <c r="I23" i="11" s="1"/>
  <c r="J22" i="11"/>
  <c r="K22" i="11" s="1"/>
  <c r="H22" i="11"/>
  <c r="I22" i="11" s="1"/>
  <c r="J21" i="11"/>
  <c r="K21" i="11" s="1"/>
  <c r="H21" i="11"/>
  <c r="I21" i="11" s="1"/>
  <c r="J20" i="11"/>
  <c r="K20" i="11" s="1"/>
  <c r="H20" i="11"/>
  <c r="I20" i="11" s="1"/>
  <c r="J19" i="11"/>
  <c r="K19" i="11" s="1"/>
  <c r="H19" i="11"/>
  <c r="I19" i="11" s="1"/>
  <c r="J18" i="11"/>
  <c r="K18" i="11" s="1"/>
  <c r="H18" i="11"/>
  <c r="I18" i="11" s="1"/>
  <c r="J17" i="11"/>
  <c r="K17" i="11" s="1"/>
  <c r="H17" i="11"/>
  <c r="I17" i="11" s="1"/>
  <c r="J16" i="11"/>
  <c r="K16" i="11" s="1"/>
  <c r="H16" i="11"/>
  <c r="I16" i="11" s="1"/>
  <c r="J15" i="11"/>
  <c r="K15" i="11" s="1"/>
  <c r="H15" i="11"/>
  <c r="I15" i="11" s="1"/>
  <c r="J14" i="11"/>
  <c r="K14" i="11" s="1"/>
  <c r="H14" i="11"/>
  <c r="I14" i="11" s="1"/>
  <c r="J13" i="11"/>
  <c r="K13" i="11" s="1"/>
  <c r="H13" i="11"/>
  <c r="I13" i="11" s="1"/>
  <c r="J12" i="11"/>
  <c r="K12" i="11" s="1"/>
  <c r="H12" i="11"/>
  <c r="I12" i="11" s="1"/>
  <c r="J11" i="11"/>
  <c r="K11" i="11" s="1"/>
  <c r="H11" i="11"/>
  <c r="I11" i="11" s="1"/>
  <c r="J10" i="11"/>
  <c r="K10" i="11" s="1"/>
  <c r="H10" i="11"/>
  <c r="I10" i="11" s="1"/>
  <c r="J9" i="11"/>
  <c r="K9" i="11" s="1"/>
  <c r="H9" i="11"/>
  <c r="I9" i="11" s="1"/>
  <c r="J8" i="11"/>
  <c r="K8" i="11" s="1"/>
  <c r="H8" i="11"/>
  <c r="I8" i="11" s="1"/>
  <c r="J7" i="11"/>
  <c r="K7" i="11" s="1"/>
  <c r="H7" i="11"/>
  <c r="I7" i="11" s="1"/>
  <c r="J6" i="11"/>
  <c r="K6" i="11" s="1"/>
  <c r="H6" i="11"/>
  <c r="I6" i="11" s="1"/>
  <c r="J5" i="11"/>
  <c r="K5" i="11" s="1"/>
  <c r="H5" i="11"/>
  <c r="I5" i="11" s="1"/>
  <c r="J4" i="11"/>
  <c r="K4" i="11" s="1"/>
  <c r="H4" i="11"/>
  <c r="I4" i="11" s="1"/>
  <c r="J3" i="11"/>
  <c r="K3" i="11" s="1"/>
  <c r="H3" i="11"/>
  <c r="I3" i="11" s="1"/>
  <c r="J2" i="11"/>
  <c r="K2" i="11" s="1"/>
  <c r="H2" i="11"/>
  <c r="I2" i="11" s="1"/>
  <c r="O50" i="10"/>
  <c r="N50" i="10"/>
  <c r="O49" i="10"/>
  <c r="N49" i="10"/>
  <c r="O48" i="10"/>
  <c r="N48" i="10"/>
  <c r="O47" i="10"/>
  <c r="N47" i="10"/>
  <c r="O46" i="10"/>
  <c r="N46" i="10"/>
  <c r="O45" i="10"/>
  <c r="N45" i="10"/>
  <c r="O44" i="10"/>
  <c r="N44" i="10"/>
  <c r="O43" i="10"/>
  <c r="N43" i="10"/>
  <c r="O42" i="10"/>
  <c r="N42" i="10"/>
  <c r="O41" i="10"/>
  <c r="N41" i="10"/>
  <c r="O40" i="10"/>
  <c r="N40" i="10"/>
  <c r="O39" i="10"/>
  <c r="N39" i="10"/>
  <c r="O38" i="10"/>
  <c r="N38" i="10"/>
  <c r="O37" i="10"/>
  <c r="N37" i="10"/>
  <c r="O36" i="10"/>
  <c r="N36" i="10"/>
  <c r="O35" i="10"/>
  <c r="N35" i="10"/>
  <c r="O34" i="10"/>
  <c r="N34" i="10"/>
  <c r="O33" i="10"/>
  <c r="N33" i="10"/>
  <c r="O32" i="10"/>
  <c r="N32" i="10"/>
  <c r="O31" i="10"/>
  <c r="N31" i="10"/>
  <c r="O30" i="10"/>
  <c r="N30" i="10"/>
  <c r="O29" i="10"/>
  <c r="N29" i="10"/>
  <c r="O28" i="10"/>
  <c r="N28" i="10"/>
  <c r="O27" i="10"/>
  <c r="N27" i="10"/>
  <c r="O26" i="10"/>
  <c r="N26" i="10"/>
  <c r="O25" i="10"/>
  <c r="N25" i="10"/>
  <c r="O24" i="10"/>
  <c r="N24" i="10"/>
  <c r="O23" i="10"/>
  <c r="N23" i="10"/>
  <c r="O22" i="10"/>
  <c r="N22" i="10"/>
  <c r="O21" i="10"/>
  <c r="N21" i="10"/>
  <c r="O20" i="10"/>
  <c r="N20" i="10"/>
  <c r="O19" i="10"/>
  <c r="N19" i="10"/>
  <c r="O18" i="10"/>
  <c r="N18" i="10"/>
  <c r="O17" i="10"/>
  <c r="N17" i="10"/>
  <c r="O16" i="10"/>
  <c r="N16" i="10"/>
  <c r="O15" i="10"/>
  <c r="N15" i="10"/>
  <c r="O14" i="10"/>
  <c r="N14" i="10"/>
  <c r="O13" i="10"/>
  <c r="N13" i="10"/>
  <c r="O12" i="10"/>
  <c r="N12" i="10"/>
  <c r="O11" i="10"/>
  <c r="N11" i="10"/>
  <c r="O10" i="10"/>
  <c r="N10" i="10"/>
  <c r="O9" i="10"/>
  <c r="N9" i="10"/>
  <c r="O8" i="10"/>
  <c r="N8" i="10"/>
  <c r="O7" i="10"/>
  <c r="N7" i="10"/>
  <c r="O6" i="10"/>
  <c r="N6" i="10"/>
  <c r="O5" i="10"/>
  <c r="N5" i="10"/>
  <c r="O4" i="10"/>
  <c r="N4" i="10"/>
  <c r="O3" i="10"/>
  <c r="N3" i="10"/>
  <c r="O2" i="10"/>
  <c r="N2" i="10"/>
  <c r="J32" i="10"/>
  <c r="K32" i="10" s="1"/>
  <c r="H32" i="10"/>
  <c r="I32" i="10" s="1"/>
  <c r="J31" i="10"/>
  <c r="K31" i="10" s="1"/>
  <c r="H31" i="10"/>
  <c r="I31" i="10" s="1"/>
  <c r="J30" i="10"/>
  <c r="K30" i="10" s="1"/>
  <c r="H30" i="10"/>
  <c r="I30" i="10" s="1"/>
  <c r="J29" i="10"/>
  <c r="K29" i="10" s="1"/>
  <c r="H29" i="10"/>
  <c r="I29" i="10" s="1"/>
  <c r="J28" i="10"/>
  <c r="K28" i="10" s="1"/>
  <c r="H28" i="10"/>
  <c r="I28" i="10" s="1"/>
  <c r="J27" i="10"/>
  <c r="K27" i="10" s="1"/>
  <c r="H27" i="10"/>
  <c r="I27" i="10" s="1"/>
  <c r="J26" i="10"/>
  <c r="K26" i="10" s="1"/>
  <c r="H26" i="10"/>
  <c r="I26" i="10" s="1"/>
  <c r="J25" i="10"/>
  <c r="K25" i="10" s="1"/>
  <c r="H25" i="10"/>
  <c r="I25" i="10" s="1"/>
  <c r="J24" i="10"/>
  <c r="K24" i="10" s="1"/>
  <c r="H24" i="10"/>
  <c r="I24" i="10" s="1"/>
  <c r="J23" i="10"/>
  <c r="K23" i="10" s="1"/>
  <c r="H23" i="10"/>
  <c r="I23" i="10" s="1"/>
  <c r="J22" i="10"/>
  <c r="K22" i="10" s="1"/>
  <c r="H22" i="10"/>
  <c r="I22" i="10" s="1"/>
  <c r="J21" i="10"/>
  <c r="K21" i="10" s="1"/>
  <c r="H21" i="10"/>
  <c r="I21" i="10" s="1"/>
  <c r="J20" i="10"/>
  <c r="K20" i="10" s="1"/>
  <c r="H20" i="10"/>
  <c r="I20" i="10" s="1"/>
  <c r="J19" i="10"/>
  <c r="K19" i="10" s="1"/>
  <c r="H19" i="10"/>
  <c r="I19" i="10" s="1"/>
  <c r="J18" i="10"/>
  <c r="K18" i="10" s="1"/>
  <c r="H18" i="10"/>
  <c r="I18" i="10" s="1"/>
  <c r="J17" i="10"/>
  <c r="K17" i="10" s="1"/>
  <c r="H17" i="10"/>
  <c r="I17" i="10" s="1"/>
  <c r="J16" i="10"/>
  <c r="K16" i="10" s="1"/>
  <c r="H16" i="10"/>
  <c r="I16" i="10" s="1"/>
  <c r="J15" i="10"/>
  <c r="K15" i="10" s="1"/>
  <c r="H15" i="10"/>
  <c r="I15" i="10" s="1"/>
  <c r="J14" i="10"/>
  <c r="K14" i="10" s="1"/>
  <c r="H14" i="10"/>
  <c r="I14" i="10" s="1"/>
  <c r="J13" i="10"/>
  <c r="K13" i="10" s="1"/>
  <c r="H13" i="10"/>
  <c r="I13" i="10" s="1"/>
  <c r="J12" i="10"/>
  <c r="K12" i="10" s="1"/>
  <c r="H12" i="10"/>
  <c r="I12" i="10" s="1"/>
  <c r="J11" i="10"/>
  <c r="K11" i="10" s="1"/>
  <c r="H11" i="10"/>
  <c r="I11" i="10" s="1"/>
  <c r="J10" i="10"/>
  <c r="K10" i="10" s="1"/>
  <c r="H10" i="10"/>
  <c r="I10" i="10" s="1"/>
  <c r="J9" i="10"/>
  <c r="K9" i="10" s="1"/>
  <c r="H9" i="10"/>
  <c r="I9" i="10" s="1"/>
  <c r="J8" i="10"/>
  <c r="K8" i="10" s="1"/>
  <c r="H8" i="10"/>
  <c r="I8" i="10" s="1"/>
  <c r="J7" i="10"/>
  <c r="K7" i="10" s="1"/>
  <c r="H7" i="10"/>
  <c r="I7" i="10" s="1"/>
  <c r="J6" i="10"/>
  <c r="K6" i="10" s="1"/>
  <c r="H6" i="10"/>
  <c r="I6" i="10" s="1"/>
  <c r="J5" i="10"/>
  <c r="K5" i="10" s="1"/>
  <c r="H5" i="10"/>
  <c r="I5" i="10" s="1"/>
  <c r="J4" i="10"/>
  <c r="K4" i="10" s="1"/>
  <c r="H4" i="10"/>
  <c r="I4" i="10" s="1"/>
  <c r="J3" i="10"/>
  <c r="K3" i="10" s="1"/>
  <c r="H3" i="10"/>
  <c r="I3" i="10" s="1"/>
  <c r="J2" i="10"/>
  <c r="K2" i="10" s="1"/>
  <c r="H2" i="10"/>
  <c r="I2" i="10" s="1"/>
  <c r="O50" i="9"/>
  <c r="N50" i="9"/>
  <c r="O49" i="9"/>
  <c r="N49" i="9"/>
  <c r="O48" i="9"/>
  <c r="N48" i="9"/>
  <c r="O47" i="9"/>
  <c r="N47" i="9"/>
  <c r="O46" i="9"/>
  <c r="N46" i="9"/>
  <c r="O45" i="9"/>
  <c r="N45" i="9"/>
  <c r="O44" i="9"/>
  <c r="N44" i="9"/>
  <c r="O43" i="9"/>
  <c r="N43" i="9"/>
  <c r="O42" i="9"/>
  <c r="N42" i="9"/>
  <c r="O41" i="9"/>
  <c r="N41" i="9"/>
  <c r="O40" i="9"/>
  <c r="N40" i="9"/>
  <c r="O39" i="9"/>
  <c r="N39" i="9"/>
  <c r="O38" i="9"/>
  <c r="N38" i="9"/>
  <c r="O37" i="9"/>
  <c r="N37" i="9"/>
  <c r="O36" i="9"/>
  <c r="N36" i="9"/>
  <c r="O35" i="9"/>
  <c r="N35" i="9"/>
  <c r="O34" i="9"/>
  <c r="N34" i="9"/>
  <c r="O33" i="9"/>
  <c r="N33" i="9"/>
  <c r="O32" i="9"/>
  <c r="N32" i="9"/>
  <c r="O31" i="9"/>
  <c r="N31" i="9"/>
  <c r="O30" i="9"/>
  <c r="N30" i="9"/>
  <c r="O29" i="9"/>
  <c r="N29" i="9"/>
  <c r="O28" i="9"/>
  <c r="N28" i="9"/>
  <c r="O27" i="9"/>
  <c r="N27" i="9"/>
  <c r="O26" i="9"/>
  <c r="N26" i="9"/>
  <c r="O25" i="9"/>
  <c r="N25" i="9"/>
  <c r="O24" i="9"/>
  <c r="N24" i="9"/>
  <c r="O23" i="9"/>
  <c r="N23" i="9"/>
  <c r="O22" i="9"/>
  <c r="N22" i="9"/>
  <c r="O21" i="9"/>
  <c r="N21" i="9"/>
  <c r="O20" i="9"/>
  <c r="N20" i="9"/>
  <c r="O19" i="9"/>
  <c r="N19" i="9"/>
  <c r="O18" i="9"/>
  <c r="N18" i="9"/>
  <c r="O17" i="9"/>
  <c r="N17" i="9"/>
  <c r="O16" i="9"/>
  <c r="N16" i="9"/>
  <c r="O15" i="9"/>
  <c r="N15" i="9"/>
  <c r="O14" i="9"/>
  <c r="N14" i="9"/>
  <c r="O13" i="9"/>
  <c r="N13" i="9"/>
  <c r="O12" i="9"/>
  <c r="N12" i="9"/>
  <c r="O11" i="9"/>
  <c r="N11" i="9"/>
  <c r="O10" i="9"/>
  <c r="N10" i="9"/>
  <c r="O9" i="9"/>
  <c r="N9" i="9"/>
  <c r="O8" i="9"/>
  <c r="N8" i="9"/>
  <c r="O7" i="9"/>
  <c r="N7" i="9"/>
  <c r="O6" i="9"/>
  <c r="N6" i="9"/>
  <c r="O5" i="9"/>
  <c r="N5" i="9"/>
  <c r="O4" i="9"/>
  <c r="N4" i="9"/>
  <c r="O3" i="9"/>
  <c r="N3" i="9"/>
  <c r="O2" i="9"/>
  <c r="N2" i="9"/>
  <c r="J32" i="9"/>
  <c r="K32" i="9" s="1"/>
  <c r="H32" i="9"/>
  <c r="I32" i="9" s="1"/>
  <c r="J31" i="9"/>
  <c r="K31" i="9" s="1"/>
  <c r="H31" i="9"/>
  <c r="I31" i="9" s="1"/>
  <c r="J30" i="9"/>
  <c r="K30" i="9" s="1"/>
  <c r="H30" i="9"/>
  <c r="I30" i="9" s="1"/>
  <c r="J29" i="9"/>
  <c r="K29" i="9" s="1"/>
  <c r="H29" i="9"/>
  <c r="I29" i="9" s="1"/>
  <c r="J28" i="9"/>
  <c r="K28" i="9" s="1"/>
  <c r="H28" i="9"/>
  <c r="I28" i="9" s="1"/>
  <c r="J27" i="9"/>
  <c r="K27" i="9" s="1"/>
  <c r="H27" i="9"/>
  <c r="I27" i="9" s="1"/>
  <c r="J26" i="9"/>
  <c r="K26" i="9" s="1"/>
  <c r="H26" i="9"/>
  <c r="I26" i="9" s="1"/>
  <c r="J25" i="9"/>
  <c r="K25" i="9" s="1"/>
  <c r="H25" i="9"/>
  <c r="I25" i="9" s="1"/>
  <c r="J24" i="9"/>
  <c r="K24" i="9" s="1"/>
  <c r="H24" i="9"/>
  <c r="I24" i="9" s="1"/>
  <c r="J23" i="9"/>
  <c r="K23" i="9" s="1"/>
  <c r="H23" i="9"/>
  <c r="I23" i="9" s="1"/>
  <c r="J22" i="9"/>
  <c r="K22" i="9" s="1"/>
  <c r="H22" i="9"/>
  <c r="I22" i="9" s="1"/>
  <c r="J21" i="9"/>
  <c r="K21" i="9" s="1"/>
  <c r="H21" i="9"/>
  <c r="I21" i="9" s="1"/>
  <c r="J20" i="9"/>
  <c r="K20" i="9" s="1"/>
  <c r="H20" i="9"/>
  <c r="I20" i="9" s="1"/>
  <c r="J19" i="9"/>
  <c r="K19" i="9" s="1"/>
  <c r="H19" i="9"/>
  <c r="I19" i="9" s="1"/>
  <c r="J18" i="9"/>
  <c r="K18" i="9" s="1"/>
  <c r="H18" i="9"/>
  <c r="I18" i="9" s="1"/>
  <c r="J17" i="9"/>
  <c r="K17" i="9" s="1"/>
  <c r="H17" i="9"/>
  <c r="I17" i="9" s="1"/>
  <c r="J16" i="9"/>
  <c r="K16" i="9" s="1"/>
  <c r="H16" i="9"/>
  <c r="I16" i="9" s="1"/>
  <c r="J15" i="9"/>
  <c r="K15" i="9" s="1"/>
  <c r="H15" i="9"/>
  <c r="I15" i="9" s="1"/>
  <c r="J14" i="9"/>
  <c r="K14" i="9" s="1"/>
  <c r="H14" i="9"/>
  <c r="I14" i="9" s="1"/>
  <c r="J13" i="9"/>
  <c r="K13" i="9" s="1"/>
  <c r="H13" i="9"/>
  <c r="I13" i="9" s="1"/>
  <c r="J12" i="9"/>
  <c r="K12" i="9" s="1"/>
  <c r="H12" i="9"/>
  <c r="I12" i="9" s="1"/>
  <c r="J11" i="9"/>
  <c r="K11" i="9" s="1"/>
  <c r="H11" i="9"/>
  <c r="I11" i="9" s="1"/>
  <c r="J10" i="9"/>
  <c r="K10" i="9" s="1"/>
  <c r="H10" i="9"/>
  <c r="I10" i="9" s="1"/>
  <c r="J9" i="9"/>
  <c r="K9" i="9" s="1"/>
  <c r="H9" i="9"/>
  <c r="I9" i="9" s="1"/>
  <c r="J8" i="9"/>
  <c r="K8" i="9" s="1"/>
  <c r="H8" i="9"/>
  <c r="I8" i="9" s="1"/>
  <c r="J7" i="9"/>
  <c r="K7" i="9" s="1"/>
  <c r="H7" i="9"/>
  <c r="I7" i="9" s="1"/>
  <c r="J6" i="9"/>
  <c r="K6" i="9" s="1"/>
  <c r="H6" i="9"/>
  <c r="I6" i="9" s="1"/>
  <c r="J5" i="9"/>
  <c r="K5" i="9" s="1"/>
  <c r="H5" i="9"/>
  <c r="I5" i="9" s="1"/>
  <c r="J4" i="9"/>
  <c r="K4" i="9" s="1"/>
  <c r="H4" i="9"/>
  <c r="I4" i="9" s="1"/>
  <c r="J3" i="9"/>
  <c r="K3" i="9" s="1"/>
  <c r="H3" i="9"/>
  <c r="I3" i="9" s="1"/>
  <c r="J2" i="9"/>
  <c r="K2" i="9" s="1"/>
  <c r="H2" i="9"/>
  <c r="I2" i="9" s="1"/>
  <c r="O50" i="8"/>
  <c r="N50" i="8"/>
  <c r="O49" i="8"/>
  <c r="N49" i="8"/>
  <c r="O48" i="8"/>
  <c r="N48" i="8"/>
  <c r="O47" i="8"/>
  <c r="N47" i="8"/>
  <c r="O46" i="8"/>
  <c r="N46" i="8"/>
  <c r="O45" i="8"/>
  <c r="N45" i="8"/>
  <c r="O44" i="8"/>
  <c r="N44" i="8"/>
  <c r="O43" i="8"/>
  <c r="N43" i="8"/>
  <c r="O42" i="8"/>
  <c r="N42" i="8"/>
  <c r="O41" i="8"/>
  <c r="N41" i="8"/>
  <c r="O40" i="8"/>
  <c r="N40" i="8"/>
  <c r="O39" i="8"/>
  <c r="N39" i="8"/>
  <c r="O38" i="8"/>
  <c r="N38" i="8"/>
  <c r="O37" i="8"/>
  <c r="N37" i="8"/>
  <c r="O36" i="8"/>
  <c r="N36" i="8"/>
  <c r="O35" i="8"/>
  <c r="N35" i="8"/>
  <c r="O34" i="8"/>
  <c r="N34" i="8"/>
  <c r="O33" i="8"/>
  <c r="N33" i="8"/>
  <c r="O32" i="8"/>
  <c r="N32" i="8"/>
  <c r="O31" i="8"/>
  <c r="N31" i="8"/>
  <c r="O30" i="8"/>
  <c r="N30" i="8"/>
  <c r="O29" i="8"/>
  <c r="N29" i="8"/>
  <c r="O28" i="8"/>
  <c r="N28" i="8"/>
  <c r="O27" i="8"/>
  <c r="N27" i="8"/>
  <c r="O26" i="8"/>
  <c r="N26" i="8"/>
  <c r="O25" i="8"/>
  <c r="N25" i="8"/>
  <c r="O24" i="8"/>
  <c r="N24" i="8"/>
  <c r="O23" i="8"/>
  <c r="N23" i="8"/>
  <c r="O22" i="8"/>
  <c r="N22" i="8"/>
  <c r="O21" i="8"/>
  <c r="N21" i="8"/>
  <c r="O20" i="8"/>
  <c r="N20" i="8"/>
  <c r="O19" i="8"/>
  <c r="N19" i="8"/>
  <c r="O18" i="8"/>
  <c r="N18" i="8"/>
  <c r="O17" i="8"/>
  <c r="N17" i="8"/>
  <c r="O16" i="8"/>
  <c r="N16" i="8"/>
  <c r="O15" i="8"/>
  <c r="N15" i="8"/>
  <c r="O14" i="8"/>
  <c r="N14" i="8"/>
  <c r="O13" i="8"/>
  <c r="N13" i="8"/>
  <c r="O12" i="8"/>
  <c r="N12" i="8"/>
  <c r="O11" i="8"/>
  <c r="N11" i="8"/>
  <c r="O10" i="8"/>
  <c r="N10" i="8"/>
  <c r="O9" i="8"/>
  <c r="N9" i="8"/>
  <c r="O8" i="8"/>
  <c r="N8" i="8"/>
  <c r="O7" i="8"/>
  <c r="N7" i="8"/>
  <c r="O6" i="8"/>
  <c r="N6" i="8"/>
  <c r="O5" i="8"/>
  <c r="N5" i="8"/>
  <c r="O4" i="8"/>
  <c r="N4" i="8"/>
  <c r="O3" i="8"/>
  <c r="N3" i="8"/>
  <c r="O2" i="8"/>
  <c r="N2" i="8"/>
  <c r="J32" i="8"/>
  <c r="K32" i="8" s="1"/>
  <c r="H32" i="8"/>
  <c r="I32" i="8" s="1"/>
  <c r="J31" i="8"/>
  <c r="K31" i="8" s="1"/>
  <c r="H31" i="8"/>
  <c r="I31" i="8" s="1"/>
  <c r="J30" i="8"/>
  <c r="K30" i="8" s="1"/>
  <c r="H30" i="8"/>
  <c r="I30" i="8" s="1"/>
  <c r="J29" i="8"/>
  <c r="K29" i="8" s="1"/>
  <c r="H29" i="8"/>
  <c r="I29" i="8" s="1"/>
  <c r="J28" i="8"/>
  <c r="K28" i="8" s="1"/>
  <c r="H28" i="8"/>
  <c r="I28" i="8" s="1"/>
  <c r="J27" i="8"/>
  <c r="K27" i="8" s="1"/>
  <c r="H27" i="8"/>
  <c r="I27" i="8" s="1"/>
  <c r="J26" i="8"/>
  <c r="K26" i="8" s="1"/>
  <c r="H26" i="8"/>
  <c r="I26" i="8" s="1"/>
  <c r="J25" i="8"/>
  <c r="K25" i="8" s="1"/>
  <c r="H25" i="8"/>
  <c r="I25" i="8" s="1"/>
  <c r="J24" i="8"/>
  <c r="K24" i="8" s="1"/>
  <c r="H24" i="8"/>
  <c r="I24" i="8" s="1"/>
  <c r="J23" i="8"/>
  <c r="K23" i="8" s="1"/>
  <c r="H23" i="8"/>
  <c r="I23" i="8" s="1"/>
  <c r="J22" i="8"/>
  <c r="K22" i="8" s="1"/>
  <c r="H22" i="8"/>
  <c r="I22" i="8" s="1"/>
  <c r="J21" i="8"/>
  <c r="K21" i="8" s="1"/>
  <c r="H21" i="8"/>
  <c r="I21" i="8" s="1"/>
  <c r="J20" i="8"/>
  <c r="K20" i="8" s="1"/>
  <c r="H20" i="8"/>
  <c r="I20" i="8" s="1"/>
  <c r="J19" i="8"/>
  <c r="K19" i="8" s="1"/>
  <c r="H19" i="8"/>
  <c r="I19" i="8" s="1"/>
  <c r="J18" i="8"/>
  <c r="K18" i="8" s="1"/>
  <c r="H18" i="8"/>
  <c r="I18" i="8" s="1"/>
  <c r="J17" i="8"/>
  <c r="K17" i="8" s="1"/>
  <c r="H17" i="8"/>
  <c r="I17" i="8" s="1"/>
  <c r="J16" i="8"/>
  <c r="K16" i="8" s="1"/>
  <c r="H16" i="8"/>
  <c r="I16" i="8" s="1"/>
  <c r="J15" i="8"/>
  <c r="K15" i="8" s="1"/>
  <c r="H15" i="8"/>
  <c r="I15" i="8" s="1"/>
  <c r="J14" i="8"/>
  <c r="K14" i="8" s="1"/>
  <c r="H14" i="8"/>
  <c r="I14" i="8" s="1"/>
  <c r="J13" i="8"/>
  <c r="K13" i="8" s="1"/>
  <c r="H13" i="8"/>
  <c r="I13" i="8" s="1"/>
  <c r="J12" i="8"/>
  <c r="K12" i="8" s="1"/>
  <c r="H12" i="8"/>
  <c r="I12" i="8" s="1"/>
  <c r="J11" i="8"/>
  <c r="K11" i="8" s="1"/>
  <c r="H11" i="8"/>
  <c r="I11" i="8" s="1"/>
  <c r="J10" i="8"/>
  <c r="K10" i="8" s="1"/>
  <c r="H10" i="8"/>
  <c r="I10" i="8" s="1"/>
  <c r="J9" i="8"/>
  <c r="K9" i="8" s="1"/>
  <c r="H9" i="8"/>
  <c r="I9" i="8" s="1"/>
  <c r="J8" i="8"/>
  <c r="K8" i="8" s="1"/>
  <c r="H8" i="8"/>
  <c r="I8" i="8" s="1"/>
  <c r="J7" i="8"/>
  <c r="K7" i="8" s="1"/>
  <c r="H7" i="8"/>
  <c r="I7" i="8" s="1"/>
  <c r="J6" i="8"/>
  <c r="K6" i="8" s="1"/>
  <c r="H6" i="8"/>
  <c r="I6" i="8" s="1"/>
  <c r="J5" i="8"/>
  <c r="K5" i="8" s="1"/>
  <c r="H5" i="8"/>
  <c r="I5" i="8" s="1"/>
  <c r="J4" i="8"/>
  <c r="K4" i="8" s="1"/>
  <c r="H4" i="8"/>
  <c r="I4" i="8" s="1"/>
  <c r="J3" i="8"/>
  <c r="K3" i="8" s="1"/>
  <c r="H3" i="8"/>
  <c r="I3" i="8" s="1"/>
  <c r="J2" i="8"/>
  <c r="K2" i="8" s="1"/>
  <c r="H2" i="8"/>
  <c r="I2" i="8" s="1"/>
  <c r="O50" i="7"/>
  <c r="N50" i="7"/>
  <c r="O49" i="7"/>
  <c r="N49" i="7"/>
  <c r="O48" i="7"/>
  <c r="N48" i="7"/>
  <c r="O47" i="7"/>
  <c r="N47" i="7"/>
  <c r="O46" i="7"/>
  <c r="N46" i="7"/>
  <c r="O45" i="7"/>
  <c r="N45" i="7"/>
  <c r="O44" i="7"/>
  <c r="N44" i="7"/>
  <c r="O43" i="7"/>
  <c r="N43" i="7"/>
  <c r="O42" i="7"/>
  <c r="N42" i="7"/>
  <c r="O41" i="7"/>
  <c r="N41" i="7"/>
  <c r="O40" i="7"/>
  <c r="N40" i="7"/>
  <c r="O39" i="7"/>
  <c r="N39" i="7"/>
  <c r="O38" i="7"/>
  <c r="N38" i="7"/>
  <c r="O37" i="7"/>
  <c r="N37" i="7"/>
  <c r="O36" i="7"/>
  <c r="N36" i="7"/>
  <c r="O35" i="7"/>
  <c r="N35" i="7"/>
  <c r="O34" i="7"/>
  <c r="N34" i="7"/>
  <c r="O33" i="7"/>
  <c r="N33" i="7"/>
  <c r="O32" i="7"/>
  <c r="N32" i="7"/>
  <c r="O31" i="7"/>
  <c r="N31" i="7"/>
  <c r="O30" i="7"/>
  <c r="N30" i="7"/>
  <c r="O29" i="7"/>
  <c r="N29" i="7"/>
  <c r="O28" i="7"/>
  <c r="N28" i="7"/>
  <c r="O27" i="7"/>
  <c r="N27" i="7"/>
  <c r="O26" i="7"/>
  <c r="N26" i="7"/>
  <c r="O25" i="7"/>
  <c r="N25" i="7"/>
  <c r="O24" i="7"/>
  <c r="N24" i="7"/>
  <c r="O23" i="7"/>
  <c r="N23" i="7"/>
  <c r="O22" i="7"/>
  <c r="N22" i="7"/>
  <c r="O21" i="7"/>
  <c r="N21" i="7"/>
  <c r="O20" i="7"/>
  <c r="N20" i="7"/>
  <c r="O19" i="7"/>
  <c r="N19" i="7"/>
  <c r="O18" i="7"/>
  <c r="N18" i="7"/>
  <c r="O17" i="7"/>
  <c r="N17" i="7"/>
  <c r="O16" i="7"/>
  <c r="N16" i="7"/>
  <c r="O15" i="7"/>
  <c r="N15" i="7"/>
  <c r="O14" i="7"/>
  <c r="N14" i="7"/>
  <c r="O13" i="7"/>
  <c r="N13" i="7"/>
  <c r="O12" i="7"/>
  <c r="N12" i="7"/>
  <c r="O11" i="7"/>
  <c r="N11" i="7"/>
  <c r="O10" i="7"/>
  <c r="N10" i="7"/>
  <c r="O9" i="7"/>
  <c r="N9" i="7"/>
  <c r="O8" i="7"/>
  <c r="N8" i="7"/>
  <c r="O7" i="7"/>
  <c r="N7" i="7"/>
  <c r="O6" i="7"/>
  <c r="N6" i="7"/>
  <c r="O5" i="7"/>
  <c r="N5" i="7"/>
  <c r="O4" i="7"/>
  <c r="N4" i="7"/>
  <c r="O3" i="7"/>
  <c r="N3" i="7"/>
  <c r="O2" i="7"/>
  <c r="N2" i="7"/>
  <c r="J32" i="7"/>
  <c r="K32" i="7" s="1"/>
  <c r="H32" i="7"/>
  <c r="I32" i="7" s="1"/>
  <c r="J31" i="7"/>
  <c r="K31" i="7" s="1"/>
  <c r="H31" i="7"/>
  <c r="I31" i="7" s="1"/>
  <c r="J30" i="7"/>
  <c r="K30" i="7" s="1"/>
  <c r="H30" i="7"/>
  <c r="I30" i="7" s="1"/>
  <c r="J29" i="7"/>
  <c r="K29" i="7" s="1"/>
  <c r="H29" i="7"/>
  <c r="I29" i="7" s="1"/>
  <c r="J28" i="7"/>
  <c r="K28" i="7" s="1"/>
  <c r="H28" i="7"/>
  <c r="I28" i="7" s="1"/>
  <c r="J27" i="7"/>
  <c r="K27" i="7" s="1"/>
  <c r="H27" i="7"/>
  <c r="I27" i="7" s="1"/>
  <c r="J26" i="7"/>
  <c r="K26" i="7" s="1"/>
  <c r="H26" i="7"/>
  <c r="I26" i="7" s="1"/>
  <c r="J25" i="7"/>
  <c r="K25" i="7" s="1"/>
  <c r="H25" i="7"/>
  <c r="I25" i="7" s="1"/>
  <c r="J24" i="7"/>
  <c r="K24" i="7" s="1"/>
  <c r="H24" i="7"/>
  <c r="I24" i="7" s="1"/>
  <c r="J23" i="7"/>
  <c r="K23" i="7" s="1"/>
  <c r="H23" i="7"/>
  <c r="I23" i="7" s="1"/>
  <c r="J22" i="7"/>
  <c r="K22" i="7" s="1"/>
  <c r="H22" i="7"/>
  <c r="I22" i="7" s="1"/>
  <c r="J21" i="7"/>
  <c r="K21" i="7" s="1"/>
  <c r="H21" i="7"/>
  <c r="I21" i="7" s="1"/>
  <c r="J20" i="7"/>
  <c r="K20" i="7" s="1"/>
  <c r="H20" i="7"/>
  <c r="I20" i="7" s="1"/>
  <c r="J19" i="7"/>
  <c r="K19" i="7" s="1"/>
  <c r="H19" i="7"/>
  <c r="I19" i="7" s="1"/>
  <c r="J18" i="7"/>
  <c r="K18" i="7" s="1"/>
  <c r="H18" i="7"/>
  <c r="I18" i="7" s="1"/>
  <c r="J17" i="7"/>
  <c r="K17" i="7" s="1"/>
  <c r="H17" i="7"/>
  <c r="I17" i="7" s="1"/>
  <c r="J16" i="7"/>
  <c r="K16" i="7" s="1"/>
  <c r="H16" i="7"/>
  <c r="I16" i="7" s="1"/>
  <c r="J15" i="7"/>
  <c r="K15" i="7" s="1"/>
  <c r="H15" i="7"/>
  <c r="I15" i="7" s="1"/>
  <c r="J14" i="7"/>
  <c r="K14" i="7" s="1"/>
  <c r="H14" i="7"/>
  <c r="I14" i="7" s="1"/>
  <c r="J13" i="7"/>
  <c r="K13" i="7" s="1"/>
  <c r="H13" i="7"/>
  <c r="I13" i="7" s="1"/>
  <c r="J12" i="7"/>
  <c r="K12" i="7" s="1"/>
  <c r="H12" i="7"/>
  <c r="I12" i="7" s="1"/>
  <c r="J11" i="7"/>
  <c r="K11" i="7" s="1"/>
  <c r="H11" i="7"/>
  <c r="I11" i="7" s="1"/>
  <c r="J10" i="7"/>
  <c r="K10" i="7" s="1"/>
  <c r="H10" i="7"/>
  <c r="I10" i="7" s="1"/>
  <c r="J9" i="7"/>
  <c r="K9" i="7" s="1"/>
  <c r="H9" i="7"/>
  <c r="I9" i="7" s="1"/>
  <c r="J8" i="7"/>
  <c r="K8" i="7" s="1"/>
  <c r="H8" i="7"/>
  <c r="I8" i="7" s="1"/>
  <c r="J7" i="7"/>
  <c r="K7" i="7" s="1"/>
  <c r="H7" i="7"/>
  <c r="I7" i="7" s="1"/>
  <c r="J6" i="7"/>
  <c r="K6" i="7" s="1"/>
  <c r="H6" i="7"/>
  <c r="I6" i="7" s="1"/>
  <c r="J5" i="7"/>
  <c r="K5" i="7" s="1"/>
  <c r="H5" i="7"/>
  <c r="I5" i="7" s="1"/>
  <c r="J4" i="7"/>
  <c r="K4" i="7" s="1"/>
  <c r="H4" i="7"/>
  <c r="I4" i="7" s="1"/>
  <c r="J3" i="7"/>
  <c r="K3" i="7" s="1"/>
  <c r="H3" i="7"/>
  <c r="I3" i="7" s="1"/>
  <c r="J2" i="7"/>
  <c r="K2" i="7" s="1"/>
  <c r="H2" i="7"/>
  <c r="I2" i="7" s="1"/>
  <c r="O50" i="6"/>
  <c r="N50" i="6"/>
  <c r="O49" i="6"/>
  <c r="N49" i="6"/>
  <c r="O48" i="6"/>
  <c r="N48" i="6"/>
  <c r="O47" i="6"/>
  <c r="N47" i="6"/>
  <c r="O46" i="6"/>
  <c r="N46" i="6"/>
  <c r="O45" i="6"/>
  <c r="N45" i="6"/>
  <c r="O44" i="6"/>
  <c r="N44" i="6"/>
  <c r="O43" i="6"/>
  <c r="N43" i="6"/>
  <c r="O42" i="6"/>
  <c r="N42" i="6"/>
  <c r="O41" i="6"/>
  <c r="N41" i="6"/>
  <c r="O40" i="6"/>
  <c r="N40" i="6"/>
  <c r="O39" i="6"/>
  <c r="N39" i="6"/>
  <c r="O38" i="6"/>
  <c r="N38" i="6"/>
  <c r="O37" i="6"/>
  <c r="N37" i="6"/>
  <c r="O36" i="6"/>
  <c r="N36" i="6"/>
  <c r="O35" i="6"/>
  <c r="N35" i="6"/>
  <c r="O34" i="6"/>
  <c r="N34" i="6"/>
  <c r="O33" i="6"/>
  <c r="N33" i="6"/>
  <c r="O32" i="6"/>
  <c r="N32" i="6"/>
  <c r="O31" i="6"/>
  <c r="N31" i="6"/>
  <c r="O30" i="6"/>
  <c r="N30" i="6"/>
  <c r="O29" i="6"/>
  <c r="N29" i="6"/>
  <c r="O28" i="6"/>
  <c r="N28" i="6"/>
  <c r="O27" i="6"/>
  <c r="N27" i="6"/>
  <c r="O26" i="6"/>
  <c r="N26" i="6"/>
  <c r="O25" i="6"/>
  <c r="N25" i="6"/>
  <c r="O24" i="6"/>
  <c r="N24" i="6"/>
  <c r="O23" i="6"/>
  <c r="N23" i="6"/>
  <c r="O22" i="6"/>
  <c r="N22" i="6"/>
  <c r="O21" i="6"/>
  <c r="N21" i="6"/>
  <c r="O20" i="6"/>
  <c r="N20" i="6"/>
  <c r="O19" i="6"/>
  <c r="N19" i="6"/>
  <c r="O18" i="6"/>
  <c r="N18" i="6"/>
  <c r="O17" i="6"/>
  <c r="N17" i="6"/>
  <c r="O16" i="6"/>
  <c r="N16" i="6"/>
  <c r="O15" i="6"/>
  <c r="N15" i="6"/>
  <c r="O14" i="6"/>
  <c r="N14" i="6"/>
  <c r="O13" i="6"/>
  <c r="N13" i="6"/>
  <c r="O12" i="6"/>
  <c r="N12" i="6"/>
  <c r="O11" i="6"/>
  <c r="N11" i="6"/>
  <c r="O10" i="6"/>
  <c r="N10" i="6"/>
  <c r="O9" i="6"/>
  <c r="N9" i="6"/>
  <c r="O8" i="6"/>
  <c r="N8" i="6"/>
  <c r="O7" i="6"/>
  <c r="N7" i="6"/>
  <c r="O6" i="6"/>
  <c r="N6" i="6"/>
  <c r="O5" i="6"/>
  <c r="N5" i="6"/>
  <c r="O4" i="6"/>
  <c r="N4" i="6"/>
  <c r="O3" i="6"/>
  <c r="N3" i="6"/>
  <c r="O2" i="6"/>
  <c r="N2" i="6"/>
  <c r="J32" i="6"/>
  <c r="K32" i="6" s="1"/>
  <c r="H32" i="6"/>
  <c r="I32" i="6" s="1"/>
  <c r="J31" i="6"/>
  <c r="K31" i="6" s="1"/>
  <c r="H31" i="6"/>
  <c r="I31" i="6" s="1"/>
  <c r="J30" i="6"/>
  <c r="K30" i="6" s="1"/>
  <c r="H30" i="6"/>
  <c r="I30" i="6" s="1"/>
  <c r="J29" i="6"/>
  <c r="K29" i="6" s="1"/>
  <c r="H29" i="6"/>
  <c r="I29" i="6" s="1"/>
  <c r="J28" i="6"/>
  <c r="K28" i="6" s="1"/>
  <c r="H28" i="6"/>
  <c r="I28" i="6" s="1"/>
  <c r="J27" i="6"/>
  <c r="K27" i="6" s="1"/>
  <c r="H27" i="6"/>
  <c r="I27" i="6" s="1"/>
  <c r="J26" i="6"/>
  <c r="K26" i="6" s="1"/>
  <c r="H26" i="6"/>
  <c r="I26" i="6" s="1"/>
  <c r="J25" i="6"/>
  <c r="K25" i="6" s="1"/>
  <c r="H25" i="6"/>
  <c r="I25" i="6" s="1"/>
  <c r="J24" i="6"/>
  <c r="K24" i="6" s="1"/>
  <c r="H24" i="6"/>
  <c r="I24" i="6" s="1"/>
  <c r="J23" i="6"/>
  <c r="K23" i="6" s="1"/>
  <c r="H23" i="6"/>
  <c r="I23" i="6" s="1"/>
  <c r="J22" i="6"/>
  <c r="K22" i="6" s="1"/>
  <c r="H22" i="6"/>
  <c r="I22" i="6" s="1"/>
  <c r="J21" i="6"/>
  <c r="K21" i="6" s="1"/>
  <c r="H21" i="6"/>
  <c r="I21" i="6" s="1"/>
  <c r="J20" i="6"/>
  <c r="K20" i="6" s="1"/>
  <c r="H20" i="6"/>
  <c r="I20" i="6" s="1"/>
  <c r="J19" i="6"/>
  <c r="K19" i="6" s="1"/>
  <c r="H19" i="6"/>
  <c r="I19" i="6" s="1"/>
  <c r="J18" i="6"/>
  <c r="K18" i="6" s="1"/>
  <c r="H18" i="6"/>
  <c r="I18" i="6" s="1"/>
  <c r="J17" i="6"/>
  <c r="K17" i="6" s="1"/>
  <c r="H17" i="6"/>
  <c r="I17" i="6" s="1"/>
  <c r="J16" i="6"/>
  <c r="K16" i="6" s="1"/>
  <c r="H16" i="6"/>
  <c r="I16" i="6" s="1"/>
  <c r="J15" i="6"/>
  <c r="K15" i="6" s="1"/>
  <c r="H15" i="6"/>
  <c r="I15" i="6" s="1"/>
  <c r="J14" i="6"/>
  <c r="K14" i="6" s="1"/>
  <c r="H14" i="6"/>
  <c r="I14" i="6" s="1"/>
  <c r="J13" i="6"/>
  <c r="K13" i="6" s="1"/>
  <c r="H13" i="6"/>
  <c r="I13" i="6" s="1"/>
  <c r="J12" i="6"/>
  <c r="K12" i="6" s="1"/>
  <c r="H12" i="6"/>
  <c r="I12" i="6" s="1"/>
  <c r="J11" i="6"/>
  <c r="K11" i="6" s="1"/>
  <c r="H11" i="6"/>
  <c r="I11" i="6" s="1"/>
  <c r="J10" i="6"/>
  <c r="K10" i="6" s="1"/>
  <c r="H10" i="6"/>
  <c r="I10" i="6" s="1"/>
  <c r="J9" i="6"/>
  <c r="K9" i="6" s="1"/>
  <c r="H9" i="6"/>
  <c r="I9" i="6" s="1"/>
  <c r="J8" i="6"/>
  <c r="K8" i="6" s="1"/>
  <c r="H8" i="6"/>
  <c r="I8" i="6" s="1"/>
  <c r="J7" i="6"/>
  <c r="K7" i="6" s="1"/>
  <c r="H7" i="6"/>
  <c r="I7" i="6" s="1"/>
  <c r="J6" i="6"/>
  <c r="K6" i="6" s="1"/>
  <c r="H6" i="6"/>
  <c r="I6" i="6" s="1"/>
  <c r="J5" i="6"/>
  <c r="K5" i="6" s="1"/>
  <c r="H5" i="6"/>
  <c r="I5" i="6" s="1"/>
  <c r="J4" i="6"/>
  <c r="K4" i="6" s="1"/>
  <c r="H4" i="6"/>
  <c r="I4" i="6" s="1"/>
  <c r="J3" i="6"/>
  <c r="K3" i="6" s="1"/>
  <c r="H3" i="6"/>
  <c r="I3" i="6" s="1"/>
  <c r="J2" i="6"/>
  <c r="K2" i="6" s="1"/>
  <c r="H2" i="6"/>
  <c r="I2" i="6" s="1"/>
  <c r="O50" i="5"/>
  <c r="N50" i="5"/>
  <c r="O49" i="5"/>
  <c r="N49" i="5"/>
  <c r="O48" i="5"/>
  <c r="N48" i="5"/>
  <c r="O47" i="5"/>
  <c r="N47" i="5"/>
  <c r="O46" i="5"/>
  <c r="N46" i="5"/>
  <c r="O45" i="5"/>
  <c r="N45" i="5"/>
  <c r="O44" i="5"/>
  <c r="N44" i="5"/>
  <c r="O43" i="5"/>
  <c r="N43" i="5"/>
  <c r="O42" i="5"/>
  <c r="N42" i="5"/>
  <c r="O41" i="5"/>
  <c r="N41" i="5"/>
  <c r="O40" i="5"/>
  <c r="N40" i="5"/>
  <c r="O39" i="5"/>
  <c r="N39" i="5"/>
  <c r="O38" i="5"/>
  <c r="N38" i="5"/>
  <c r="O37" i="5"/>
  <c r="N37" i="5"/>
  <c r="O36" i="5"/>
  <c r="N36" i="5"/>
  <c r="O35" i="5"/>
  <c r="N35" i="5"/>
  <c r="O34" i="5"/>
  <c r="N34" i="5"/>
  <c r="O33" i="5"/>
  <c r="N33" i="5"/>
  <c r="O32" i="5"/>
  <c r="N32" i="5"/>
  <c r="O31" i="5"/>
  <c r="N31" i="5"/>
  <c r="O30" i="5"/>
  <c r="N30" i="5"/>
  <c r="O29" i="5"/>
  <c r="N29" i="5"/>
  <c r="O28" i="5"/>
  <c r="N28" i="5"/>
  <c r="O27" i="5"/>
  <c r="N27" i="5"/>
  <c r="O26" i="5"/>
  <c r="N26" i="5"/>
  <c r="O25" i="5"/>
  <c r="N25" i="5"/>
  <c r="O24" i="5"/>
  <c r="N24" i="5"/>
  <c r="O23" i="5"/>
  <c r="N23" i="5"/>
  <c r="O22" i="5"/>
  <c r="N22" i="5"/>
  <c r="O21" i="5"/>
  <c r="N21" i="5"/>
  <c r="O20" i="5"/>
  <c r="N20" i="5"/>
  <c r="O19" i="5"/>
  <c r="N19" i="5"/>
  <c r="O18" i="5"/>
  <c r="N18" i="5"/>
  <c r="O17" i="5"/>
  <c r="N17" i="5"/>
  <c r="O16" i="5"/>
  <c r="N16" i="5"/>
  <c r="O15" i="5"/>
  <c r="N15" i="5"/>
  <c r="O14" i="5"/>
  <c r="N14" i="5"/>
  <c r="O13" i="5"/>
  <c r="N13" i="5"/>
  <c r="O12" i="5"/>
  <c r="N12" i="5"/>
  <c r="O11" i="5"/>
  <c r="N11" i="5"/>
  <c r="O10" i="5"/>
  <c r="N10" i="5"/>
  <c r="O9" i="5"/>
  <c r="N9" i="5"/>
  <c r="O8" i="5"/>
  <c r="N8" i="5"/>
  <c r="O7" i="5"/>
  <c r="N7" i="5"/>
  <c r="O6" i="5"/>
  <c r="N6" i="5"/>
  <c r="O5" i="5"/>
  <c r="N5" i="5"/>
  <c r="O4" i="5"/>
  <c r="N4" i="5"/>
  <c r="O3" i="5"/>
  <c r="N3" i="5"/>
  <c r="O2" i="5"/>
  <c r="N2" i="5"/>
  <c r="J32" i="5"/>
  <c r="K32" i="5" s="1"/>
  <c r="H32" i="5"/>
  <c r="I32" i="5" s="1"/>
  <c r="J31" i="5"/>
  <c r="K31" i="5" s="1"/>
  <c r="H31" i="5"/>
  <c r="I31" i="5" s="1"/>
  <c r="J30" i="5"/>
  <c r="K30" i="5" s="1"/>
  <c r="H30" i="5"/>
  <c r="I30" i="5" s="1"/>
  <c r="J29" i="5"/>
  <c r="K29" i="5" s="1"/>
  <c r="H29" i="5"/>
  <c r="I29" i="5" s="1"/>
  <c r="J28" i="5"/>
  <c r="K28" i="5" s="1"/>
  <c r="H28" i="5"/>
  <c r="I28" i="5" s="1"/>
  <c r="J27" i="5"/>
  <c r="K27" i="5" s="1"/>
  <c r="H27" i="5"/>
  <c r="I27" i="5" s="1"/>
  <c r="J26" i="5"/>
  <c r="K26" i="5" s="1"/>
  <c r="H26" i="5"/>
  <c r="I26" i="5" s="1"/>
  <c r="J25" i="5"/>
  <c r="K25" i="5" s="1"/>
  <c r="H25" i="5"/>
  <c r="I25" i="5" s="1"/>
  <c r="J24" i="5"/>
  <c r="K24" i="5" s="1"/>
  <c r="H24" i="5"/>
  <c r="I24" i="5" s="1"/>
  <c r="J23" i="5"/>
  <c r="K23" i="5" s="1"/>
  <c r="H23" i="5"/>
  <c r="I23" i="5" s="1"/>
  <c r="J22" i="5"/>
  <c r="K22" i="5" s="1"/>
  <c r="H22" i="5"/>
  <c r="I22" i="5" s="1"/>
  <c r="J21" i="5"/>
  <c r="K21" i="5" s="1"/>
  <c r="H21" i="5"/>
  <c r="I21" i="5" s="1"/>
  <c r="J20" i="5"/>
  <c r="K20" i="5" s="1"/>
  <c r="H20" i="5"/>
  <c r="I20" i="5" s="1"/>
  <c r="J19" i="5"/>
  <c r="K19" i="5" s="1"/>
  <c r="H19" i="5"/>
  <c r="I19" i="5" s="1"/>
  <c r="J18" i="5"/>
  <c r="K18" i="5" s="1"/>
  <c r="H18" i="5"/>
  <c r="I18" i="5" s="1"/>
  <c r="J17" i="5"/>
  <c r="K17" i="5" s="1"/>
  <c r="H17" i="5"/>
  <c r="I17" i="5" s="1"/>
  <c r="J16" i="5"/>
  <c r="K16" i="5" s="1"/>
  <c r="H16" i="5"/>
  <c r="I16" i="5" s="1"/>
  <c r="J15" i="5"/>
  <c r="K15" i="5" s="1"/>
  <c r="H15" i="5"/>
  <c r="I15" i="5" s="1"/>
  <c r="J14" i="5"/>
  <c r="K14" i="5" s="1"/>
  <c r="H14" i="5"/>
  <c r="I14" i="5" s="1"/>
  <c r="J13" i="5"/>
  <c r="K13" i="5" s="1"/>
  <c r="H13" i="5"/>
  <c r="I13" i="5" s="1"/>
  <c r="J12" i="5"/>
  <c r="K12" i="5" s="1"/>
  <c r="H12" i="5"/>
  <c r="I12" i="5" s="1"/>
  <c r="J11" i="5"/>
  <c r="K11" i="5" s="1"/>
  <c r="H11" i="5"/>
  <c r="I11" i="5" s="1"/>
  <c r="J10" i="5"/>
  <c r="K10" i="5" s="1"/>
  <c r="H10" i="5"/>
  <c r="I10" i="5" s="1"/>
  <c r="J9" i="5"/>
  <c r="K9" i="5" s="1"/>
  <c r="H9" i="5"/>
  <c r="I9" i="5" s="1"/>
  <c r="J8" i="5"/>
  <c r="K8" i="5" s="1"/>
  <c r="H8" i="5"/>
  <c r="I8" i="5" s="1"/>
  <c r="J7" i="5"/>
  <c r="K7" i="5" s="1"/>
  <c r="H7" i="5"/>
  <c r="I7" i="5" s="1"/>
  <c r="J6" i="5"/>
  <c r="K6" i="5" s="1"/>
  <c r="H6" i="5"/>
  <c r="I6" i="5" s="1"/>
  <c r="J5" i="5"/>
  <c r="K5" i="5" s="1"/>
  <c r="H5" i="5"/>
  <c r="I5" i="5" s="1"/>
  <c r="J4" i="5"/>
  <c r="K4" i="5" s="1"/>
  <c r="H4" i="5"/>
  <c r="I4" i="5" s="1"/>
  <c r="J3" i="5"/>
  <c r="K3" i="5" s="1"/>
  <c r="H3" i="5"/>
  <c r="I3" i="5" s="1"/>
  <c r="J2" i="5"/>
  <c r="K2" i="5" s="1"/>
  <c r="H2" i="5"/>
  <c r="I2" i="5" s="1"/>
  <c r="O50" i="4"/>
  <c r="N50" i="4"/>
  <c r="O49" i="4"/>
  <c r="N49" i="4"/>
  <c r="O48" i="4"/>
  <c r="N48" i="4"/>
  <c r="O47" i="4"/>
  <c r="N47" i="4"/>
  <c r="O46" i="4"/>
  <c r="N46" i="4"/>
  <c r="O45" i="4"/>
  <c r="N45" i="4"/>
  <c r="O44" i="4"/>
  <c r="N44" i="4"/>
  <c r="O43" i="4"/>
  <c r="N43" i="4"/>
  <c r="O42" i="4"/>
  <c r="N42" i="4"/>
  <c r="O41" i="4"/>
  <c r="N41" i="4"/>
  <c r="O40" i="4"/>
  <c r="N40" i="4"/>
  <c r="O39" i="4"/>
  <c r="N39" i="4"/>
  <c r="O38" i="4"/>
  <c r="N38" i="4"/>
  <c r="O37" i="4"/>
  <c r="N37" i="4"/>
  <c r="O36" i="4"/>
  <c r="N36" i="4"/>
  <c r="O35" i="4"/>
  <c r="N35" i="4"/>
  <c r="O34" i="4"/>
  <c r="N34" i="4"/>
  <c r="O33" i="4"/>
  <c r="N33" i="4"/>
  <c r="O32" i="4"/>
  <c r="N32" i="4"/>
  <c r="O31" i="4"/>
  <c r="N31" i="4"/>
  <c r="O30" i="4"/>
  <c r="N30" i="4"/>
  <c r="O29" i="4"/>
  <c r="N29" i="4"/>
  <c r="O28" i="4"/>
  <c r="N28" i="4"/>
  <c r="O27" i="4"/>
  <c r="N27" i="4"/>
  <c r="O26" i="4"/>
  <c r="N26" i="4"/>
  <c r="O25" i="4"/>
  <c r="N25" i="4"/>
  <c r="O24" i="4"/>
  <c r="N24" i="4"/>
  <c r="O23" i="4"/>
  <c r="N23" i="4"/>
  <c r="O22" i="4"/>
  <c r="N22" i="4"/>
  <c r="O21" i="4"/>
  <c r="N21" i="4"/>
  <c r="O20" i="4"/>
  <c r="N20" i="4"/>
  <c r="O19" i="4"/>
  <c r="N19" i="4"/>
  <c r="O18" i="4"/>
  <c r="N18" i="4"/>
  <c r="O17" i="4"/>
  <c r="N17" i="4"/>
  <c r="O16" i="4"/>
  <c r="N16" i="4"/>
  <c r="O15" i="4"/>
  <c r="N15" i="4"/>
  <c r="O14" i="4"/>
  <c r="N14" i="4"/>
  <c r="O13" i="4"/>
  <c r="N13" i="4"/>
  <c r="O12" i="4"/>
  <c r="N12" i="4"/>
  <c r="O11" i="4"/>
  <c r="N11" i="4"/>
  <c r="O10" i="4"/>
  <c r="N10" i="4"/>
  <c r="O9" i="4"/>
  <c r="N9" i="4"/>
  <c r="O8" i="4"/>
  <c r="N8" i="4"/>
  <c r="O7" i="4"/>
  <c r="N7" i="4"/>
  <c r="O6" i="4"/>
  <c r="N6" i="4"/>
  <c r="O5" i="4"/>
  <c r="N5" i="4"/>
  <c r="O4" i="4"/>
  <c r="N4" i="4"/>
  <c r="O3" i="4"/>
  <c r="N3" i="4"/>
  <c r="O2" i="4"/>
  <c r="N2" i="4"/>
  <c r="J32" i="4"/>
  <c r="K32" i="4" s="1"/>
  <c r="H32" i="4"/>
  <c r="I32" i="4" s="1"/>
  <c r="J31" i="4"/>
  <c r="K31" i="4" s="1"/>
  <c r="H31" i="4"/>
  <c r="I31" i="4" s="1"/>
  <c r="J30" i="4"/>
  <c r="K30" i="4" s="1"/>
  <c r="H30" i="4"/>
  <c r="I30" i="4" s="1"/>
  <c r="J29" i="4"/>
  <c r="K29" i="4" s="1"/>
  <c r="H29" i="4"/>
  <c r="I29" i="4" s="1"/>
  <c r="J28" i="4"/>
  <c r="K28" i="4" s="1"/>
  <c r="H28" i="4"/>
  <c r="I28" i="4" s="1"/>
  <c r="J27" i="4"/>
  <c r="K27" i="4" s="1"/>
  <c r="H27" i="4"/>
  <c r="I27" i="4" s="1"/>
  <c r="J26" i="4"/>
  <c r="K26" i="4" s="1"/>
  <c r="H26" i="4"/>
  <c r="I26" i="4" s="1"/>
  <c r="J25" i="4"/>
  <c r="K25" i="4" s="1"/>
  <c r="H25" i="4"/>
  <c r="I25" i="4" s="1"/>
  <c r="J24" i="4"/>
  <c r="K24" i="4" s="1"/>
  <c r="H24" i="4"/>
  <c r="I24" i="4" s="1"/>
  <c r="J23" i="4"/>
  <c r="K23" i="4" s="1"/>
  <c r="H23" i="4"/>
  <c r="I23" i="4" s="1"/>
  <c r="J22" i="4"/>
  <c r="K22" i="4" s="1"/>
  <c r="H22" i="4"/>
  <c r="I22" i="4" s="1"/>
  <c r="J21" i="4"/>
  <c r="K21" i="4" s="1"/>
  <c r="H21" i="4"/>
  <c r="I21" i="4" s="1"/>
  <c r="J20" i="4"/>
  <c r="K20" i="4" s="1"/>
  <c r="H20" i="4"/>
  <c r="I20" i="4" s="1"/>
  <c r="J19" i="4"/>
  <c r="K19" i="4" s="1"/>
  <c r="H19" i="4"/>
  <c r="I19" i="4" s="1"/>
  <c r="J18" i="4"/>
  <c r="K18" i="4" s="1"/>
  <c r="H18" i="4"/>
  <c r="I18" i="4" s="1"/>
  <c r="J17" i="4"/>
  <c r="K17" i="4" s="1"/>
  <c r="H17" i="4"/>
  <c r="I17" i="4" s="1"/>
  <c r="J16" i="4"/>
  <c r="K16" i="4" s="1"/>
  <c r="H16" i="4"/>
  <c r="I16" i="4" s="1"/>
  <c r="J15" i="4"/>
  <c r="K15" i="4" s="1"/>
  <c r="H15" i="4"/>
  <c r="I15" i="4" s="1"/>
  <c r="J14" i="4"/>
  <c r="K14" i="4" s="1"/>
  <c r="H14" i="4"/>
  <c r="I14" i="4" s="1"/>
  <c r="J13" i="4"/>
  <c r="K13" i="4" s="1"/>
  <c r="H13" i="4"/>
  <c r="I13" i="4" s="1"/>
  <c r="J12" i="4"/>
  <c r="K12" i="4" s="1"/>
  <c r="H12" i="4"/>
  <c r="I12" i="4" s="1"/>
  <c r="J11" i="4"/>
  <c r="K11" i="4" s="1"/>
  <c r="H11" i="4"/>
  <c r="I11" i="4" s="1"/>
  <c r="J10" i="4"/>
  <c r="K10" i="4" s="1"/>
  <c r="H10" i="4"/>
  <c r="I10" i="4" s="1"/>
  <c r="J9" i="4"/>
  <c r="K9" i="4" s="1"/>
  <c r="H9" i="4"/>
  <c r="I9" i="4" s="1"/>
  <c r="J8" i="4"/>
  <c r="K8" i="4" s="1"/>
  <c r="H8" i="4"/>
  <c r="I8" i="4" s="1"/>
  <c r="J7" i="4"/>
  <c r="K7" i="4" s="1"/>
  <c r="H7" i="4"/>
  <c r="I7" i="4" s="1"/>
  <c r="J6" i="4"/>
  <c r="K6" i="4" s="1"/>
  <c r="H6" i="4"/>
  <c r="I6" i="4" s="1"/>
  <c r="J5" i="4"/>
  <c r="K5" i="4" s="1"/>
  <c r="H5" i="4"/>
  <c r="I5" i="4" s="1"/>
  <c r="J4" i="4"/>
  <c r="K4" i="4" s="1"/>
  <c r="H4" i="4"/>
  <c r="I4" i="4" s="1"/>
  <c r="J3" i="4"/>
  <c r="K3" i="4" s="1"/>
  <c r="H3" i="4"/>
  <c r="I3" i="4" s="1"/>
  <c r="J2" i="4"/>
  <c r="K2" i="4" s="1"/>
  <c r="H2" i="4"/>
  <c r="I2" i="4" s="1"/>
  <c r="O50" i="3"/>
  <c r="N50" i="3"/>
  <c r="O49" i="3"/>
  <c r="N49" i="3"/>
  <c r="O48" i="3"/>
  <c r="N48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  <c r="J32" i="3"/>
  <c r="K32" i="3" s="1"/>
  <c r="H32" i="3"/>
  <c r="I32" i="3" s="1"/>
  <c r="J31" i="3"/>
  <c r="K31" i="3" s="1"/>
  <c r="H31" i="3"/>
  <c r="I31" i="3" s="1"/>
  <c r="J30" i="3"/>
  <c r="K30" i="3" s="1"/>
  <c r="H30" i="3"/>
  <c r="I30" i="3" s="1"/>
  <c r="J29" i="3"/>
  <c r="K29" i="3" s="1"/>
  <c r="H29" i="3"/>
  <c r="I29" i="3" s="1"/>
  <c r="J28" i="3"/>
  <c r="K28" i="3" s="1"/>
  <c r="H28" i="3"/>
  <c r="I28" i="3" s="1"/>
  <c r="J27" i="3"/>
  <c r="K27" i="3" s="1"/>
  <c r="H27" i="3"/>
  <c r="I27" i="3" s="1"/>
  <c r="J26" i="3"/>
  <c r="K26" i="3" s="1"/>
  <c r="H26" i="3"/>
  <c r="I26" i="3" s="1"/>
  <c r="J25" i="3"/>
  <c r="K25" i="3" s="1"/>
  <c r="H25" i="3"/>
  <c r="I25" i="3" s="1"/>
  <c r="J24" i="3"/>
  <c r="K24" i="3" s="1"/>
  <c r="H24" i="3"/>
  <c r="I24" i="3" s="1"/>
  <c r="J23" i="3"/>
  <c r="K23" i="3" s="1"/>
  <c r="H23" i="3"/>
  <c r="I23" i="3" s="1"/>
  <c r="J22" i="3"/>
  <c r="K22" i="3" s="1"/>
  <c r="H22" i="3"/>
  <c r="I22" i="3" s="1"/>
  <c r="J21" i="3"/>
  <c r="K21" i="3" s="1"/>
  <c r="H21" i="3"/>
  <c r="I21" i="3" s="1"/>
  <c r="J20" i="3"/>
  <c r="K20" i="3" s="1"/>
  <c r="H20" i="3"/>
  <c r="I20" i="3" s="1"/>
  <c r="J19" i="3"/>
  <c r="K19" i="3" s="1"/>
  <c r="H19" i="3"/>
  <c r="I19" i="3" s="1"/>
  <c r="J18" i="3"/>
  <c r="K18" i="3" s="1"/>
  <c r="H18" i="3"/>
  <c r="I18" i="3" s="1"/>
  <c r="J17" i="3"/>
  <c r="K17" i="3" s="1"/>
  <c r="H17" i="3"/>
  <c r="I17" i="3" s="1"/>
  <c r="J16" i="3"/>
  <c r="K16" i="3" s="1"/>
  <c r="H16" i="3"/>
  <c r="I16" i="3" s="1"/>
  <c r="J15" i="3"/>
  <c r="K15" i="3" s="1"/>
  <c r="H15" i="3"/>
  <c r="I15" i="3" s="1"/>
  <c r="J14" i="3"/>
  <c r="K14" i="3" s="1"/>
  <c r="H14" i="3"/>
  <c r="I14" i="3" s="1"/>
  <c r="J13" i="3"/>
  <c r="K13" i="3" s="1"/>
  <c r="H13" i="3"/>
  <c r="I13" i="3" s="1"/>
  <c r="J12" i="3"/>
  <c r="K12" i="3" s="1"/>
  <c r="H12" i="3"/>
  <c r="I12" i="3" s="1"/>
  <c r="J11" i="3"/>
  <c r="K11" i="3" s="1"/>
  <c r="H11" i="3"/>
  <c r="I11" i="3" s="1"/>
  <c r="J10" i="3"/>
  <c r="K10" i="3" s="1"/>
  <c r="H10" i="3"/>
  <c r="I10" i="3" s="1"/>
  <c r="J9" i="3"/>
  <c r="K9" i="3" s="1"/>
  <c r="H9" i="3"/>
  <c r="I9" i="3" s="1"/>
  <c r="J8" i="3"/>
  <c r="K8" i="3" s="1"/>
  <c r="H8" i="3"/>
  <c r="I8" i="3" s="1"/>
  <c r="J7" i="3"/>
  <c r="K7" i="3" s="1"/>
  <c r="H7" i="3"/>
  <c r="I7" i="3" s="1"/>
  <c r="J6" i="3"/>
  <c r="K6" i="3" s="1"/>
  <c r="H6" i="3"/>
  <c r="I6" i="3" s="1"/>
  <c r="J5" i="3"/>
  <c r="K5" i="3" s="1"/>
  <c r="H5" i="3"/>
  <c r="I5" i="3" s="1"/>
  <c r="J4" i="3"/>
  <c r="K4" i="3" s="1"/>
  <c r="H4" i="3"/>
  <c r="I4" i="3" s="1"/>
  <c r="J3" i="3"/>
  <c r="K3" i="3" s="1"/>
  <c r="H3" i="3"/>
  <c r="I3" i="3" s="1"/>
  <c r="J2" i="3"/>
  <c r="K2" i="3" s="1"/>
  <c r="H2" i="3"/>
  <c r="I2" i="3" s="1"/>
  <c r="O50" i="2"/>
  <c r="N50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3" i="2"/>
  <c r="N3" i="2"/>
  <c r="O2" i="2"/>
  <c r="N2" i="2"/>
  <c r="J32" i="2"/>
  <c r="K32" i="2" s="1"/>
  <c r="H32" i="2"/>
  <c r="I32" i="2" s="1"/>
  <c r="J31" i="2"/>
  <c r="K31" i="2" s="1"/>
  <c r="H31" i="2"/>
  <c r="I31" i="2" s="1"/>
  <c r="J30" i="2"/>
  <c r="K30" i="2" s="1"/>
  <c r="H30" i="2"/>
  <c r="I30" i="2" s="1"/>
  <c r="J29" i="2"/>
  <c r="K29" i="2" s="1"/>
  <c r="H29" i="2"/>
  <c r="I29" i="2" s="1"/>
  <c r="J28" i="2"/>
  <c r="K28" i="2" s="1"/>
  <c r="H28" i="2"/>
  <c r="I28" i="2" s="1"/>
  <c r="J27" i="2"/>
  <c r="K27" i="2" s="1"/>
  <c r="H27" i="2"/>
  <c r="I27" i="2" s="1"/>
  <c r="J26" i="2"/>
  <c r="K26" i="2" s="1"/>
  <c r="H26" i="2"/>
  <c r="I26" i="2" s="1"/>
  <c r="J25" i="2"/>
  <c r="K25" i="2" s="1"/>
  <c r="H25" i="2"/>
  <c r="I25" i="2" s="1"/>
  <c r="J24" i="2"/>
  <c r="K24" i="2" s="1"/>
  <c r="H24" i="2"/>
  <c r="I24" i="2" s="1"/>
  <c r="J23" i="2"/>
  <c r="K23" i="2" s="1"/>
  <c r="H23" i="2"/>
  <c r="I23" i="2" s="1"/>
  <c r="J22" i="2"/>
  <c r="K22" i="2" s="1"/>
  <c r="H22" i="2"/>
  <c r="I22" i="2" s="1"/>
  <c r="J21" i="2"/>
  <c r="K21" i="2" s="1"/>
  <c r="H21" i="2"/>
  <c r="I21" i="2" s="1"/>
  <c r="J20" i="2"/>
  <c r="K20" i="2" s="1"/>
  <c r="H20" i="2"/>
  <c r="I20" i="2" s="1"/>
  <c r="J19" i="2"/>
  <c r="K19" i="2" s="1"/>
  <c r="H19" i="2"/>
  <c r="I19" i="2" s="1"/>
  <c r="J18" i="2"/>
  <c r="K18" i="2" s="1"/>
  <c r="H18" i="2"/>
  <c r="I18" i="2" s="1"/>
  <c r="J17" i="2"/>
  <c r="K17" i="2" s="1"/>
  <c r="H17" i="2"/>
  <c r="I17" i="2" s="1"/>
  <c r="J16" i="2"/>
  <c r="K16" i="2" s="1"/>
  <c r="H16" i="2"/>
  <c r="I16" i="2" s="1"/>
  <c r="J15" i="2"/>
  <c r="K15" i="2" s="1"/>
  <c r="H15" i="2"/>
  <c r="I15" i="2" s="1"/>
  <c r="J14" i="2"/>
  <c r="K14" i="2" s="1"/>
  <c r="H14" i="2"/>
  <c r="I14" i="2" s="1"/>
  <c r="J13" i="2"/>
  <c r="K13" i="2" s="1"/>
  <c r="H13" i="2"/>
  <c r="I13" i="2" s="1"/>
  <c r="J12" i="2"/>
  <c r="K12" i="2" s="1"/>
  <c r="H12" i="2"/>
  <c r="I12" i="2" s="1"/>
  <c r="J11" i="2"/>
  <c r="K11" i="2" s="1"/>
  <c r="H11" i="2"/>
  <c r="I11" i="2" s="1"/>
  <c r="J10" i="2"/>
  <c r="K10" i="2" s="1"/>
  <c r="H10" i="2"/>
  <c r="I10" i="2" s="1"/>
  <c r="J9" i="2"/>
  <c r="K9" i="2" s="1"/>
  <c r="H9" i="2"/>
  <c r="I9" i="2" s="1"/>
  <c r="J8" i="2"/>
  <c r="K8" i="2" s="1"/>
  <c r="H8" i="2"/>
  <c r="I8" i="2" s="1"/>
  <c r="J7" i="2"/>
  <c r="K7" i="2" s="1"/>
  <c r="H7" i="2"/>
  <c r="I7" i="2" s="1"/>
  <c r="J6" i="2"/>
  <c r="K6" i="2" s="1"/>
  <c r="H6" i="2"/>
  <c r="I6" i="2" s="1"/>
  <c r="J5" i="2"/>
  <c r="K5" i="2" s="1"/>
  <c r="H5" i="2"/>
  <c r="I5" i="2" s="1"/>
  <c r="J4" i="2"/>
  <c r="K4" i="2" s="1"/>
  <c r="H4" i="2"/>
  <c r="I4" i="2" s="1"/>
  <c r="J3" i="2"/>
  <c r="K3" i="2" s="1"/>
  <c r="H3" i="2"/>
  <c r="I3" i="2" s="1"/>
  <c r="J2" i="2"/>
  <c r="K2" i="2" s="1"/>
  <c r="H2" i="2"/>
  <c r="I2" i="2" s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  <c r="J32" i="1"/>
  <c r="K32" i="1" s="1"/>
  <c r="H32" i="1"/>
  <c r="I32" i="1" s="1"/>
  <c r="J31" i="1"/>
  <c r="K31" i="1" s="1"/>
  <c r="H31" i="1"/>
  <c r="I31" i="1" s="1"/>
  <c r="J30" i="1"/>
  <c r="K30" i="1" s="1"/>
  <c r="H30" i="1"/>
  <c r="I30" i="1" s="1"/>
  <c r="J29" i="1"/>
  <c r="K29" i="1" s="1"/>
  <c r="H29" i="1"/>
  <c r="I29" i="1" s="1"/>
  <c r="J28" i="1"/>
  <c r="K28" i="1" s="1"/>
  <c r="H28" i="1"/>
  <c r="I28" i="1" s="1"/>
  <c r="J27" i="1"/>
  <c r="K27" i="1" s="1"/>
  <c r="H27" i="1"/>
  <c r="I27" i="1" s="1"/>
  <c r="J26" i="1"/>
  <c r="K26" i="1" s="1"/>
  <c r="H26" i="1"/>
  <c r="I26" i="1" s="1"/>
  <c r="J25" i="1"/>
  <c r="K25" i="1" s="1"/>
  <c r="H25" i="1"/>
  <c r="I25" i="1" s="1"/>
  <c r="J24" i="1"/>
  <c r="K24" i="1" s="1"/>
  <c r="H24" i="1"/>
  <c r="I24" i="1" s="1"/>
  <c r="J23" i="1"/>
  <c r="K23" i="1" s="1"/>
  <c r="H23" i="1"/>
  <c r="I23" i="1" s="1"/>
  <c r="J22" i="1"/>
  <c r="K22" i="1" s="1"/>
  <c r="H22" i="1"/>
  <c r="I22" i="1" s="1"/>
  <c r="J21" i="1"/>
  <c r="K21" i="1" s="1"/>
  <c r="H21" i="1"/>
  <c r="I21" i="1" s="1"/>
  <c r="J20" i="1"/>
  <c r="K20" i="1" s="1"/>
  <c r="H20" i="1"/>
  <c r="I20" i="1" s="1"/>
  <c r="J19" i="1"/>
  <c r="K19" i="1" s="1"/>
  <c r="H19" i="1"/>
  <c r="I19" i="1" s="1"/>
  <c r="J18" i="1"/>
  <c r="K18" i="1" s="1"/>
  <c r="H18" i="1"/>
  <c r="I18" i="1" s="1"/>
  <c r="J17" i="1"/>
  <c r="K17" i="1" s="1"/>
  <c r="H17" i="1"/>
  <c r="I17" i="1" s="1"/>
  <c r="J16" i="1"/>
  <c r="K16" i="1" s="1"/>
  <c r="H16" i="1"/>
  <c r="I16" i="1" s="1"/>
  <c r="J15" i="1"/>
  <c r="K15" i="1" s="1"/>
  <c r="H15" i="1"/>
  <c r="I15" i="1" s="1"/>
  <c r="J14" i="1"/>
  <c r="K14" i="1" s="1"/>
  <c r="H14" i="1"/>
  <c r="I14" i="1" s="1"/>
  <c r="J13" i="1"/>
  <c r="K13" i="1" s="1"/>
  <c r="H13" i="1"/>
  <c r="I13" i="1" s="1"/>
  <c r="J12" i="1"/>
  <c r="K12" i="1" s="1"/>
  <c r="H12" i="1"/>
  <c r="I12" i="1" s="1"/>
  <c r="J11" i="1"/>
  <c r="K11" i="1" s="1"/>
  <c r="H11" i="1"/>
  <c r="I11" i="1" s="1"/>
  <c r="J10" i="1"/>
  <c r="K10" i="1" s="1"/>
  <c r="H10" i="1"/>
  <c r="I10" i="1" s="1"/>
  <c r="J9" i="1"/>
  <c r="K9" i="1" s="1"/>
  <c r="H9" i="1"/>
  <c r="I9" i="1" s="1"/>
  <c r="J8" i="1"/>
  <c r="K8" i="1" s="1"/>
  <c r="H8" i="1"/>
  <c r="I8" i="1" s="1"/>
  <c r="J7" i="1"/>
  <c r="K7" i="1" s="1"/>
  <c r="H7" i="1"/>
  <c r="I7" i="1" s="1"/>
  <c r="J6" i="1"/>
  <c r="K6" i="1" s="1"/>
  <c r="H6" i="1"/>
  <c r="I6" i="1" s="1"/>
  <c r="J5" i="1"/>
  <c r="K5" i="1" s="1"/>
  <c r="H5" i="1"/>
  <c r="I5" i="1" s="1"/>
  <c r="J4" i="1"/>
  <c r="K4" i="1" s="1"/>
  <c r="H4" i="1"/>
  <c r="I4" i="1" s="1"/>
  <c r="J3" i="1"/>
  <c r="K3" i="1" s="1"/>
  <c r="H3" i="1"/>
  <c r="I3" i="1" s="1"/>
  <c r="J2" i="1"/>
  <c r="K2" i="1" s="1"/>
  <c r="H2" i="1"/>
  <c r="I2" i="1" s="1"/>
  <c r="I34" i="19" l="1"/>
  <c r="K35" i="19"/>
  <c r="K35" i="18"/>
  <c r="I34" i="18"/>
  <c r="K35" i="17"/>
  <c r="I34" i="17"/>
  <c r="K35" i="16"/>
  <c r="I34" i="16"/>
  <c r="I34" i="15"/>
  <c r="K35" i="15"/>
  <c r="I34" i="14"/>
  <c r="K35" i="14"/>
  <c r="K35" i="13"/>
  <c r="I34" i="13"/>
  <c r="K35" i="12"/>
  <c r="I34" i="12"/>
  <c r="I34" i="11"/>
  <c r="K35" i="11"/>
  <c r="K35" i="10"/>
  <c r="I34" i="10"/>
  <c r="K35" i="9"/>
  <c r="I34" i="9"/>
  <c r="I34" i="8"/>
  <c r="K35" i="8"/>
  <c r="K35" i="7"/>
  <c r="I34" i="7"/>
  <c r="K35" i="6"/>
  <c r="I34" i="6"/>
  <c r="I34" i="5"/>
  <c r="K35" i="5"/>
  <c r="K35" i="4"/>
  <c r="I34" i="4"/>
  <c r="K35" i="2"/>
  <c r="I34" i="2"/>
  <c r="I34" i="3"/>
  <c r="K35" i="3"/>
  <c r="I34" i="1"/>
  <c r="K35" i="1"/>
</calcChain>
</file>

<file path=xl/sharedStrings.xml><?xml version="1.0" encoding="utf-8"?>
<sst xmlns="http://schemas.openxmlformats.org/spreadsheetml/2006/main" count="475" uniqueCount="24">
  <si>
    <r>
      <t>n</t>
    </r>
    <r>
      <rPr>
        <vertAlign val="subscript"/>
        <sz val="11"/>
        <color indexed="48"/>
        <rFont val="Calibri"/>
        <family val="2"/>
        <scheme val="minor"/>
      </rPr>
      <t>Tot</t>
    </r>
    <r>
      <rPr>
        <sz val="11"/>
        <color indexed="48"/>
        <rFont val="Calibri"/>
        <family val="2"/>
        <scheme val="minor"/>
      </rPr>
      <t xml:space="preserve"> =</t>
    </r>
  </si>
  <si>
    <r>
      <t>n</t>
    </r>
    <r>
      <rPr>
        <vertAlign val="subscript"/>
        <sz val="11"/>
        <color indexed="48"/>
        <rFont val="Calibri"/>
        <family val="2"/>
        <scheme val="minor"/>
      </rPr>
      <t>Res</t>
    </r>
    <r>
      <rPr>
        <sz val="11"/>
        <color indexed="48"/>
        <rFont val="Calibri"/>
        <family val="2"/>
        <scheme val="minor"/>
      </rPr>
      <t>=</t>
    </r>
  </si>
  <si>
    <r>
      <t>P</t>
    </r>
    <r>
      <rPr>
        <vertAlign val="subscript"/>
        <sz val="11"/>
        <color indexed="12"/>
        <rFont val="Calibri"/>
        <family val="2"/>
        <scheme val="minor"/>
      </rPr>
      <t>aq</t>
    </r>
    <r>
      <rPr>
        <sz val="11"/>
        <color indexed="12"/>
        <rFont val="Calibri"/>
        <family val="2"/>
        <scheme val="minor"/>
      </rPr>
      <t>_1</t>
    </r>
  </si>
  <si>
    <r>
      <t>ΔE</t>
    </r>
    <r>
      <rPr>
        <vertAlign val="subscript"/>
        <sz val="11"/>
        <color indexed="12"/>
        <rFont val="Calibri"/>
        <family val="2"/>
        <scheme val="minor"/>
      </rPr>
      <t>0</t>
    </r>
    <r>
      <rPr>
        <sz val="11"/>
        <color indexed="12"/>
        <rFont val="Calibri"/>
        <family val="2"/>
        <scheme val="minor"/>
      </rPr>
      <t>_1</t>
    </r>
  </si>
  <si>
    <r>
      <t>z</t>
    </r>
    <r>
      <rPr>
        <vertAlign val="subscript"/>
        <sz val="11"/>
        <color indexed="12"/>
        <rFont val="Calibri"/>
        <family val="2"/>
        <scheme val="minor"/>
      </rPr>
      <t>mid</t>
    </r>
    <r>
      <rPr>
        <sz val="11"/>
        <color indexed="12"/>
        <rFont val="Calibri"/>
        <family val="2"/>
        <scheme val="minor"/>
      </rPr>
      <t>_1</t>
    </r>
  </si>
  <si>
    <t>n_1</t>
  </si>
  <si>
    <r>
      <t>P</t>
    </r>
    <r>
      <rPr>
        <vertAlign val="subscript"/>
        <sz val="11"/>
        <color indexed="10"/>
        <rFont val="Calibri"/>
        <family val="2"/>
        <scheme val="minor"/>
      </rPr>
      <t>aq</t>
    </r>
    <r>
      <rPr>
        <sz val="11"/>
        <color indexed="10"/>
        <rFont val="Calibri"/>
        <family val="2"/>
        <scheme val="minor"/>
      </rPr>
      <t>_2</t>
    </r>
  </si>
  <si>
    <r>
      <t>ΔE</t>
    </r>
    <r>
      <rPr>
        <vertAlign val="subscript"/>
        <sz val="11"/>
        <color indexed="10"/>
        <rFont val="Calibri"/>
        <family val="2"/>
        <scheme val="minor"/>
      </rPr>
      <t>0</t>
    </r>
    <r>
      <rPr>
        <sz val="11"/>
        <color indexed="10"/>
        <rFont val="Calibri"/>
        <family val="2"/>
        <scheme val="minor"/>
      </rPr>
      <t>_2</t>
    </r>
  </si>
  <si>
    <r>
      <t>z</t>
    </r>
    <r>
      <rPr>
        <vertAlign val="subscript"/>
        <sz val="11"/>
        <color indexed="10"/>
        <rFont val="Calibri"/>
        <family val="2"/>
        <scheme val="minor"/>
      </rPr>
      <t>mid</t>
    </r>
    <r>
      <rPr>
        <sz val="11"/>
        <color indexed="10"/>
        <rFont val="Calibri"/>
        <family val="2"/>
        <scheme val="minor"/>
      </rPr>
      <t>_2</t>
    </r>
  </si>
  <si>
    <t>n_2</t>
  </si>
  <si>
    <t>binMid (Å)</t>
  </si>
  <si>
    <t>n_res,bin</t>
  </si>
  <si>
    <t>n_bin</t>
  </si>
  <si>
    <t>p_res,bin (DATA)</t>
  </si>
  <si>
    <t>p_z_1 (FIT)</t>
  </si>
  <si>
    <t>SqLgDif Err 1</t>
  </si>
  <si>
    <t>p_z_2 (FIT)</t>
  </si>
  <si>
    <t>SqLgDif Err 2</t>
  </si>
  <si>
    <t>O. Leaflet</t>
  </si>
  <si>
    <t>I. Leaflet</t>
  </si>
  <si>
    <t>Sqrt(Avg):</t>
  </si>
  <si>
    <t>z</t>
  </si>
  <si>
    <t>Pz_Outer</t>
  </si>
  <si>
    <t>Pz_Inner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</si>
</sst>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48"/>
      <name val="Calibri"/>
      <family val="2"/>
      <scheme val="minor"/>
    </font>
    <font>
      <vertAlign val="subscript"/>
      <sz val="11"/>
      <color indexed="48"/>
      <name val="Calibri"/>
      <family val="2"/>
      <scheme val="minor"/>
    </font>
    <font>
      <sz val="11"/>
      <color indexed="12"/>
      <name val="Calibri"/>
      <family val="2"/>
      <scheme val="minor"/>
    </font>
    <font>
      <vertAlign val="subscript"/>
      <sz val="11"/>
      <color indexed="12"/>
      <name val="Calibri"/>
      <family val="2"/>
      <scheme val="minor"/>
    </font>
    <font>
      <sz val="11"/>
      <color indexed="10"/>
      <name val="Calibri"/>
      <family val="2"/>
      <scheme val="minor"/>
    </font>
    <font>
      <vertAlign val="subscript"/>
      <sz val="11"/>
      <color indexed="10"/>
      <name val="Calibri"/>
      <family val="2"/>
      <scheme val="minor"/>
    </font>
    <font>
      <sz val="11"/>
      <color rgb="FFF60007"/>
      <name val="Calibri"/>
      <family val="2"/>
      <scheme val="minor"/>
    </font>
    <font>
      <sz val="11"/>
      <color rgb="FFEE000F"/>
      <name val="Calibri"/>
      <family val="2"/>
      <scheme val="minor"/>
    </font>
    <font>
      <sz val="11"/>
      <color rgb="FFE50016"/>
      <name val="Calibri"/>
      <family val="2"/>
      <scheme val="minor"/>
    </font>
    <font>
      <sz val="11"/>
      <color rgb="FFDD001E"/>
      <name val="Calibri"/>
      <family val="2"/>
      <scheme val="minor"/>
    </font>
    <font>
      <sz val="11"/>
      <color rgb="FFD40025"/>
      <name val="Calibri"/>
      <family val="2"/>
      <scheme val="minor"/>
    </font>
    <font>
      <sz val="11"/>
      <color rgb="FFCC002D"/>
      <name val="Calibri"/>
      <family val="2"/>
      <scheme val="minor"/>
    </font>
    <font>
      <sz val="11"/>
      <color rgb="FFC30034"/>
      <name val="Calibri"/>
      <family val="2"/>
      <scheme val="minor"/>
    </font>
    <font>
      <sz val="11"/>
      <color rgb="FFBB003C"/>
      <name val="Calibri"/>
      <family val="2"/>
      <scheme val="minor"/>
    </font>
    <font>
      <sz val="11"/>
      <color rgb="FFB20043"/>
      <name val="Calibri"/>
      <family val="2"/>
      <scheme val="minor"/>
    </font>
    <font>
      <sz val="11"/>
      <color rgb="FFAA004B"/>
      <name val="Calibri"/>
      <family val="2"/>
      <scheme val="minor"/>
    </font>
    <font>
      <sz val="11"/>
      <color rgb="FFA10052"/>
      <name val="Calibri"/>
      <family val="2"/>
      <scheme val="minor"/>
    </font>
    <font>
      <sz val="11"/>
      <color rgb="FF99005A"/>
      <name val="Calibri"/>
      <family val="2"/>
      <scheme val="minor"/>
    </font>
    <font>
      <sz val="11"/>
      <color rgb="FF900061"/>
      <name val="Calibri"/>
      <family val="2"/>
      <scheme val="minor"/>
    </font>
    <font>
      <sz val="11"/>
      <color rgb="FF880069"/>
      <name val="Calibri"/>
      <family val="2"/>
      <scheme val="minor"/>
    </font>
    <font>
      <sz val="11"/>
      <color rgb="FF7F0070"/>
      <name val="Calibri"/>
      <family val="2"/>
      <scheme val="minor"/>
    </font>
    <font>
      <sz val="11"/>
      <color rgb="FF770078"/>
      <name val="Calibri"/>
      <family val="2"/>
      <scheme val="minor"/>
    </font>
    <font>
      <sz val="11"/>
      <color rgb="FF6E007F"/>
      <name val="Calibri"/>
      <family val="2"/>
      <scheme val="minor"/>
    </font>
    <font>
      <sz val="11"/>
      <color rgb="FF660087"/>
      <name val="Calibri"/>
      <family val="2"/>
      <scheme val="minor"/>
    </font>
    <font>
      <sz val="11"/>
      <color rgb="FF5D008E"/>
      <name val="Calibri"/>
      <family val="2"/>
      <scheme val="minor"/>
    </font>
    <font>
      <sz val="11"/>
      <color rgb="FF550096"/>
      <name val="Calibri"/>
      <family val="2"/>
      <scheme val="minor"/>
    </font>
    <font>
      <sz val="11"/>
      <color rgb="FF4C009D"/>
      <name val="Calibri"/>
      <family val="2"/>
      <scheme val="minor"/>
    </font>
    <font>
      <sz val="11"/>
      <color rgb="FF4400A5"/>
      <name val="Calibri"/>
      <family val="2"/>
      <scheme val="minor"/>
    </font>
    <font>
      <sz val="11"/>
      <color rgb="FF3B00AC"/>
      <name val="Calibri"/>
      <family val="2"/>
      <scheme val="minor"/>
    </font>
    <font>
      <sz val="11"/>
      <color rgb="FF3300B4"/>
      <name val="Calibri"/>
      <family val="2"/>
      <scheme val="minor"/>
    </font>
    <font>
      <sz val="11"/>
      <color rgb="FF2A00BB"/>
      <name val="Calibri"/>
      <family val="2"/>
      <scheme val="minor"/>
    </font>
    <font>
      <sz val="11"/>
      <color rgb="FF2200C3"/>
      <name val="Calibri"/>
      <family val="2"/>
      <scheme val="minor"/>
    </font>
    <font>
      <sz val="11"/>
      <color rgb="FF1900CA"/>
      <name val="Calibri"/>
      <family val="2"/>
      <scheme val="minor"/>
    </font>
    <font>
      <sz val="11"/>
      <color rgb="FF1100D2"/>
      <name val="Calibri"/>
      <family val="2"/>
      <scheme val="minor"/>
    </font>
    <font>
      <sz val="11"/>
      <color rgb="FF0800D9"/>
      <name val="Calibri"/>
      <family val="2"/>
      <scheme val="minor"/>
    </font>
    <font>
      <sz val="11"/>
      <color rgb="FF0000E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4" fillId="0" borderId="0" xfId="0" applyFont="1"/>
    <xf numFmtId="0" fontId="6" fillId="0" borderId="0" xfId="0" applyFont="1"/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3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ct_A!$G$1</c:f>
              <c:strCache>
                <c:ptCount val="1"/>
                <c:pt idx="0">
                  <c:v>p_res,bin (DATA)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ct_A!$D$2:$D$32</c:f>
              <c:numCache>
                <c:formatCode>General</c:formatCode>
                <c:ptCount val="31"/>
                <c:pt idx="0">
                  <c:v>-22.5</c:v>
                </c:pt>
                <c:pt idx="1">
                  <c:v>-21</c:v>
                </c:pt>
                <c:pt idx="2">
                  <c:v>-19.5</c:v>
                </c:pt>
                <c:pt idx="3">
                  <c:v>-18</c:v>
                </c:pt>
                <c:pt idx="4">
                  <c:v>-16.5</c:v>
                </c:pt>
                <c:pt idx="5">
                  <c:v>-15</c:v>
                </c:pt>
                <c:pt idx="6">
                  <c:v>-13.5</c:v>
                </c:pt>
                <c:pt idx="7">
                  <c:v>-12</c:v>
                </c:pt>
                <c:pt idx="8">
                  <c:v>-10.5</c:v>
                </c:pt>
                <c:pt idx="9">
                  <c:v>-9</c:v>
                </c:pt>
                <c:pt idx="10">
                  <c:v>-7.5</c:v>
                </c:pt>
                <c:pt idx="11">
                  <c:v>-6</c:v>
                </c:pt>
                <c:pt idx="12">
                  <c:v>-4.5</c:v>
                </c:pt>
                <c:pt idx="13">
                  <c:v>-3</c:v>
                </c:pt>
                <c:pt idx="14">
                  <c:v>-1.5</c:v>
                </c:pt>
                <c:pt idx="15">
                  <c:v>0</c:v>
                </c:pt>
                <c:pt idx="16">
                  <c:v>1.5</c:v>
                </c:pt>
                <c:pt idx="17">
                  <c:v>3</c:v>
                </c:pt>
                <c:pt idx="18">
                  <c:v>4.5</c:v>
                </c:pt>
                <c:pt idx="19">
                  <c:v>6</c:v>
                </c:pt>
                <c:pt idx="20">
                  <c:v>7.5</c:v>
                </c:pt>
                <c:pt idx="21">
                  <c:v>9</c:v>
                </c:pt>
                <c:pt idx="22">
                  <c:v>10.5</c:v>
                </c:pt>
                <c:pt idx="23">
                  <c:v>12</c:v>
                </c:pt>
                <c:pt idx="24">
                  <c:v>13.5</c:v>
                </c:pt>
                <c:pt idx="25">
                  <c:v>15</c:v>
                </c:pt>
                <c:pt idx="26">
                  <c:v>16.5</c:v>
                </c:pt>
                <c:pt idx="27">
                  <c:v>18</c:v>
                </c:pt>
                <c:pt idx="28">
                  <c:v>19.5</c:v>
                </c:pt>
                <c:pt idx="29">
                  <c:v>21</c:v>
                </c:pt>
                <c:pt idx="30">
                  <c:v>22.5</c:v>
                </c:pt>
              </c:numCache>
            </c:numRef>
          </c:xVal>
          <c:yVal>
            <c:numRef>
              <c:f>ct_A!$G$2:$G$32</c:f>
              <c:numCache>
                <c:formatCode>General</c:formatCode>
                <c:ptCount val="31"/>
                <c:pt idx="0">
                  <c:v>0.75339999999999996</c:v>
                </c:pt>
                <c:pt idx="1">
                  <c:v>0.65300000000000002</c:v>
                </c:pt>
                <c:pt idx="2">
                  <c:v>0.87409999999999999</c:v>
                </c:pt>
                <c:pt idx="3">
                  <c:v>0.89770000000000005</c:v>
                </c:pt>
                <c:pt idx="4">
                  <c:v>0.85170000000000001</c:v>
                </c:pt>
                <c:pt idx="5">
                  <c:v>0.92020000000000002</c:v>
                </c:pt>
                <c:pt idx="6">
                  <c:v>0.92169999999999996</c:v>
                </c:pt>
                <c:pt idx="7">
                  <c:v>0.91069999999999995</c:v>
                </c:pt>
                <c:pt idx="8">
                  <c:v>0.91969999999999996</c:v>
                </c:pt>
                <c:pt idx="9">
                  <c:v>0.84840000000000004</c:v>
                </c:pt>
                <c:pt idx="10">
                  <c:v>0.90769999999999995</c:v>
                </c:pt>
                <c:pt idx="11">
                  <c:v>1.1012999999999999</c:v>
                </c:pt>
                <c:pt idx="12">
                  <c:v>1.1869000000000001</c:v>
                </c:pt>
                <c:pt idx="13">
                  <c:v>1.3755999999999999</c:v>
                </c:pt>
                <c:pt idx="14">
                  <c:v>1.5044999999999999</c:v>
                </c:pt>
                <c:pt idx="15">
                  <c:v>1.5130999999999999</c:v>
                </c:pt>
                <c:pt idx="16">
                  <c:v>1.5677000000000001</c:v>
                </c:pt>
                <c:pt idx="17">
                  <c:v>1.3935999999999999</c:v>
                </c:pt>
                <c:pt idx="18">
                  <c:v>1.1841999999999999</c:v>
                </c:pt>
                <c:pt idx="19">
                  <c:v>1.1282000000000001</c:v>
                </c:pt>
                <c:pt idx="20">
                  <c:v>1.0896999999999999</c:v>
                </c:pt>
                <c:pt idx="21">
                  <c:v>0.96660000000000001</c:v>
                </c:pt>
                <c:pt idx="22">
                  <c:v>0.84019999999999995</c:v>
                </c:pt>
                <c:pt idx="23">
                  <c:v>0.82730000000000004</c:v>
                </c:pt>
                <c:pt idx="24">
                  <c:v>0.86890000000000001</c:v>
                </c:pt>
                <c:pt idx="25">
                  <c:v>0.83520000000000005</c:v>
                </c:pt>
                <c:pt idx="26">
                  <c:v>0.81740000000000002</c:v>
                </c:pt>
                <c:pt idx="27">
                  <c:v>0.84340000000000004</c:v>
                </c:pt>
                <c:pt idx="28">
                  <c:v>0.89159999999999995</c:v>
                </c:pt>
                <c:pt idx="29">
                  <c:v>0.94630000000000003</c:v>
                </c:pt>
                <c:pt idx="30">
                  <c:v>0.95169999999999999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ct_A!$N$1</c:f>
              <c:strCache>
                <c:ptCount val="1"/>
                <c:pt idx="0">
                  <c:v>Pz_Outer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ct_A!$M$26:$M$50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ct_A!$N$26:$N$50</c:f>
              <c:numCache>
                <c:formatCode>General</c:formatCode>
                <c:ptCount val="25"/>
                <c:pt idx="0">
                  <c:v>1.5275402439588761</c:v>
                </c:pt>
                <c:pt idx="1">
                  <c:v>1.523874726973121</c:v>
                </c:pt>
                <c:pt idx="2">
                  <c:v>1.4944454372058631</c:v>
                </c:pt>
                <c:pt idx="3">
                  <c:v>1.4188609500789153</c:v>
                </c:pt>
                <c:pt idx="4">
                  <c:v>1.3062225464273645</c:v>
                </c:pt>
                <c:pt idx="5">
                  <c:v>1.1892456129116258</c:v>
                </c:pt>
                <c:pt idx="6">
                  <c:v>1.0929643977649908</c:v>
                </c:pt>
                <c:pt idx="7">
                  <c:v>1.0231587030265066</c:v>
                </c:pt>
                <c:pt idx="8">
                  <c:v>0.97523276624320032</c:v>
                </c:pt>
                <c:pt idx="9">
                  <c:v>0.94276144528024663</c:v>
                </c:pt>
                <c:pt idx="10">
                  <c:v>0.92059917566007987</c:v>
                </c:pt>
                <c:pt idx="11">
                  <c:v>0.90522268069375023</c:v>
                </c:pt>
                <c:pt idx="12">
                  <c:v>0.89434232298542538</c:v>
                </c:pt>
                <c:pt idx="13">
                  <c:v>0.88648686026512657</c:v>
                </c:pt>
                <c:pt idx="14">
                  <c:v>0.8807046569101743</c:v>
                </c:pt>
                <c:pt idx="15">
                  <c:v>0.87637119636817362</c:v>
                </c:pt>
                <c:pt idx="16">
                  <c:v>0.87306934516599621</c:v>
                </c:pt>
                <c:pt idx="17">
                  <c:v>0.87051528672242517</c:v>
                </c:pt>
                <c:pt idx="18">
                  <c:v>0.86851236043762869</c:v>
                </c:pt>
                <c:pt idx="19">
                  <c:v>0.86692190125657609</c:v>
                </c:pt>
                <c:pt idx="20">
                  <c:v>0.86564451970890977</c:v>
                </c:pt>
                <c:pt idx="21">
                  <c:v>0.86460787881804113</c:v>
                </c:pt>
                <c:pt idx="22">
                  <c:v>0.86375857692200075</c:v>
                </c:pt>
                <c:pt idx="23">
                  <c:v>0.86305666796431846</c:v>
                </c:pt>
                <c:pt idx="24">
                  <c:v>0.86247190382524985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ct_A!$O$1</c:f>
              <c:strCache>
                <c:ptCount val="1"/>
                <c:pt idx="0">
                  <c:v>Pz_Inner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ct_A!$M$2:$M$26</c:f>
              <c:numCache>
                <c:formatCode>General</c:formatCode>
                <c:ptCount val="25"/>
                <c:pt idx="0">
                  <c:v>-24</c:v>
                </c:pt>
                <c:pt idx="1">
                  <c:v>-23</c:v>
                </c:pt>
                <c:pt idx="2">
                  <c:v>-22</c:v>
                </c:pt>
                <c:pt idx="3">
                  <c:v>-21</c:v>
                </c:pt>
                <c:pt idx="4">
                  <c:v>-20</c:v>
                </c:pt>
                <c:pt idx="5">
                  <c:v>-19</c:v>
                </c:pt>
                <c:pt idx="6">
                  <c:v>-18</c:v>
                </c:pt>
                <c:pt idx="7">
                  <c:v>-17</c:v>
                </c:pt>
                <c:pt idx="8">
                  <c:v>-16</c:v>
                </c:pt>
                <c:pt idx="9">
                  <c:v>-15</c:v>
                </c:pt>
                <c:pt idx="10">
                  <c:v>-14</c:v>
                </c:pt>
                <c:pt idx="11">
                  <c:v>-13</c:v>
                </c:pt>
                <c:pt idx="12">
                  <c:v>-12</c:v>
                </c:pt>
                <c:pt idx="13">
                  <c:v>-11</c:v>
                </c:pt>
                <c:pt idx="14">
                  <c:v>-10</c:v>
                </c:pt>
                <c:pt idx="15">
                  <c:v>-9</c:v>
                </c:pt>
                <c:pt idx="16">
                  <c:v>-8</c:v>
                </c:pt>
                <c:pt idx="17">
                  <c:v>-7</c:v>
                </c:pt>
                <c:pt idx="18">
                  <c:v>-6</c:v>
                </c:pt>
                <c:pt idx="19">
                  <c:v>-5</c:v>
                </c:pt>
                <c:pt idx="20">
                  <c:v>-4</c:v>
                </c:pt>
                <c:pt idx="21">
                  <c:v>-3</c:v>
                </c:pt>
                <c:pt idx="22">
                  <c:v>-2</c:v>
                </c:pt>
                <c:pt idx="23">
                  <c:v>-1</c:v>
                </c:pt>
                <c:pt idx="24">
                  <c:v>0</c:v>
                </c:pt>
              </c:numCache>
            </c:numRef>
          </c:xVal>
          <c:yVal>
            <c:numRef>
              <c:f>ct_A!$O$2:$O$26</c:f>
              <c:numCache>
                <c:formatCode>General</c:formatCode>
                <c:ptCount val="25"/>
                <c:pt idx="0">
                  <c:v>0.80053806042710984</c:v>
                </c:pt>
                <c:pt idx="1">
                  <c:v>0.80289338162511481</c:v>
                </c:pt>
                <c:pt idx="2">
                  <c:v>0.80556463030273562</c:v>
                </c:pt>
                <c:pt idx="3">
                  <c:v>0.80860971966802053</c:v>
                </c:pt>
                <c:pt idx="4">
                  <c:v>0.81210015509574374</c:v>
                </c:pt>
                <c:pt idx="5">
                  <c:v>0.81612494392410528</c:v>
                </c:pt>
                <c:pt idx="6">
                  <c:v>0.82079583769467701</c:v>
                </c:pt>
                <c:pt idx="7">
                  <c:v>0.82625442820599448</c:v>
                </c:pt>
                <c:pt idx="8">
                  <c:v>0.83268184450584437</c:v>
                </c:pt>
                <c:pt idx="9">
                  <c:v>0.84031212559609203</c:v>
                </c:pt>
                <c:pt idx="10">
                  <c:v>0.84945081431239222</c:v>
                </c:pt>
                <c:pt idx="11">
                  <c:v>0.86050097675276616</c:v>
                </c:pt>
                <c:pt idx="12">
                  <c:v>0.87399972126739622</c:v>
                </c:pt>
                <c:pt idx="13">
                  <c:v>0.89066928305394222</c:v>
                </c:pt>
                <c:pt idx="14">
                  <c:v>0.91148739744587925</c:v>
                </c:pt>
                <c:pt idx="15">
                  <c:v>0.93778047082086158</c:v>
                </c:pt>
                <c:pt idx="16">
                  <c:v>0.97133550911749256</c:v>
                </c:pt>
                <c:pt idx="17">
                  <c:v>1.0145010357415214</c:v>
                </c:pt>
                <c:pt idx="18">
                  <c:v>1.0701750033440844</c:v>
                </c:pt>
                <c:pt idx="19">
                  <c:v>1.1414035368342521</c:v>
                </c:pt>
                <c:pt idx="20">
                  <c:v>1.2299831672715595</c:v>
                </c:pt>
                <c:pt idx="21">
                  <c:v>1.3331538223922823</c:v>
                </c:pt>
                <c:pt idx="22">
                  <c:v>1.4383525560647339</c:v>
                </c:pt>
                <c:pt idx="23">
                  <c:v>1.5204059169911375</c:v>
                </c:pt>
                <c:pt idx="24">
                  <c:v>1.5511321083193923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09856"/>
        <c:axId val="135810432"/>
      </c:scatterChart>
      <c:valAx>
        <c:axId val="135809856"/>
        <c:scaling>
          <c:orientation val="minMax"/>
          <c:max val="24"/>
          <c:min val="-24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2000">
                <a:solidFill>
                  <a:srgbClr val="000000"/>
                </a:solidFill>
              </a:defRPr>
            </a:pPr>
            <a:endParaRPr lang="en-US"/>
          </a:p>
        </c:txPr>
        <c:crossAx val="135810432"/>
        <c:crosses val="autoZero"/>
        <c:crossBetween val="midCat"/>
        <c:majorUnit val="3"/>
      </c:valAx>
      <c:valAx>
        <c:axId val="135810432"/>
        <c:scaling>
          <c:orientation val="minMax"/>
          <c:max val="3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2000">
                <a:solidFill>
                  <a:srgbClr val="000000"/>
                </a:solidFill>
              </a:defRPr>
            </a:pPr>
            <a:endParaRPr lang="en-US"/>
          </a:p>
        </c:txPr>
        <c:crossAx val="135809856"/>
        <c:crosses val="autoZero"/>
        <c:crossBetween val="midCat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ct_Q!$G$1</c:f>
              <c:strCache>
                <c:ptCount val="1"/>
                <c:pt idx="0">
                  <c:v>p_res,bin (DATA)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ct_Q!$D$2:$D$32</c:f>
              <c:numCache>
                <c:formatCode>General</c:formatCode>
                <c:ptCount val="31"/>
                <c:pt idx="0">
                  <c:v>-22.5</c:v>
                </c:pt>
                <c:pt idx="1">
                  <c:v>-21</c:v>
                </c:pt>
                <c:pt idx="2">
                  <c:v>-19.5</c:v>
                </c:pt>
                <c:pt idx="3">
                  <c:v>-18</c:v>
                </c:pt>
                <c:pt idx="4">
                  <c:v>-16.5</c:v>
                </c:pt>
                <c:pt idx="5">
                  <c:v>-15</c:v>
                </c:pt>
                <c:pt idx="6">
                  <c:v>-13.5</c:v>
                </c:pt>
                <c:pt idx="7">
                  <c:v>-12</c:v>
                </c:pt>
                <c:pt idx="8">
                  <c:v>-10.5</c:v>
                </c:pt>
                <c:pt idx="9">
                  <c:v>-9</c:v>
                </c:pt>
                <c:pt idx="10">
                  <c:v>-7.5</c:v>
                </c:pt>
                <c:pt idx="11">
                  <c:v>-6</c:v>
                </c:pt>
                <c:pt idx="12">
                  <c:v>-4.5</c:v>
                </c:pt>
                <c:pt idx="13">
                  <c:v>-3</c:v>
                </c:pt>
                <c:pt idx="14">
                  <c:v>-1.5</c:v>
                </c:pt>
                <c:pt idx="15">
                  <c:v>0</c:v>
                </c:pt>
                <c:pt idx="16">
                  <c:v>1.5</c:v>
                </c:pt>
                <c:pt idx="17">
                  <c:v>3</c:v>
                </c:pt>
                <c:pt idx="18">
                  <c:v>4.5</c:v>
                </c:pt>
                <c:pt idx="19">
                  <c:v>6</c:v>
                </c:pt>
                <c:pt idx="20">
                  <c:v>7.5</c:v>
                </c:pt>
                <c:pt idx="21">
                  <c:v>9</c:v>
                </c:pt>
                <c:pt idx="22">
                  <c:v>10.5</c:v>
                </c:pt>
                <c:pt idx="23">
                  <c:v>12</c:v>
                </c:pt>
                <c:pt idx="24">
                  <c:v>13.5</c:v>
                </c:pt>
                <c:pt idx="25">
                  <c:v>15</c:v>
                </c:pt>
                <c:pt idx="26">
                  <c:v>16.5</c:v>
                </c:pt>
                <c:pt idx="27">
                  <c:v>18</c:v>
                </c:pt>
                <c:pt idx="28">
                  <c:v>19.5</c:v>
                </c:pt>
                <c:pt idx="29">
                  <c:v>21</c:v>
                </c:pt>
                <c:pt idx="30">
                  <c:v>22.5</c:v>
                </c:pt>
              </c:numCache>
            </c:numRef>
          </c:xVal>
          <c:yVal>
            <c:numRef>
              <c:f>ct_Q!$G$2:$G$32</c:f>
              <c:numCache>
                <c:formatCode>General</c:formatCode>
                <c:ptCount val="31"/>
                <c:pt idx="0">
                  <c:v>1.4237</c:v>
                </c:pt>
                <c:pt idx="1">
                  <c:v>1.3685</c:v>
                </c:pt>
                <c:pt idx="2">
                  <c:v>1.2888999999999999</c:v>
                </c:pt>
                <c:pt idx="3">
                  <c:v>1.2491000000000001</c:v>
                </c:pt>
                <c:pt idx="4">
                  <c:v>1.0536000000000001</c:v>
                </c:pt>
                <c:pt idx="5">
                  <c:v>1.1559999999999999</c:v>
                </c:pt>
                <c:pt idx="6">
                  <c:v>1.2818000000000001</c:v>
                </c:pt>
                <c:pt idx="7">
                  <c:v>1.0532999999999999</c:v>
                </c:pt>
                <c:pt idx="8">
                  <c:v>0.84009999999999996</c:v>
                </c:pt>
                <c:pt idx="9">
                  <c:v>0.92520000000000002</c:v>
                </c:pt>
                <c:pt idx="10">
                  <c:v>0.8901</c:v>
                </c:pt>
                <c:pt idx="11">
                  <c:v>0.82350000000000001</c:v>
                </c:pt>
                <c:pt idx="12">
                  <c:v>0.84850000000000003</c:v>
                </c:pt>
                <c:pt idx="13">
                  <c:v>0.64549999999999996</c:v>
                </c:pt>
                <c:pt idx="14">
                  <c:v>0.61419999999999997</c:v>
                </c:pt>
                <c:pt idx="15">
                  <c:v>0.81989999999999996</c:v>
                </c:pt>
                <c:pt idx="16">
                  <c:v>0.85619999999999996</c:v>
                </c:pt>
                <c:pt idx="17">
                  <c:v>0.80410000000000004</c:v>
                </c:pt>
                <c:pt idx="18">
                  <c:v>0.6613</c:v>
                </c:pt>
                <c:pt idx="19">
                  <c:v>0.58620000000000005</c:v>
                </c:pt>
                <c:pt idx="20">
                  <c:v>0.68769999999999998</c:v>
                </c:pt>
                <c:pt idx="21">
                  <c:v>0.79530000000000001</c:v>
                </c:pt>
                <c:pt idx="22">
                  <c:v>1.0484</c:v>
                </c:pt>
                <c:pt idx="23">
                  <c:v>1.2486999999999999</c:v>
                </c:pt>
                <c:pt idx="24">
                  <c:v>1.1866000000000001</c:v>
                </c:pt>
                <c:pt idx="25">
                  <c:v>1.1943999999999999</c:v>
                </c:pt>
                <c:pt idx="26">
                  <c:v>1.3095000000000001</c:v>
                </c:pt>
                <c:pt idx="27">
                  <c:v>1.3389</c:v>
                </c:pt>
                <c:pt idx="28">
                  <c:v>1.0747</c:v>
                </c:pt>
                <c:pt idx="29">
                  <c:v>0.86299999999999999</c:v>
                </c:pt>
                <c:pt idx="30">
                  <c:v>0.86990000000000001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ct_Q!$N$1</c:f>
              <c:strCache>
                <c:ptCount val="1"/>
                <c:pt idx="0">
                  <c:v>Pz_Outer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ct_Q!$M$26:$M$50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ct_Q!$N$26:$N$50</c:f>
              <c:numCache>
                <c:formatCode>General</c:formatCode>
                <c:ptCount val="25"/>
                <c:pt idx="0">
                  <c:v>0.72977367762221479</c:v>
                </c:pt>
                <c:pt idx="1">
                  <c:v>0.72977367762221479</c:v>
                </c:pt>
                <c:pt idx="2">
                  <c:v>0.7297736776222149</c:v>
                </c:pt>
                <c:pt idx="3">
                  <c:v>0.72977367762314582</c:v>
                </c:pt>
                <c:pt idx="4">
                  <c:v>0.72977367827841266</c:v>
                </c:pt>
                <c:pt idx="5">
                  <c:v>0.72977378383684732</c:v>
                </c:pt>
                <c:pt idx="6">
                  <c:v>0.72978045690536486</c:v>
                </c:pt>
                <c:pt idx="7">
                  <c:v>0.73000121573012566</c:v>
                </c:pt>
                <c:pt idx="8">
                  <c:v>0.73449532880547552</c:v>
                </c:pt>
                <c:pt idx="9">
                  <c:v>0.78929755438322402</c:v>
                </c:pt>
                <c:pt idx="10">
                  <c:v>0.99010782959281074</c:v>
                </c:pt>
                <c:pt idx="11">
                  <c:v>1.0991342237205428</c:v>
                </c:pt>
                <c:pt idx="12">
                  <c:v>1.1170343384796217</c:v>
                </c:pt>
                <c:pt idx="13">
                  <c:v>1.1195603176607136</c:v>
                </c:pt>
                <c:pt idx="14">
                  <c:v>1.1199593012013285</c:v>
                </c:pt>
                <c:pt idx="15">
                  <c:v>1.1200309910832624</c:v>
                </c:pt>
                <c:pt idx="16">
                  <c:v>1.1200454518120972</c:v>
                </c:pt>
                <c:pt idx="17">
                  <c:v>1.1200486804308811</c:v>
                </c:pt>
                <c:pt idx="18">
                  <c:v>1.1200494687288003</c:v>
                </c:pt>
                <c:pt idx="19">
                  <c:v>1.1200496770923505</c:v>
                </c:pt>
                <c:pt idx="20">
                  <c:v>1.1200497362107877</c:v>
                </c:pt>
                <c:pt idx="21">
                  <c:v>1.1200497540867331</c:v>
                </c:pt>
                <c:pt idx="22">
                  <c:v>1.1200497598119179</c:v>
                </c:pt>
                <c:pt idx="23">
                  <c:v>1.1200497617438157</c:v>
                </c:pt>
                <c:pt idx="24">
                  <c:v>1.1200497624275032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ct_Q!$O$1</c:f>
              <c:strCache>
                <c:ptCount val="1"/>
                <c:pt idx="0">
                  <c:v>Pz_Inner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ct_Q!$M$2:$M$26</c:f>
              <c:numCache>
                <c:formatCode>General</c:formatCode>
                <c:ptCount val="25"/>
                <c:pt idx="0">
                  <c:v>-24</c:v>
                </c:pt>
                <c:pt idx="1">
                  <c:v>-23</c:v>
                </c:pt>
                <c:pt idx="2">
                  <c:v>-22</c:v>
                </c:pt>
                <c:pt idx="3">
                  <c:v>-21</c:v>
                </c:pt>
                <c:pt idx="4">
                  <c:v>-20</c:v>
                </c:pt>
                <c:pt idx="5">
                  <c:v>-19</c:v>
                </c:pt>
                <c:pt idx="6">
                  <c:v>-18</c:v>
                </c:pt>
                <c:pt idx="7">
                  <c:v>-17</c:v>
                </c:pt>
                <c:pt idx="8">
                  <c:v>-16</c:v>
                </c:pt>
                <c:pt idx="9">
                  <c:v>-15</c:v>
                </c:pt>
                <c:pt idx="10">
                  <c:v>-14</c:v>
                </c:pt>
                <c:pt idx="11">
                  <c:v>-13</c:v>
                </c:pt>
                <c:pt idx="12">
                  <c:v>-12</c:v>
                </c:pt>
                <c:pt idx="13">
                  <c:v>-11</c:v>
                </c:pt>
                <c:pt idx="14">
                  <c:v>-10</c:v>
                </c:pt>
                <c:pt idx="15">
                  <c:v>-9</c:v>
                </c:pt>
                <c:pt idx="16">
                  <c:v>-8</c:v>
                </c:pt>
                <c:pt idx="17">
                  <c:v>-7</c:v>
                </c:pt>
                <c:pt idx="18">
                  <c:v>-6</c:v>
                </c:pt>
                <c:pt idx="19">
                  <c:v>-5</c:v>
                </c:pt>
                <c:pt idx="20">
                  <c:v>-4</c:v>
                </c:pt>
                <c:pt idx="21">
                  <c:v>-3</c:v>
                </c:pt>
                <c:pt idx="22">
                  <c:v>-2</c:v>
                </c:pt>
                <c:pt idx="23">
                  <c:v>-1</c:v>
                </c:pt>
                <c:pt idx="24">
                  <c:v>0</c:v>
                </c:pt>
              </c:numCache>
            </c:numRef>
          </c:xVal>
          <c:yVal>
            <c:numRef>
              <c:f>ct_Q!$O$2:$O$26</c:f>
              <c:numCache>
                <c:formatCode>General</c:formatCode>
                <c:ptCount val="25"/>
                <c:pt idx="0">
                  <c:v>1.4229011638156226</c:v>
                </c:pt>
                <c:pt idx="1">
                  <c:v>1.3985124574809318</c:v>
                </c:pt>
                <c:pt idx="2">
                  <c:v>1.3726578782331802</c:v>
                </c:pt>
                <c:pt idx="3">
                  <c:v>1.3452848515276137</c:v>
                </c:pt>
                <c:pt idx="4">
                  <c:v>1.3163527390844414</c:v>
                </c:pt>
                <c:pt idx="5">
                  <c:v>1.2858375082830218</c:v>
                </c:pt>
                <c:pt idx="6">
                  <c:v>1.2537373624145103</c:v>
                </c:pt>
                <c:pt idx="7">
                  <c:v>1.2200793753339074</c:v>
                </c:pt>
                <c:pt idx="8">
                  <c:v>1.1849271000902009</c:v>
                </c:pt>
                <c:pt idx="9">
                  <c:v>1.1483890068623244</c:v>
                </c:pt>
                <c:pt idx="10">
                  <c:v>1.1106274437737298</c:v>
                </c:pt>
                <c:pt idx="11">
                  <c:v>1.0718676033501975</c:v>
                </c:pt>
                <c:pt idx="12">
                  <c:v>1.0324057272276932</c:v>
                </c:pt>
                <c:pt idx="13">
                  <c:v>0.99261551997967634</c:v>
                </c:pt>
                <c:pt idx="14">
                  <c:v>0.95295152153586571</c:v>
                </c:pt>
                <c:pt idx="15">
                  <c:v>0.91394808409778594</c:v>
                </c:pt>
                <c:pt idx="16">
                  <c:v>0.87621270787222061</c:v>
                </c:pt>
                <c:pt idx="17">
                  <c:v>0.84041289669147601</c:v>
                </c:pt>
                <c:pt idx="18">
                  <c:v>0.80725643859250118</c:v>
                </c:pt>
                <c:pt idx="19">
                  <c:v>0.77746604818446197</c:v>
                </c:pt>
                <c:pt idx="20">
                  <c:v>0.75175048214379492</c:v>
                </c:pt>
                <c:pt idx="21">
                  <c:v>0.73077541195691842</c:v>
                </c:pt>
                <c:pt idx="22">
                  <c:v>0.71513875527617865</c:v>
                </c:pt>
                <c:pt idx="23">
                  <c:v>0.7053593593659665</c:v>
                </c:pt>
                <c:pt idx="24">
                  <c:v>0.70192574027954269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66048"/>
        <c:axId val="140866624"/>
      </c:scatterChart>
      <c:valAx>
        <c:axId val="140866048"/>
        <c:scaling>
          <c:orientation val="minMax"/>
          <c:max val="24"/>
          <c:min val="-24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2000">
                <a:solidFill>
                  <a:srgbClr val="000000"/>
                </a:solidFill>
              </a:defRPr>
            </a:pPr>
            <a:endParaRPr lang="en-US"/>
          </a:p>
        </c:txPr>
        <c:crossAx val="140866624"/>
        <c:crosses val="autoZero"/>
        <c:crossBetween val="midCat"/>
        <c:majorUnit val="3"/>
      </c:valAx>
      <c:valAx>
        <c:axId val="140866624"/>
        <c:scaling>
          <c:orientation val="minMax"/>
          <c:max val="3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2000">
                <a:solidFill>
                  <a:srgbClr val="000000"/>
                </a:solidFill>
              </a:defRPr>
            </a:pPr>
            <a:endParaRPr lang="en-US"/>
          </a:p>
        </c:txPr>
        <c:crossAx val="140866048"/>
        <c:crosses val="autoZero"/>
        <c:crossBetween val="midCat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ct_R!$G$1</c:f>
              <c:strCache>
                <c:ptCount val="1"/>
                <c:pt idx="0">
                  <c:v>p_res,bin (DATA)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ct_R!$D$2:$D$32</c:f>
              <c:numCache>
                <c:formatCode>General</c:formatCode>
                <c:ptCount val="31"/>
                <c:pt idx="0">
                  <c:v>-22.5</c:v>
                </c:pt>
                <c:pt idx="1">
                  <c:v>-21</c:v>
                </c:pt>
                <c:pt idx="2">
                  <c:v>-19.5</c:v>
                </c:pt>
                <c:pt idx="3">
                  <c:v>-18</c:v>
                </c:pt>
                <c:pt idx="4">
                  <c:v>-16.5</c:v>
                </c:pt>
                <c:pt idx="5">
                  <c:v>-15</c:v>
                </c:pt>
                <c:pt idx="6">
                  <c:v>-13.5</c:v>
                </c:pt>
                <c:pt idx="7">
                  <c:v>-12</c:v>
                </c:pt>
                <c:pt idx="8">
                  <c:v>-10.5</c:v>
                </c:pt>
                <c:pt idx="9">
                  <c:v>-9</c:v>
                </c:pt>
                <c:pt idx="10">
                  <c:v>-7.5</c:v>
                </c:pt>
                <c:pt idx="11">
                  <c:v>-6</c:v>
                </c:pt>
                <c:pt idx="12">
                  <c:v>-4.5</c:v>
                </c:pt>
                <c:pt idx="13">
                  <c:v>-3</c:v>
                </c:pt>
                <c:pt idx="14">
                  <c:v>-1.5</c:v>
                </c:pt>
                <c:pt idx="15">
                  <c:v>0</c:v>
                </c:pt>
                <c:pt idx="16">
                  <c:v>1.5</c:v>
                </c:pt>
                <c:pt idx="17">
                  <c:v>3</c:v>
                </c:pt>
                <c:pt idx="18">
                  <c:v>4.5</c:v>
                </c:pt>
                <c:pt idx="19">
                  <c:v>6</c:v>
                </c:pt>
                <c:pt idx="20">
                  <c:v>7.5</c:v>
                </c:pt>
                <c:pt idx="21">
                  <c:v>9</c:v>
                </c:pt>
                <c:pt idx="22">
                  <c:v>10.5</c:v>
                </c:pt>
                <c:pt idx="23">
                  <c:v>12</c:v>
                </c:pt>
                <c:pt idx="24">
                  <c:v>13.5</c:v>
                </c:pt>
                <c:pt idx="25">
                  <c:v>15</c:v>
                </c:pt>
                <c:pt idx="26">
                  <c:v>16.5</c:v>
                </c:pt>
                <c:pt idx="27">
                  <c:v>18</c:v>
                </c:pt>
                <c:pt idx="28">
                  <c:v>19.5</c:v>
                </c:pt>
                <c:pt idx="29">
                  <c:v>21</c:v>
                </c:pt>
                <c:pt idx="30">
                  <c:v>22.5</c:v>
                </c:pt>
              </c:numCache>
            </c:numRef>
          </c:xVal>
          <c:yVal>
            <c:numRef>
              <c:f>ct_R!$G$2:$G$32</c:f>
              <c:numCache>
                <c:formatCode>General</c:formatCode>
                <c:ptCount val="31"/>
                <c:pt idx="0">
                  <c:v>1.1095999999999999</c:v>
                </c:pt>
                <c:pt idx="1">
                  <c:v>1.0355000000000001</c:v>
                </c:pt>
                <c:pt idx="2">
                  <c:v>0.96199999999999997</c:v>
                </c:pt>
                <c:pt idx="3">
                  <c:v>0.99950000000000006</c:v>
                </c:pt>
                <c:pt idx="4">
                  <c:v>0.93310000000000004</c:v>
                </c:pt>
                <c:pt idx="5">
                  <c:v>0.86980000000000002</c:v>
                </c:pt>
                <c:pt idx="6">
                  <c:v>0.99039999999999995</c:v>
                </c:pt>
                <c:pt idx="7">
                  <c:v>1.0976999999999999</c:v>
                </c:pt>
                <c:pt idx="8">
                  <c:v>1.0313000000000001</c:v>
                </c:pt>
                <c:pt idx="9">
                  <c:v>0.90400000000000003</c:v>
                </c:pt>
                <c:pt idx="10">
                  <c:v>0.7661</c:v>
                </c:pt>
                <c:pt idx="11">
                  <c:v>0.82220000000000004</c:v>
                </c:pt>
                <c:pt idx="12">
                  <c:v>0.7853</c:v>
                </c:pt>
                <c:pt idx="13">
                  <c:v>0.66820000000000002</c:v>
                </c:pt>
                <c:pt idx="14">
                  <c:v>0.73529999999999995</c:v>
                </c:pt>
                <c:pt idx="15">
                  <c:v>0.80669999999999997</c:v>
                </c:pt>
                <c:pt idx="16">
                  <c:v>0.86060000000000003</c:v>
                </c:pt>
                <c:pt idx="17">
                  <c:v>0.83360000000000001</c:v>
                </c:pt>
                <c:pt idx="18">
                  <c:v>0.78620000000000001</c:v>
                </c:pt>
                <c:pt idx="19">
                  <c:v>0.7046</c:v>
                </c:pt>
                <c:pt idx="20">
                  <c:v>0.61060000000000003</c:v>
                </c:pt>
                <c:pt idx="21">
                  <c:v>0.74350000000000005</c:v>
                </c:pt>
                <c:pt idx="22">
                  <c:v>0.94620000000000004</c:v>
                </c:pt>
                <c:pt idx="23">
                  <c:v>1.0751999999999999</c:v>
                </c:pt>
                <c:pt idx="24">
                  <c:v>1.3589</c:v>
                </c:pt>
                <c:pt idx="25">
                  <c:v>1.4298</c:v>
                </c:pt>
                <c:pt idx="26">
                  <c:v>1.3908</c:v>
                </c:pt>
                <c:pt idx="27">
                  <c:v>1.4054</c:v>
                </c:pt>
                <c:pt idx="28">
                  <c:v>1.1758999999999999</c:v>
                </c:pt>
                <c:pt idx="29">
                  <c:v>1.0848</c:v>
                </c:pt>
                <c:pt idx="30">
                  <c:v>0.96970000000000001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ct_R!$N$1</c:f>
              <c:strCache>
                <c:ptCount val="1"/>
                <c:pt idx="0">
                  <c:v>Pz_Outer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ct_R!$M$26:$M$50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ct_R!$N$26:$N$50</c:f>
              <c:numCache>
                <c:formatCode>General</c:formatCode>
                <c:ptCount val="25"/>
                <c:pt idx="0">
                  <c:v>0.75872178014974978</c:v>
                </c:pt>
                <c:pt idx="1">
                  <c:v>0.75872178014974978</c:v>
                </c:pt>
                <c:pt idx="2">
                  <c:v>0.75872178014986447</c:v>
                </c:pt>
                <c:pt idx="3">
                  <c:v>0.75872178026636228</c:v>
                </c:pt>
                <c:pt idx="4">
                  <c:v>0.75872179600646594</c:v>
                </c:pt>
                <c:pt idx="5">
                  <c:v>0.75872249639048484</c:v>
                </c:pt>
                <c:pt idx="6">
                  <c:v>0.75873789229726307</c:v>
                </c:pt>
                <c:pt idx="7">
                  <c:v>0.75894573562969736</c:v>
                </c:pt>
                <c:pt idx="8">
                  <c:v>0.76090307331433116</c:v>
                </c:pt>
                <c:pt idx="9">
                  <c:v>0.77456889312223687</c:v>
                </c:pt>
                <c:pt idx="10">
                  <c:v>0.84109719939329752</c:v>
                </c:pt>
                <c:pt idx="11">
                  <c:v>1.0062886852481894</c:v>
                </c:pt>
                <c:pt idx="12">
                  <c:v>1.1557192658694502</c:v>
                </c:pt>
                <c:pt idx="13">
                  <c:v>1.2154022434740479</c:v>
                </c:pt>
                <c:pt idx="14">
                  <c:v>1.2328656525920845</c:v>
                </c:pt>
                <c:pt idx="15">
                  <c:v>1.2378452162973985</c:v>
                </c:pt>
                <c:pt idx="16">
                  <c:v>1.2393441985551812</c:v>
                </c:pt>
                <c:pt idx="17">
                  <c:v>1.2398269739590333</c:v>
                </c:pt>
                <c:pt idx="18">
                  <c:v>1.2399928909649032</c:v>
                </c:pt>
                <c:pt idx="19">
                  <c:v>1.2400533874745852</c:v>
                </c:pt>
                <c:pt idx="20">
                  <c:v>1.2400766538898123</c:v>
                </c:pt>
                <c:pt idx="21">
                  <c:v>1.2400860427208873</c:v>
                </c:pt>
                <c:pt idx="22">
                  <c:v>1.2400899999262125</c:v>
                </c:pt>
                <c:pt idx="23">
                  <c:v>1.2400917350627414</c:v>
                </c:pt>
                <c:pt idx="24">
                  <c:v>1.2400925238191147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ct_R!$O$1</c:f>
              <c:strCache>
                <c:ptCount val="1"/>
                <c:pt idx="0">
                  <c:v>Pz_Inner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ct_R!$M$2:$M$26</c:f>
              <c:numCache>
                <c:formatCode>General</c:formatCode>
                <c:ptCount val="25"/>
                <c:pt idx="0">
                  <c:v>-24</c:v>
                </c:pt>
                <c:pt idx="1">
                  <c:v>-23</c:v>
                </c:pt>
                <c:pt idx="2">
                  <c:v>-22</c:v>
                </c:pt>
                <c:pt idx="3">
                  <c:v>-21</c:v>
                </c:pt>
                <c:pt idx="4">
                  <c:v>-20</c:v>
                </c:pt>
                <c:pt idx="5">
                  <c:v>-19</c:v>
                </c:pt>
                <c:pt idx="6">
                  <c:v>-18</c:v>
                </c:pt>
                <c:pt idx="7">
                  <c:v>-17</c:v>
                </c:pt>
                <c:pt idx="8">
                  <c:v>-16</c:v>
                </c:pt>
                <c:pt idx="9">
                  <c:v>-15</c:v>
                </c:pt>
                <c:pt idx="10">
                  <c:v>-14</c:v>
                </c:pt>
                <c:pt idx="11">
                  <c:v>-13</c:v>
                </c:pt>
                <c:pt idx="12">
                  <c:v>-12</c:v>
                </c:pt>
                <c:pt idx="13">
                  <c:v>-11</c:v>
                </c:pt>
                <c:pt idx="14">
                  <c:v>-10</c:v>
                </c:pt>
                <c:pt idx="15">
                  <c:v>-9</c:v>
                </c:pt>
                <c:pt idx="16">
                  <c:v>-8</c:v>
                </c:pt>
                <c:pt idx="17">
                  <c:v>-7</c:v>
                </c:pt>
                <c:pt idx="18">
                  <c:v>-6</c:v>
                </c:pt>
                <c:pt idx="19">
                  <c:v>-5</c:v>
                </c:pt>
                <c:pt idx="20">
                  <c:v>-4</c:v>
                </c:pt>
                <c:pt idx="21">
                  <c:v>-3</c:v>
                </c:pt>
                <c:pt idx="22">
                  <c:v>-2</c:v>
                </c:pt>
                <c:pt idx="23">
                  <c:v>-1</c:v>
                </c:pt>
                <c:pt idx="24">
                  <c:v>0</c:v>
                </c:pt>
              </c:numCache>
            </c:numRef>
          </c:xVal>
          <c:yVal>
            <c:numRef>
              <c:f>ct_R!$O$2:$O$26</c:f>
              <c:numCache>
                <c:formatCode>General</c:formatCode>
                <c:ptCount val="25"/>
                <c:pt idx="0">
                  <c:v>1.000682233613424</c:v>
                </c:pt>
                <c:pt idx="1">
                  <c:v>1.0006822336133554</c:v>
                </c:pt>
                <c:pt idx="2">
                  <c:v>1.0006822336130892</c:v>
                </c:pt>
                <c:pt idx="3">
                  <c:v>1.0006822336119914</c:v>
                </c:pt>
                <c:pt idx="4">
                  <c:v>1.0006822336071435</c:v>
                </c:pt>
                <c:pt idx="5">
                  <c:v>1.0006822335840651</c:v>
                </c:pt>
                <c:pt idx="6">
                  <c:v>1.0006822334646635</c:v>
                </c:pt>
                <c:pt idx="7">
                  <c:v>1.0006822327868927</c:v>
                </c:pt>
                <c:pt idx="8">
                  <c:v>1.0006822285184824</c:v>
                </c:pt>
                <c:pt idx="9">
                  <c:v>1.000682198294879</c:v>
                </c:pt>
                <c:pt idx="10">
                  <c:v>1.0006819537801543</c:v>
                </c:pt>
                <c:pt idx="11">
                  <c:v>1.0006796487612268</c:v>
                </c:pt>
                <c:pt idx="12">
                  <c:v>1.0006537068846959</c:v>
                </c:pt>
                <c:pt idx="13">
                  <c:v>1.0002947451008899</c:v>
                </c:pt>
                <c:pt idx="14">
                  <c:v>0.9940956970145437</c:v>
                </c:pt>
                <c:pt idx="15">
                  <c:v>0.90483637294725905</c:v>
                </c:pt>
                <c:pt idx="16">
                  <c:v>0.77184945457542731</c:v>
                </c:pt>
                <c:pt idx="17">
                  <c:v>0.7621094321041274</c:v>
                </c:pt>
                <c:pt idx="18">
                  <c:v>0.76192287333527209</c:v>
                </c:pt>
                <c:pt idx="19">
                  <c:v>0.76192103171669945</c:v>
                </c:pt>
                <c:pt idx="20">
                  <c:v>0.76192102393523919</c:v>
                </c:pt>
                <c:pt idx="21">
                  <c:v>0.76192102392559602</c:v>
                </c:pt>
                <c:pt idx="22">
                  <c:v>0.76192102392559435</c:v>
                </c:pt>
                <c:pt idx="23">
                  <c:v>0.76192102392559435</c:v>
                </c:pt>
                <c:pt idx="24">
                  <c:v>0.76192102392559435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68928"/>
        <c:axId val="140992512"/>
      </c:scatterChart>
      <c:valAx>
        <c:axId val="140868928"/>
        <c:scaling>
          <c:orientation val="minMax"/>
          <c:max val="24"/>
          <c:min val="-24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2000">
                <a:solidFill>
                  <a:srgbClr val="000000"/>
                </a:solidFill>
              </a:defRPr>
            </a:pPr>
            <a:endParaRPr lang="en-US"/>
          </a:p>
        </c:txPr>
        <c:crossAx val="140992512"/>
        <c:crosses val="autoZero"/>
        <c:crossBetween val="midCat"/>
        <c:majorUnit val="3"/>
      </c:valAx>
      <c:valAx>
        <c:axId val="140992512"/>
        <c:scaling>
          <c:orientation val="minMax"/>
          <c:max val="3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2000">
                <a:solidFill>
                  <a:srgbClr val="000000"/>
                </a:solidFill>
              </a:defRPr>
            </a:pPr>
            <a:endParaRPr lang="en-US"/>
          </a:p>
        </c:txPr>
        <c:crossAx val="140868928"/>
        <c:crosses val="autoZero"/>
        <c:crossBetween val="midCat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ct_H!$G$1</c:f>
              <c:strCache>
                <c:ptCount val="1"/>
                <c:pt idx="0">
                  <c:v>p_res,bin (DATA)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ct_H!$D$2:$D$32</c:f>
              <c:numCache>
                <c:formatCode>General</c:formatCode>
                <c:ptCount val="31"/>
                <c:pt idx="0">
                  <c:v>-22.5</c:v>
                </c:pt>
                <c:pt idx="1">
                  <c:v>-21</c:v>
                </c:pt>
                <c:pt idx="2">
                  <c:v>-19.5</c:v>
                </c:pt>
                <c:pt idx="3">
                  <c:v>-18</c:v>
                </c:pt>
                <c:pt idx="4">
                  <c:v>-16.5</c:v>
                </c:pt>
                <c:pt idx="5">
                  <c:v>-15</c:v>
                </c:pt>
                <c:pt idx="6">
                  <c:v>-13.5</c:v>
                </c:pt>
                <c:pt idx="7">
                  <c:v>-12</c:v>
                </c:pt>
                <c:pt idx="8">
                  <c:v>-10.5</c:v>
                </c:pt>
                <c:pt idx="9">
                  <c:v>-9</c:v>
                </c:pt>
                <c:pt idx="10">
                  <c:v>-7.5</c:v>
                </c:pt>
                <c:pt idx="11">
                  <c:v>-6</c:v>
                </c:pt>
                <c:pt idx="12">
                  <c:v>-4.5</c:v>
                </c:pt>
                <c:pt idx="13">
                  <c:v>-3</c:v>
                </c:pt>
                <c:pt idx="14">
                  <c:v>-1.5</c:v>
                </c:pt>
                <c:pt idx="15">
                  <c:v>0</c:v>
                </c:pt>
                <c:pt idx="16">
                  <c:v>1.5</c:v>
                </c:pt>
                <c:pt idx="17">
                  <c:v>3</c:v>
                </c:pt>
                <c:pt idx="18">
                  <c:v>4.5</c:v>
                </c:pt>
                <c:pt idx="19">
                  <c:v>6</c:v>
                </c:pt>
                <c:pt idx="20">
                  <c:v>7.5</c:v>
                </c:pt>
                <c:pt idx="21">
                  <c:v>9</c:v>
                </c:pt>
                <c:pt idx="22">
                  <c:v>10.5</c:v>
                </c:pt>
                <c:pt idx="23">
                  <c:v>12</c:v>
                </c:pt>
                <c:pt idx="24">
                  <c:v>13.5</c:v>
                </c:pt>
                <c:pt idx="25">
                  <c:v>15</c:v>
                </c:pt>
                <c:pt idx="26">
                  <c:v>16.5</c:v>
                </c:pt>
                <c:pt idx="27">
                  <c:v>18</c:v>
                </c:pt>
                <c:pt idx="28">
                  <c:v>19.5</c:v>
                </c:pt>
                <c:pt idx="29">
                  <c:v>21</c:v>
                </c:pt>
                <c:pt idx="30">
                  <c:v>22.5</c:v>
                </c:pt>
              </c:numCache>
            </c:numRef>
          </c:xVal>
          <c:yVal>
            <c:numRef>
              <c:f>ct_H!$G$2:$G$32</c:f>
              <c:numCache>
                <c:formatCode>General</c:formatCode>
                <c:ptCount val="31"/>
                <c:pt idx="0">
                  <c:v>0.68959999999999999</c:v>
                </c:pt>
                <c:pt idx="1">
                  <c:v>0.79659999999999997</c:v>
                </c:pt>
                <c:pt idx="2">
                  <c:v>0.77559999999999996</c:v>
                </c:pt>
                <c:pt idx="3">
                  <c:v>0.95609999999999995</c:v>
                </c:pt>
                <c:pt idx="4">
                  <c:v>0.83520000000000005</c:v>
                </c:pt>
                <c:pt idx="5">
                  <c:v>0.8609</c:v>
                </c:pt>
                <c:pt idx="6">
                  <c:v>1.2734000000000001</c:v>
                </c:pt>
                <c:pt idx="7">
                  <c:v>1.2444</c:v>
                </c:pt>
                <c:pt idx="8">
                  <c:v>0.92030000000000001</c:v>
                </c:pt>
                <c:pt idx="9">
                  <c:v>0.92549999999999999</c:v>
                </c:pt>
                <c:pt idx="10">
                  <c:v>1.3162</c:v>
                </c:pt>
                <c:pt idx="11">
                  <c:v>1.0911</c:v>
                </c:pt>
                <c:pt idx="12">
                  <c:v>0.62429999999999997</c:v>
                </c:pt>
                <c:pt idx="13">
                  <c:v>0.67630000000000001</c:v>
                </c:pt>
                <c:pt idx="14">
                  <c:v>0.53220000000000001</c:v>
                </c:pt>
                <c:pt idx="15">
                  <c:v>0.58440000000000003</c:v>
                </c:pt>
                <c:pt idx="16">
                  <c:v>0.68810000000000004</c:v>
                </c:pt>
                <c:pt idx="17">
                  <c:v>0.56240000000000001</c:v>
                </c:pt>
                <c:pt idx="18">
                  <c:v>0.68420000000000003</c:v>
                </c:pt>
                <c:pt idx="19">
                  <c:v>0.85050000000000003</c:v>
                </c:pt>
                <c:pt idx="20">
                  <c:v>1.1189</c:v>
                </c:pt>
                <c:pt idx="21">
                  <c:v>1.0605</c:v>
                </c:pt>
                <c:pt idx="22">
                  <c:v>1.1172</c:v>
                </c:pt>
                <c:pt idx="23">
                  <c:v>1.6958</c:v>
                </c:pt>
                <c:pt idx="24">
                  <c:v>1.6124000000000001</c:v>
                </c:pt>
                <c:pt idx="25">
                  <c:v>1.1388</c:v>
                </c:pt>
                <c:pt idx="26">
                  <c:v>1.1042000000000001</c:v>
                </c:pt>
                <c:pt idx="27">
                  <c:v>1.3772</c:v>
                </c:pt>
                <c:pt idx="28">
                  <c:v>1.4729000000000001</c:v>
                </c:pt>
                <c:pt idx="29">
                  <c:v>1.462</c:v>
                </c:pt>
                <c:pt idx="30">
                  <c:v>1.2833000000000001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ct_H!$N$1</c:f>
              <c:strCache>
                <c:ptCount val="1"/>
                <c:pt idx="0">
                  <c:v>Pz_Outer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ct_H!$M$26:$M$50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ct_H!$N$26:$N$50</c:f>
              <c:numCache>
                <c:formatCode>General</c:formatCode>
                <c:ptCount val="25"/>
                <c:pt idx="0">
                  <c:v>0.60800693738775879</c:v>
                </c:pt>
                <c:pt idx="1">
                  <c:v>0.60805533368651765</c:v>
                </c:pt>
                <c:pt idx="2">
                  <c:v>0.60948899569996795</c:v>
                </c:pt>
                <c:pt idx="3">
                  <c:v>0.61886113641441787</c:v>
                </c:pt>
                <c:pt idx="4">
                  <c:v>0.6511471454529163</c:v>
                </c:pt>
                <c:pt idx="5">
                  <c:v>0.72520692650479468</c:v>
                </c:pt>
                <c:pt idx="6">
                  <c:v>0.84474853136787997</c:v>
                </c:pt>
                <c:pt idx="7">
                  <c:v>0.98321821219268579</c:v>
                </c:pt>
                <c:pt idx="8">
                  <c:v>1.1048870726148554</c:v>
                </c:pt>
                <c:pt idx="9">
                  <c:v>1.1937369549348675</c:v>
                </c:pt>
                <c:pt idx="10">
                  <c:v>1.2525792803156206</c:v>
                </c:pt>
                <c:pt idx="11">
                  <c:v>1.2900913271344225</c:v>
                </c:pt>
                <c:pt idx="12">
                  <c:v>1.3138911215850926</c:v>
                </c:pt>
                <c:pt idx="13">
                  <c:v>1.3291671078351091</c:v>
                </c:pt>
                <c:pt idx="14">
                  <c:v>1.3391570072671668</c:v>
                </c:pt>
                <c:pt idx="15">
                  <c:v>1.3458292049547496</c:v>
                </c:pt>
                <c:pt idx="16">
                  <c:v>1.3503810446955777</c:v>
                </c:pt>
                <c:pt idx="17">
                  <c:v>1.353550029963873</c:v>
                </c:pt>
                <c:pt idx="18">
                  <c:v>1.3557985213176886</c:v>
                </c:pt>
                <c:pt idx="19">
                  <c:v>1.3574220908666488</c:v>
                </c:pt>
                <c:pt idx="20">
                  <c:v>1.3586134446541644</c:v>
                </c:pt>
                <c:pt idx="21">
                  <c:v>1.3595006426312812</c:v>
                </c:pt>
                <c:pt idx="22">
                  <c:v>1.360170340165223</c:v>
                </c:pt>
                <c:pt idx="23">
                  <c:v>1.3606821801230427</c:v>
                </c:pt>
                <c:pt idx="24">
                  <c:v>1.3610778694836765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ct_H!$O$1</c:f>
              <c:strCache>
                <c:ptCount val="1"/>
                <c:pt idx="0">
                  <c:v>Pz_Inner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ct_H!$M$2:$M$26</c:f>
              <c:numCache>
                <c:formatCode>General</c:formatCode>
                <c:ptCount val="25"/>
                <c:pt idx="0">
                  <c:v>-24</c:v>
                </c:pt>
                <c:pt idx="1">
                  <c:v>-23</c:v>
                </c:pt>
                <c:pt idx="2">
                  <c:v>-22</c:v>
                </c:pt>
                <c:pt idx="3">
                  <c:v>-21</c:v>
                </c:pt>
                <c:pt idx="4">
                  <c:v>-20</c:v>
                </c:pt>
                <c:pt idx="5">
                  <c:v>-19</c:v>
                </c:pt>
                <c:pt idx="6">
                  <c:v>-18</c:v>
                </c:pt>
                <c:pt idx="7">
                  <c:v>-17</c:v>
                </c:pt>
                <c:pt idx="8">
                  <c:v>-16</c:v>
                </c:pt>
                <c:pt idx="9">
                  <c:v>-15</c:v>
                </c:pt>
                <c:pt idx="10">
                  <c:v>-14</c:v>
                </c:pt>
                <c:pt idx="11">
                  <c:v>-13</c:v>
                </c:pt>
                <c:pt idx="12">
                  <c:v>-12</c:v>
                </c:pt>
                <c:pt idx="13">
                  <c:v>-11</c:v>
                </c:pt>
                <c:pt idx="14">
                  <c:v>-10</c:v>
                </c:pt>
                <c:pt idx="15">
                  <c:v>-9</c:v>
                </c:pt>
                <c:pt idx="16">
                  <c:v>-8</c:v>
                </c:pt>
                <c:pt idx="17">
                  <c:v>-7</c:v>
                </c:pt>
                <c:pt idx="18">
                  <c:v>-6</c:v>
                </c:pt>
                <c:pt idx="19">
                  <c:v>-5</c:v>
                </c:pt>
                <c:pt idx="20">
                  <c:v>-4</c:v>
                </c:pt>
                <c:pt idx="21">
                  <c:v>-3</c:v>
                </c:pt>
                <c:pt idx="22">
                  <c:v>-2</c:v>
                </c:pt>
                <c:pt idx="23">
                  <c:v>-1</c:v>
                </c:pt>
                <c:pt idx="24">
                  <c:v>0</c:v>
                </c:pt>
              </c:numCache>
            </c:numRef>
          </c:xVal>
          <c:yVal>
            <c:numRef>
              <c:f>ct_H!$O$2:$O$26</c:f>
              <c:numCache>
                <c:formatCode>General</c:formatCode>
                <c:ptCount val="25"/>
                <c:pt idx="0">
                  <c:v>0.95393983551151107</c:v>
                </c:pt>
                <c:pt idx="1">
                  <c:v>0.95393983551151107</c:v>
                </c:pt>
                <c:pt idx="2">
                  <c:v>0.95393983551151107</c:v>
                </c:pt>
                <c:pt idx="3">
                  <c:v>0.95393983551151107</c:v>
                </c:pt>
                <c:pt idx="4">
                  <c:v>0.95393983551151107</c:v>
                </c:pt>
                <c:pt idx="5">
                  <c:v>0.95393983551151107</c:v>
                </c:pt>
                <c:pt idx="6">
                  <c:v>0.95393983551151107</c:v>
                </c:pt>
                <c:pt idx="7">
                  <c:v>0.95393983551151107</c:v>
                </c:pt>
                <c:pt idx="8">
                  <c:v>0.95393983551151096</c:v>
                </c:pt>
                <c:pt idx="9">
                  <c:v>0.95393983551151029</c:v>
                </c:pt>
                <c:pt idx="10">
                  <c:v>0.95393983551150507</c:v>
                </c:pt>
                <c:pt idx="11">
                  <c:v>0.95393983551145489</c:v>
                </c:pt>
                <c:pt idx="12">
                  <c:v>0.95393983551089212</c:v>
                </c:pt>
                <c:pt idx="13">
                  <c:v>0.95393983550309069</c:v>
                </c:pt>
                <c:pt idx="14">
                  <c:v>0.95393983536458027</c:v>
                </c:pt>
                <c:pt idx="15">
                  <c:v>0.95393983204543831</c:v>
                </c:pt>
                <c:pt idx="16">
                  <c:v>0.95393971682176315</c:v>
                </c:pt>
                <c:pt idx="17">
                  <c:v>0.95393331676639137</c:v>
                </c:pt>
                <c:pt idx="18">
                  <c:v>0.95327642057026429</c:v>
                </c:pt>
                <c:pt idx="19">
                  <c:v>0.84392017280121689</c:v>
                </c:pt>
                <c:pt idx="20">
                  <c:v>0.59538158370929384</c:v>
                </c:pt>
                <c:pt idx="21">
                  <c:v>0.5943887563473117</c:v>
                </c:pt>
                <c:pt idx="22">
                  <c:v>0.59438857853593063</c:v>
                </c:pt>
                <c:pt idx="23">
                  <c:v>0.59438857853500326</c:v>
                </c:pt>
                <c:pt idx="24">
                  <c:v>0.59438857853500326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94816"/>
        <c:axId val="140995392"/>
      </c:scatterChart>
      <c:valAx>
        <c:axId val="140994816"/>
        <c:scaling>
          <c:orientation val="minMax"/>
          <c:max val="24"/>
          <c:min val="-24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2000">
                <a:solidFill>
                  <a:srgbClr val="000000"/>
                </a:solidFill>
              </a:defRPr>
            </a:pPr>
            <a:endParaRPr lang="en-US"/>
          </a:p>
        </c:txPr>
        <c:crossAx val="140995392"/>
        <c:crosses val="autoZero"/>
        <c:crossBetween val="midCat"/>
        <c:majorUnit val="3"/>
      </c:valAx>
      <c:valAx>
        <c:axId val="140995392"/>
        <c:scaling>
          <c:orientation val="minMax"/>
          <c:max val="3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2000">
                <a:solidFill>
                  <a:srgbClr val="000000"/>
                </a:solidFill>
              </a:defRPr>
            </a:pPr>
            <a:endParaRPr lang="en-US"/>
          </a:p>
        </c:txPr>
        <c:crossAx val="140994816"/>
        <c:crosses val="autoZero"/>
        <c:crossBetween val="midCat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ct_M!$G$1</c:f>
              <c:strCache>
                <c:ptCount val="1"/>
                <c:pt idx="0">
                  <c:v>p_res,bin (DATA)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ct_M!$D$2:$D$32</c:f>
              <c:numCache>
                <c:formatCode>General</c:formatCode>
                <c:ptCount val="31"/>
                <c:pt idx="0">
                  <c:v>-22.5</c:v>
                </c:pt>
                <c:pt idx="1">
                  <c:v>-21</c:v>
                </c:pt>
                <c:pt idx="2">
                  <c:v>-19.5</c:v>
                </c:pt>
                <c:pt idx="3">
                  <c:v>-18</c:v>
                </c:pt>
                <c:pt idx="4">
                  <c:v>-16.5</c:v>
                </c:pt>
                <c:pt idx="5">
                  <c:v>-15</c:v>
                </c:pt>
                <c:pt idx="6">
                  <c:v>-13.5</c:v>
                </c:pt>
                <c:pt idx="7">
                  <c:v>-12</c:v>
                </c:pt>
                <c:pt idx="8">
                  <c:v>-10.5</c:v>
                </c:pt>
                <c:pt idx="9">
                  <c:v>-9</c:v>
                </c:pt>
                <c:pt idx="10">
                  <c:v>-7.5</c:v>
                </c:pt>
                <c:pt idx="11">
                  <c:v>-6</c:v>
                </c:pt>
                <c:pt idx="12">
                  <c:v>-4.5</c:v>
                </c:pt>
                <c:pt idx="13">
                  <c:v>-3</c:v>
                </c:pt>
                <c:pt idx="14">
                  <c:v>-1.5</c:v>
                </c:pt>
                <c:pt idx="15">
                  <c:v>0</c:v>
                </c:pt>
                <c:pt idx="16">
                  <c:v>1.5</c:v>
                </c:pt>
                <c:pt idx="17">
                  <c:v>3</c:v>
                </c:pt>
                <c:pt idx="18">
                  <c:v>4.5</c:v>
                </c:pt>
                <c:pt idx="19">
                  <c:v>6</c:v>
                </c:pt>
                <c:pt idx="20">
                  <c:v>7.5</c:v>
                </c:pt>
                <c:pt idx="21">
                  <c:v>9</c:v>
                </c:pt>
                <c:pt idx="22">
                  <c:v>10.5</c:v>
                </c:pt>
                <c:pt idx="23">
                  <c:v>12</c:v>
                </c:pt>
                <c:pt idx="24">
                  <c:v>13.5</c:v>
                </c:pt>
                <c:pt idx="25">
                  <c:v>15</c:v>
                </c:pt>
                <c:pt idx="26">
                  <c:v>16.5</c:v>
                </c:pt>
                <c:pt idx="27">
                  <c:v>18</c:v>
                </c:pt>
                <c:pt idx="28">
                  <c:v>19.5</c:v>
                </c:pt>
                <c:pt idx="29">
                  <c:v>21</c:v>
                </c:pt>
                <c:pt idx="30">
                  <c:v>22.5</c:v>
                </c:pt>
              </c:numCache>
            </c:numRef>
          </c:xVal>
          <c:yVal>
            <c:numRef>
              <c:f>ct_M!$G$2:$G$32</c:f>
              <c:numCache>
                <c:formatCode>General</c:formatCode>
                <c:ptCount val="31"/>
                <c:pt idx="0">
                  <c:v>0.86209999999999998</c:v>
                </c:pt>
                <c:pt idx="1">
                  <c:v>1.2018</c:v>
                </c:pt>
                <c:pt idx="2">
                  <c:v>0.90400000000000003</c:v>
                </c:pt>
                <c:pt idx="3">
                  <c:v>0.75849999999999995</c:v>
                </c:pt>
                <c:pt idx="4">
                  <c:v>0.94679999999999997</c:v>
                </c:pt>
                <c:pt idx="5">
                  <c:v>1.0924</c:v>
                </c:pt>
                <c:pt idx="6">
                  <c:v>0.89690000000000003</c:v>
                </c:pt>
                <c:pt idx="7">
                  <c:v>1.0134000000000001</c:v>
                </c:pt>
                <c:pt idx="8">
                  <c:v>1.2318</c:v>
                </c:pt>
                <c:pt idx="9">
                  <c:v>1.0933999999999999</c:v>
                </c:pt>
                <c:pt idx="10">
                  <c:v>1.3072999999999999</c:v>
                </c:pt>
                <c:pt idx="11">
                  <c:v>1.3511</c:v>
                </c:pt>
                <c:pt idx="12">
                  <c:v>1.3137000000000001</c:v>
                </c:pt>
                <c:pt idx="13">
                  <c:v>1.6815</c:v>
                </c:pt>
                <c:pt idx="14">
                  <c:v>1.7314000000000001</c:v>
                </c:pt>
                <c:pt idx="15">
                  <c:v>1.5282</c:v>
                </c:pt>
                <c:pt idx="16">
                  <c:v>1.1950000000000001</c:v>
                </c:pt>
                <c:pt idx="17">
                  <c:v>0.96840000000000004</c:v>
                </c:pt>
                <c:pt idx="18">
                  <c:v>1.3822000000000001</c:v>
                </c:pt>
                <c:pt idx="19">
                  <c:v>1.3511</c:v>
                </c:pt>
                <c:pt idx="20">
                  <c:v>0.94530000000000003</c:v>
                </c:pt>
                <c:pt idx="21">
                  <c:v>0.89729999999999999</c:v>
                </c:pt>
                <c:pt idx="22">
                  <c:v>0.94610000000000005</c:v>
                </c:pt>
                <c:pt idx="23">
                  <c:v>1.0363</c:v>
                </c:pt>
                <c:pt idx="24">
                  <c:v>1.0259</c:v>
                </c:pt>
                <c:pt idx="25">
                  <c:v>0.97060000000000002</c:v>
                </c:pt>
                <c:pt idx="26">
                  <c:v>0.87739999999999996</c:v>
                </c:pt>
                <c:pt idx="27">
                  <c:v>0.69289999999999996</c:v>
                </c:pt>
                <c:pt idx="28">
                  <c:v>0.60580000000000001</c:v>
                </c:pt>
                <c:pt idx="29">
                  <c:v>0.64390000000000003</c:v>
                </c:pt>
                <c:pt idx="30">
                  <c:v>0.61019999999999996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ct_M!$N$1</c:f>
              <c:strCache>
                <c:ptCount val="1"/>
                <c:pt idx="0">
                  <c:v>Pz_Outer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ct_M!$M$26:$M$50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ct_M!$N$26:$N$50</c:f>
              <c:numCache>
                <c:formatCode>General</c:formatCode>
                <c:ptCount val="25"/>
                <c:pt idx="0">
                  <c:v>1.2331395862261396</c:v>
                </c:pt>
                <c:pt idx="1">
                  <c:v>1.2329189403446714</c:v>
                </c:pt>
                <c:pt idx="2">
                  <c:v>1.2313369556071891</c:v>
                </c:pt>
                <c:pt idx="3">
                  <c:v>1.2270067253915002</c:v>
                </c:pt>
                <c:pt idx="4">
                  <c:v>1.218617768757607</c:v>
                </c:pt>
                <c:pt idx="5">
                  <c:v>1.205058311761648</c:v>
                </c:pt>
                <c:pt idx="6">
                  <c:v>1.1855537267811664</c:v>
                </c:pt>
                <c:pt idx="7">
                  <c:v>1.159792112042785</c:v>
                </c:pt>
                <c:pt idx="8">
                  <c:v>1.1279993136580257</c:v>
                </c:pt>
                <c:pt idx="9">
                  <c:v>1.0909326391258538</c:v>
                </c:pt>
                <c:pt idx="10">
                  <c:v>1.0497842288265482</c:v>
                </c:pt>
                <c:pt idx="11">
                  <c:v>1.0060134734353869</c:v>
                </c:pt>
                <c:pt idx="12">
                  <c:v>0.96114981091180496</c:v>
                </c:pt>
                <c:pt idx="13">
                  <c:v>0.91661250627532531</c:v>
                </c:pt>
                <c:pt idx="14">
                  <c:v>0.87358192120022748</c:v>
                </c:pt>
                <c:pt idx="15">
                  <c:v>0.83293555831789112</c:v>
                </c:pt>
                <c:pt idx="16">
                  <c:v>0.79524250444737687</c:v>
                </c:pt>
                <c:pt idx="17">
                  <c:v>0.7607985345517948</c:v>
                </c:pt>
                <c:pt idx="18">
                  <c:v>0.72968188527005362</c:v>
                </c:pt>
                <c:pt idx="19">
                  <c:v>0.70181349530751391</c:v>
                </c:pt>
                <c:pt idx="20">
                  <c:v>0.6770114908445426</c:v>
                </c:pt>
                <c:pt idx="21">
                  <c:v>0.65503517026899338</c:v>
                </c:pt>
                <c:pt idx="22">
                  <c:v>0.6356175673203196</c:v>
                </c:pt>
                <c:pt idx="23">
                  <c:v>0.61848779140216692</c:v>
                </c:pt>
                <c:pt idx="24">
                  <c:v>0.60338519224423726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ct_M!$O$1</c:f>
              <c:strCache>
                <c:ptCount val="1"/>
                <c:pt idx="0">
                  <c:v>Pz_Inner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ct_M!$M$2:$M$26</c:f>
              <c:numCache>
                <c:formatCode>General</c:formatCode>
                <c:ptCount val="25"/>
                <c:pt idx="0">
                  <c:v>-24</c:v>
                </c:pt>
                <c:pt idx="1">
                  <c:v>-23</c:v>
                </c:pt>
                <c:pt idx="2">
                  <c:v>-22</c:v>
                </c:pt>
                <c:pt idx="3">
                  <c:v>-21</c:v>
                </c:pt>
                <c:pt idx="4">
                  <c:v>-20</c:v>
                </c:pt>
                <c:pt idx="5">
                  <c:v>-19</c:v>
                </c:pt>
                <c:pt idx="6">
                  <c:v>-18</c:v>
                </c:pt>
                <c:pt idx="7">
                  <c:v>-17</c:v>
                </c:pt>
                <c:pt idx="8">
                  <c:v>-16</c:v>
                </c:pt>
                <c:pt idx="9">
                  <c:v>-15</c:v>
                </c:pt>
                <c:pt idx="10">
                  <c:v>-14</c:v>
                </c:pt>
                <c:pt idx="11">
                  <c:v>-13</c:v>
                </c:pt>
                <c:pt idx="12">
                  <c:v>-12</c:v>
                </c:pt>
                <c:pt idx="13">
                  <c:v>-11</c:v>
                </c:pt>
                <c:pt idx="14">
                  <c:v>-10</c:v>
                </c:pt>
                <c:pt idx="15">
                  <c:v>-9</c:v>
                </c:pt>
                <c:pt idx="16">
                  <c:v>-8</c:v>
                </c:pt>
                <c:pt idx="17">
                  <c:v>-7</c:v>
                </c:pt>
                <c:pt idx="18">
                  <c:v>-6</c:v>
                </c:pt>
                <c:pt idx="19">
                  <c:v>-5</c:v>
                </c:pt>
                <c:pt idx="20">
                  <c:v>-4</c:v>
                </c:pt>
                <c:pt idx="21">
                  <c:v>-3</c:v>
                </c:pt>
                <c:pt idx="22">
                  <c:v>-2</c:v>
                </c:pt>
                <c:pt idx="23">
                  <c:v>-1</c:v>
                </c:pt>
                <c:pt idx="24">
                  <c:v>0</c:v>
                </c:pt>
              </c:numCache>
            </c:numRef>
          </c:xVal>
          <c:yVal>
            <c:numRef>
              <c:f>ct_M!$O$2:$O$26</c:f>
              <c:numCache>
                <c:formatCode>General</c:formatCode>
                <c:ptCount val="25"/>
                <c:pt idx="0">
                  <c:v>0.91308470955718346</c:v>
                </c:pt>
                <c:pt idx="1">
                  <c:v>0.91647712195345687</c:v>
                </c:pt>
                <c:pt idx="2">
                  <c:v>0.9204122032678721</c:v>
                </c:pt>
                <c:pt idx="3">
                  <c:v>0.92500205610135255</c:v>
                </c:pt>
                <c:pt idx="4">
                  <c:v>0.93038696534199183</c:v>
                </c:pt>
                <c:pt idx="5">
                  <c:v>0.93674357815700071</c:v>
                </c:pt>
                <c:pt idx="6">
                  <c:v>0.94429565238854885</c:v>
                </c:pt>
                <c:pt idx="7">
                  <c:v>0.95332813990332499</c:v>
                </c:pt>
                <c:pt idx="8">
                  <c:v>0.96420548723064869</c:v>
                </c:pt>
                <c:pt idx="9">
                  <c:v>0.97739500437255988</c:v>
                </c:pt>
                <c:pt idx="10">
                  <c:v>0.99349570971094792</c:v>
                </c:pt>
                <c:pt idx="11">
                  <c:v>1.0132716300556048</c:v>
                </c:pt>
                <c:pt idx="12">
                  <c:v>1.037684947438313</c:v>
                </c:pt>
                <c:pt idx="13">
                  <c:v>1.0679164330914201</c:v>
                </c:pt>
                <c:pt idx="14">
                  <c:v>1.105344700235996</c:v>
                </c:pt>
                <c:pt idx="15">
                  <c:v>1.1514278210309634</c:v>
                </c:pt>
                <c:pt idx="16">
                  <c:v>1.2073918325301201</c:v>
                </c:pt>
                <c:pt idx="17">
                  <c:v>1.2736048103741406</c:v>
                </c:pt>
                <c:pt idx="18">
                  <c:v>1.3485839361972576</c:v>
                </c:pt>
                <c:pt idx="19">
                  <c:v>1.4278930427207606</c:v>
                </c:pt>
                <c:pt idx="20">
                  <c:v>1.5037779140114249</c:v>
                </c:pt>
                <c:pt idx="21">
                  <c:v>1.5667328561858624</c:v>
                </c:pt>
                <c:pt idx="22">
                  <c:v>1.6092123953734454</c:v>
                </c:pt>
                <c:pt idx="23">
                  <c:v>1.6295291659708242</c:v>
                </c:pt>
                <c:pt idx="24">
                  <c:v>1.6335515417493633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97696"/>
        <c:axId val="140998272"/>
      </c:scatterChart>
      <c:valAx>
        <c:axId val="140997696"/>
        <c:scaling>
          <c:orientation val="minMax"/>
          <c:max val="24"/>
          <c:min val="-24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2000">
                <a:solidFill>
                  <a:srgbClr val="000000"/>
                </a:solidFill>
              </a:defRPr>
            </a:pPr>
            <a:endParaRPr lang="en-US"/>
          </a:p>
        </c:txPr>
        <c:crossAx val="140998272"/>
        <c:crosses val="autoZero"/>
        <c:crossBetween val="midCat"/>
        <c:majorUnit val="3"/>
      </c:valAx>
      <c:valAx>
        <c:axId val="140998272"/>
        <c:scaling>
          <c:orientation val="minMax"/>
          <c:max val="3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2000">
                <a:solidFill>
                  <a:srgbClr val="000000"/>
                </a:solidFill>
              </a:defRPr>
            </a:pPr>
            <a:endParaRPr lang="en-US"/>
          </a:p>
        </c:txPr>
        <c:crossAx val="140997696"/>
        <c:crosses val="autoZero"/>
        <c:crossBetween val="midCat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ct_S!$G$1</c:f>
              <c:strCache>
                <c:ptCount val="1"/>
                <c:pt idx="0">
                  <c:v>p_res,bin (DATA)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ct_S!$D$2:$D$32</c:f>
              <c:numCache>
                <c:formatCode>General</c:formatCode>
                <c:ptCount val="31"/>
                <c:pt idx="0">
                  <c:v>-22.5</c:v>
                </c:pt>
                <c:pt idx="1">
                  <c:v>-21</c:v>
                </c:pt>
                <c:pt idx="2">
                  <c:v>-19.5</c:v>
                </c:pt>
                <c:pt idx="3">
                  <c:v>-18</c:v>
                </c:pt>
                <c:pt idx="4">
                  <c:v>-16.5</c:v>
                </c:pt>
                <c:pt idx="5">
                  <c:v>-15</c:v>
                </c:pt>
                <c:pt idx="6">
                  <c:v>-13.5</c:v>
                </c:pt>
                <c:pt idx="7">
                  <c:v>-12</c:v>
                </c:pt>
                <c:pt idx="8">
                  <c:v>-10.5</c:v>
                </c:pt>
                <c:pt idx="9">
                  <c:v>-9</c:v>
                </c:pt>
                <c:pt idx="10">
                  <c:v>-7.5</c:v>
                </c:pt>
                <c:pt idx="11">
                  <c:v>-6</c:v>
                </c:pt>
                <c:pt idx="12">
                  <c:v>-4.5</c:v>
                </c:pt>
                <c:pt idx="13">
                  <c:v>-3</c:v>
                </c:pt>
                <c:pt idx="14">
                  <c:v>-1.5</c:v>
                </c:pt>
                <c:pt idx="15">
                  <c:v>0</c:v>
                </c:pt>
                <c:pt idx="16">
                  <c:v>1.5</c:v>
                </c:pt>
                <c:pt idx="17">
                  <c:v>3</c:v>
                </c:pt>
                <c:pt idx="18">
                  <c:v>4.5</c:v>
                </c:pt>
                <c:pt idx="19">
                  <c:v>6</c:v>
                </c:pt>
                <c:pt idx="20">
                  <c:v>7.5</c:v>
                </c:pt>
                <c:pt idx="21">
                  <c:v>9</c:v>
                </c:pt>
                <c:pt idx="22">
                  <c:v>10.5</c:v>
                </c:pt>
                <c:pt idx="23">
                  <c:v>12</c:v>
                </c:pt>
                <c:pt idx="24">
                  <c:v>13.5</c:v>
                </c:pt>
                <c:pt idx="25">
                  <c:v>15</c:v>
                </c:pt>
                <c:pt idx="26">
                  <c:v>16.5</c:v>
                </c:pt>
                <c:pt idx="27">
                  <c:v>18</c:v>
                </c:pt>
                <c:pt idx="28">
                  <c:v>19.5</c:v>
                </c:pt>
                <c:pt idx="29">
                  <c:v>21</c:v>
                </c:pt>
                <c:pt idx="30">
                  <c:v>22.5</c:v>
                </c:pt>
              </c:numCache>
            </c:numRef>
          </c:xVal>
          <c:yVal>
            <c:numRef>
              <c:f>ct_S!$G$2:$G$32</c:f>
              <c:numCache>
                <c:formatCode>General</c:formatCode>
                <c:ptCount val="31"/>
                <c:pt idx="0">
                  <c:v>1.0257000000000001</c:v>
                </c:pt>
                <c:pt idx="1">
                  <c:v>1.0266999999999999</c:v>
                </c:pt>
                <c:pt idx="2">
                  <c:v>1.165</c:v>
                </c:pt>
                <c:pt idx="3">
                  <c:v>1.1577</c:v>
                </c:pt>
                <c:pt idx="4">
                  <c:v>1.0769</c:v>
                </c:pt>
                <c:pt idx="5">
                  <c:v>1.0596000000000001</c:v>
                </c:pt>
                <c:pt idx="6">
                  <c:v>0.98680000000000001</c:v>
                </c:pt>
                <c:pt idx="7">
                  <c:v>0.89590000000000003</c:v>
                </c:pt>
                <c:pt idx="8">
                  <c:v>0.88870000000000005</c:v>
                </c:pt>
                <c:pt idx="9">
                  <c:v>0.8004</c:v>
                </c:pt>
                <c:pt idx="10">
                  <c:v>0.76910000000000001</c:v>
                </c:pt>
                <c:pt idx="11">
                  <c:v>0.78139999999999998</c:v>
                </c:pt>
                <c:pt idx="12">
                  <c:v>0.77449999999999997</c:v>
                </c:pt>
                <c:pt idx="13">
                  <c:v>0.83679999999999999</c:v>
                </c:pt>
                <c:pt idx="14">
                  <c:v>0.82279999999999998</c:v>
                </c:pt>
                <c:pt idx="15">
                  <c:v>0.84689999999999999</c:v>
                </c:pt>
                <c:pt idx="16">
                  <c:v>0.85780000000000001</c:v>
                </c:pt>
                <c:pt idx="17">
                  <c:v>0.85589999999999999</c:v>
                </c:pt>
                <c:pt idx="18">
                  <c:v>0.88360000000000005</c:v>
                </c:pt>
                <c:pt idx="19">
                  <c:v>0.81910000000000005</c:v>
                </c:pt>
                <c:pt idx="20">
                  <c:v>0.69530000000000003</c:v>
                </c:pt>
                <c:pt idx="21">
                  <c:v>0.8488</c:v>
                </c:pt>
                <c:pt idx="22">
                  <c:v>0.97299999999999998</c:v>
                </c:pt>
                <c:pt idx="23">
                  <c:v>0.97060000000000002</c:v>
                </c:pt>
                <c:pt idx="24">
                  <c:v>1.0004999999999999</c:v>
                </c:pt>
                <c:pt idx="25">
                  <c:v>1.1375999999999999</c:v>
                </c:pt>
                <c:pt idx="26">
                  <c:v>1.2816000000000001</c:v>
                </c:pt>
                <c:pt idx="27">
                  <c:v>1.206</c:v>
                </c:pt>
                <c:pt idx="28">
                  <c:v>1.1183000000000001</c:v>
                </c:pt>
                <c:pt idx="29">
                  <c:v>1.2512000000000001</c:v>
                </c:pt>
                <c:pt idx="30">
                  <c:v>1.236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ct_S!$N$1</c:f>
              <c:strCache>
                <c:ptCount val="1"/>
                <c:pt idx="0">
                  <c:v>Pz_Outer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ct_S!$M$26:$M$50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ct_S!$N$26:$N$50</c:f>
              <c:numCache>
                <c:formatCode>General</c:formatCode>
                <c:ptCount val="25"/>
                <c:pt idx="0">
                  <c:v>0.82892291718686928</c:v>
                </c:pt>
                <c:pt idx="1">
                  <c:v>0.82892291842367227</c:v>
                </c:pt>
                <c:pt idx="2">
                  <c:v>0.82892316775692965</c:v>
                </c:pt>
                <c:pt idx="3">
                  <c:v>0.82892851753354713</c:v>
                </c:pt>
                <c:pt idx="4">
                  <c:v>0.82897367518226306</c:v>
                </c:pt>
                <c:pt idx="5">
                  <c:v>0.8292033502293622</c:v>
                </c:pt>
                <c:pt idx="6">
                  <c:v>0.83005439708695261</c:v>
                </c:pt>
                <c:pt idx="7">
                  <c:v>0.83258660881596513</c:v>
                </c:pt>
                <c:pt idx="8">
                  <c:v>0.83895517664733199</c:v>
                </c:pt>
                <c:pt idx="9">
                  <c:v>0.85280054403846495</c:v>
                </c:pt>
                <c:pt idx="10">
                  <c:v>0.87882451063831457</c:v>
                </c:pt>
                <c:pt idx="11">
                  <c:v>0.92042513794378045</c:v>
                </c:pt>
                <c:pt idx="12">
                  <c:v>0.97574095516406578</c:v>
                </c:pt>
                <c:pt idx="13">
                  <c:v>1.0362722941137121</c:v>
                </c:pt>
                <c:pt idx="14">
                  <c:v>1.0915779131129233</c:v>
                </c:pt>
                <c:pt idx="15">
                  <c:v>1.1353912050573847</c:v>
                </c:pt>
                <c:pt idx="16">
                  <c:v>1.1669097847625345</c:v>
                </c:pt>
                <c:pt idx="17">
                  <c:v>1.1883528617012562</c:v>
                </c:pt>
                <c:pt idx="18">
                  <c:v>1.2025586758288187</c:v>
                </c:pt>
                <c:pt idx="19">
                  <c:v>1.2118950653450509</c:v>
                </c:pt>
                <c:pt idx="20">
                  <c:v>1.218049028505187</c:v>
                </c:pt>
                <c:pt idx="21">
                  <c:v>1.222141483656316</c:v>
                </c:pt>
                <c:pt idx="22">
                  <c:v>1.2248955446907324</c:v>
                </c:pt>
                <c:pt idx="23">
                  <c:v>1.2267735190412727</c:v>
                </c:pt>
                <c:pt idx="24">
                  <c:v>1.228071534893723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ct_S!$O$1</c:f>
              <c:strCache>
                <c:ptCount val="1"/>
                <c:pt idx="0">
                  <c:v>Pz_Inner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ct_S!$M$2:$M$26</c:f>
              <c:numCache>
                <c:formatCode>General</c:formatCode>
                <c:ptCount val="25"/>
                <c:pt idx="0">
                  <c:v>-24</c:v>
                </c:pt>
                <c:pt idx="1">
                  <c:v>-23</c:v>
                </c:pt>
                <c:pt idx="2">
                  <c:v>-22</c:v>
                </c:pt>
                <c:pt idx="3">
                  <c:v>-21</c:v>
                </c:pt>
                <c:pt idx="4">
                  <c:v>-20</c:v>
                </c:pt>
                <c:pt idx="5">
                  <c:v>-19</c:v>
                </c:pt>
                <c:pt idx="6">
                  <c:v>-18</c:v>
                </c:pt>
                <c:pt idx="7">
                  <c:v>-17</c:v>
                </c:pt>
                <c:pt idx="8">
                  <c:v>-16</c:v>
                </c:pt>
                <c:pt idx="9">
                  <c:v>-15</c:v>
                </c:pt>
                <c:pt idx="10">
                  <c:v>-14</c:v>
                </c:pt>
                <c:pt idx="11">
                  <c:v>-13</c:v>
                </c:pt>
                <c:pt idx="12">
                  <c:v>-12</c:v>
                </c:pt>
                <c:pt idx="13">
                  <c:v>-11</c:v>
                </c:pt>
                <c:pt idx="14">
                  <c:v>-10</c:v>
                </c:pt>
                <c:pt idx="15">
                  <c:v>-9</c:v>
                </c:pt>
                <c:pt idx="16">
                  <c:v>-8</c:v>
                </c:pt>
                <c:pt idx="17">
                  <c:v>-7</c:v>
                </c:pt>
                <c:pt idx="18">
                  <c:v>-6</c:v>
                </c:pt>
                <c:pt idx="19">
                  <c:v>-5</c:v>
                </c:pt>
                <c:pt idx="20">
                  <c:v>-4</c:v>
                </c:pt>
                <c:pt idx="21">
                  <c:v>-3</c:v>
                </c:pt>
                <c:pt idx="22">
                  <c:v>-2</c:v>
                </c:pt>
                <c:pt idx="23">
                  <c:v>-1</c:v>
                </c:pt>
                <c:pt idx="24">
                  <c:v>0</c:v>
                </c:pt>
              </c:numCache>
            </c:numRef>
          </c:xVal>
          <c:yVal>
            <c:numRef>
              <c:f>ct_S!$O$2:$O$26</c:f>
              <c:numCache>
                <c:formatCode>General</c:formatCode>
                <c:ptCount val="25"/>
                <c:pt idx="0">
                  <c:v>1.0929796737089676</c:v>
                </c:pt>
                <c:pt idx="1">
                  <c:v>1.0927525247060983</c:v>
                </c:pt>
                <c:pt idx="2">
                  <c:v>1.0923853353392214</c:v>
                </c:pt>
                <c:pt idx="3">
                  <c:v>1.0917793515754657</c:v>
                </c:pt>
                <c:pt idx="4">
                  <c:v>1.0907571883089753</c:v>
                </c:pt>
                <c:pt idx="5">
                  <c:v>1.0889937847281004</c:v>
                </c:pt>
                <c:pt idx="6">
                  <c:v>1.0858840303122057</c:v>
                </c:pt>
                <c:pt idx="7">
                  <c:v>1.080295774828705</c:v>
                </c:pt>
                <c:pt idx="8">
                  <c:v>1.0701515123623722</c:v>
                </c:pt>
                <c:pt idx="9">
                  <c:v>1.0519170369042241</c:v>
                </c:pt>
                <c:pt idx="10">
                  <c:v>1.0207545139846159</c:v>
                </c:pt>
                <c:pt idx="11">
                  <c:v>0.97361387808752786</c:v>
                </c:pt>
                <c:pt idx="12">
                  <c:v>0.91636034654848675</c:v>
                </c:pt>
                <c:pt idx="13">
                  <c:v>0.86503894776229173</c:v>
                </c:pt>
                <c:pt idx="14">
                  <c:v>0.83171338226034464</c:v>
                </c:pt>
                <c:pt idx="15">
                  <c:v>0.81526326006736627</c:v>
                </c:pt>
                <c:pt idx="16">
                  <c:v>0.80868815391048476</c:v>
                </c:pt>
                <c:pt idx="17">
                  <c:v>0.80648384308971355</c:v>
                </c:pt>
                <c:pt idx="18">
                  <c:v>0.8058654173056734</c:v>
                </c:pt>
                <c:pt idx="19">
                  <c:v>0.80572542101990408</c:v>
                </c:pt>
                <c:pt idx="20">
                  <c:v>0.8057016602624657</c:v>
                </c:pt>
                <c:pt idx="21">
                  <c:v>0.80569900686333096</c:v>
                </c:pt>
                <c:pt idx="22">
                  <c:v>0.80569885451227397</c:v>
                </c:pt>
                <c:pt idx="23">
                  <c:v>0.80569885190344559</c:v>
                </c:pt>
                <c:pt idx="24">
                  <c:v>0.80569885190101775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93920"/>
        <c:axId val="141394496"/>
      </c:scatterChart>
      <c:valAx>
        <c:axId val="141393920"/>
        <c:scaling>
          <c:orientation val="minMax"/>
          <c:max val="24"/>
          <c:min val="-24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2000">
                <a:solidFill>
                  <a:srgbClr val="000000"/>
                </a:solidFill>
              </a:defRPr>
            </a:pPr>
            <a:endParaRPr lang="en-US"/>
          </a:p>
        </c:txPr>
        <c:crossAx val="141394496"/>
        <c:crosses val="autoZero"/>
        <c:crossBetween val="midCat"/>
        <c:majorUnit val="3"/>
      </c:valAx>
      <c:valAx>
        <c:axId val="141394496"/>
        <c:scaling>
          <c:orientation val="minMax"/>
          <c:max val="3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2000">
                <a:solidFill>
                  <a:srgbClr val="000000"/>
                </a:solidFill>
              </a:defRPr>
            </a:pPr>
            <a:endParaRPr lang="en-US"/>
          </a:p>
        </c:txPr>
        <c:crossAx val="141393920"/>
        <c:crosses val="autoZero"/>
        <c:crossBetween val="midCat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ct_T!$G$1</c:f>
              <c:strCache>
                <c:ptCount val="1"/>
                <c:pt idx="0">
                  <c:v>p_res,bin (DATA)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ct_T!$D$2:$D$32</c:f>
              <c:numCache>
                <c:formatCode>General</c:formatCode>
                <c:ptCount val="31"/>
                <c:pt idx="0">
                  <c:v>-22.5</c:v>
                </c:pt>
                <c:pt idx="1">
                  <c:v>-21</c:v>
                </c:pt>
                <c:pt idx="2">
                  <c:v>-19.5</c:v>
                </c:pt>
                <c:pt idx="3">
                  <c:v>-18</c:v>
                </c:pt>
                <c:pt idx="4">
                  <c:v>-16.5</c:v>
                </c:pt>
                <c:pt idx="5">
                  <c:v>-15</c:v>
                </c:pt>
                <c:pt idx="6">
                  <c:v>-13.5</c:v>
                </c:pt>
                <c:pt idx="7">
                  <c:v>-12</c:v>
                </c:pt>
                <c:pt idx="8">
                  <c:v>-10.5</c:v>
                </c:pt>
                <c:pt idx="9">
                  <c:v>-9</c:v>
                </c:pt>
                <c:pt idx="10">
                  <c:v>-7.5</c:v>
                </c:pt>
                <c:pt idx="11">
                  <c:v>-6</c:v>
                </c:pt>
                <c:pt idx="12">
                  <c:v>-4.5</c:v>
                </c:pt>
                <c:pt idx="13">
                  <c:v>-3</c:v>
                </c:pt>
                <c:pt idx="14">
                  <c:v>-1.5</c:v>
                </c:pt>
                <c:pt idx="15">
                  <c:v>0</c:v>
                </c:pt>
                <c:pt idx="16">
                  <c:v>1.5</c:v>
                </c:pt>
                <c:pt idx="17">
                  <c:v>3</c:v>
                </c:pt>
                <c:pt idx="18">
                  <c:v>4.5</c:v>
                </c:pt>
                <c:pt idx="19">
                  <c:v>6</c:v>
                </c:pt>
                <c:pt idx="20">
                  <c:v>7.5</c:v>
                </c:pt>
                <c:pt idx="21">
                  <c:v>9</c:v>
                </c:pt>
                <c:pt idx="22">
                  <c:v>10.5</c:v>
                </c:pt>
                <c:pt idx="23">
                  <c:v>12</c:v>
                </c:pt>
                <c:pt idx="24">
                  <c:v>13.5</c:v>
                </c:pt>
                <c:pt idx="25">
                  <c:v>15</c:v>
                </c:pt>
                <c:pt idx="26">
                  <c:v>16.5</c:v>
                </c:pt>
                <c:pt idx="27">
                  <c:v>18</c:v>
                </c:pt>
                <c:pt idx="28">
                  <c:v>19.5</c:v>
                </c:pt>
                <c:pt idx="29">
                  <c:v>21</c:v>
                </c:pt>
                <c:pt idx="30">
                  <c:v>22.5</c:v>
                </c:pt>
              </c:numCache>
            </c:numRef>
          </c:xVal>
          <c:yVal>
            <c:numRef>
              <c:f>ct_T!$G$2:$G$32</c:f>
              <c:numCache>
                <c:formatCode>General</c:formatCode>
                <c:ptCount val="31"/>
                <c:pt idx="0">
                  <c:v>0.59899999999999998</c:v>
                </c:pt>
                <c:pt idx="1">
                  <c:v>0.82420000000000004</c:v>
                </c:pt>
                <c:pt idx="2">
                  <c:v>0.98619999999999997</c:v>
                </c:pt>
                <c:pt idx="3">
                  <c:v>0.92789999999999995</c:v>
                </c:pt>
                <c:pt idx="4">
                  <c:v>1.0165999999999999</c:v>
                </c:pt>
                <c:pt idx="5">
                  <c:v>0.95169999999999999</c:v>
                </c:pt>
                <c:pt idx="6">
                  <c:v>0.91769999999999996</c:v>
                </c:pt>
                <c:pt idx="7">
                  <c:v>0.96299999999999997</c:v>
                </c:pt>
                <c:pt idx="8">
                  <c:v>0.92949999999999999</c:v>
                </c:pt>
                <c:pt idx="9">
                  <c:v>0.83099999999999996</c:v>
                </c:pt>
                <c:pt idx="10">
                  <c:v>0.73540000000000005</c:v>
                </c:pt>
                <c:pt idx="11">
                  <c:v>0.81699999999999995</c:v>
                </c:pt>
                <c:pt idx="12">
                  <c:v>0.96970000000000001</c:v>
                </c:pt>
                <c:pt idx="13">
                  <c:v>1.0127999999999999</c:v>
                </c:pt>
                <c:pt idx="14">
                  <c:v>0.89959999999999996</c:v>
                </c:pt>
                <c:pt idx="15">
                  <c:v>0.95569999999999999</c:v>
                </c:pt>
                <c:pt idx="16">
                  <c:v>0.96260000000000001</c:v>
                </c:pt>
                <c:pt idx="17">
                  <c:v>0.81520000000000004</c:v>
                </c:pt>
                <c:pt idx="18">
                  <c:v>0.7913</c:v>
                </c:pt>
                <c:pt idx="19">
                  <c:v>0.79349999999999998</c:v>
                </c:pt>
                <c:pt idx="20">
                  <c:v>0.77610000000000001</c:v>
                </c:pt>
                <c:pt idx="21">
                  <c:v>0.98540000000000005</c:v>
                </c:pt>
                <c:pt idx="22">
                  <c:v>1.0740000000000001</c:v>
                </c:pt>
                <c:pt idx="23">
                  <c:v>1.0619000000000001</c:v>
                </c:pt>
                <c:pt idx="24">
                  <c:v>0.99509999999999998</c:v>
                </c:pt>
                <c:pt idx="25">
                  <c:v>1.0558000000000001</c:v>
                </c:pt>
                <c:pt idx="26">
                  <c:v>1.1840999999999999</c:v>
                </c:pt>
                <c:pt idx="27">
                  <c:v>1.1376999999999999</c:v>
                </c:pt>
                <c:pt idx="28">
                  <c:v>0.95720000000000005</c:v>
                </c:pt>
                <c:pt idx="29">
                  <c:v>0.8357</c:v>
                </c:pt>
                <c:pt idx="30">
                  <c:v>0.9708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ct_T!$N$1</c:f>
              <c:strCache>
                <c:ptCount val="1"/>
                <c:pt idx="0">
                  <c:v>Pz_Outer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ct_T!$M$26:$M$50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ct_T!$N$26:$N$50</c:f>
              <c:numCache>
                <c:formatCode>General</c:formatCode>
                <c:ptCount val="25"/>
                <c:pt idx="0">
                  <c:v>0.84556304940742311</c:v>
                </c:pt>
                <c:pt idx="1">
                  <c:v>0.84556304940742311</c:v>
                </c:pt>
                <c:pt idx="2">
                  <c:v>0.84556304940742311</c:v>
                </c:pt>
                <c:pt idx="3">
                  <c:v>0.84556304940742566</c:v>
                </c:pt>
                <c:pt idx="4">
                  <c:v>0.84556304942170735</c:v>
                </c:pt>
                <c:pt idx="5">
                  <c:v>0.84556306094608003</c:v>
                </c:pt>
                <c:pt idx="6">
                  <c:v>0.84556578836996377</c:v>
                </c:pt>
                <c:pt idx="7">
                  <c:v>0.8458418710090454</c:v>
                </c:pt>
                <c:pt idx="8">
                  <c:v>0.85970141564133185</c:v>
                </c:pt>
                <c:pt idx="9">
                  <c:v>0.97984922071069447</c:v>
                </c:pt>
                <c:pt idx="10">
                  <c:v>1.0232539385443686</c:v>
                </c:pt>
                <c:pt idx="11">
                  <c:v>1.0256816976783445</c:v>
                </c:pt>
                <c:pt idx="12">
                  <c:v>1.0258204073723434</c:v>
                </c:pt>
                <c:pt idx="13">
                  <c:v>1.0258304239768337</c:v>
                </c:pt>
                <c:pt idx="14">
                  <c:v>1.0258313139332349</c:v>
                </c:pt>
                <c:pt idx="15">
                  <c:v>1.0258314083386715</c:v>
                </c:pt>
                <c:pt idx="16">
                  <c:v>1.0258314200077885</c:v>
                </c:pt>
                <c:pt idx="17">
                  <c:v>1.0258314216557909</c:v>
                </c:pt>
                <c:pt idx="18">
                  <c:v>1.0258314219174731</c:v>
                </c:pt>
                <c:pt idx="19">
                  <c:v>1.0258314219635734</c:v>
                </c:pt>
                <c:pt idx="20">
                  <c:v>1.0258314219724838</c:v>
                </c:pt>
                <c:pt idx="21">
                  <c:v>1.0258314219743556</c:v>
                </c:pt>
                <c:pt idx="22">
                  <c:v>1.0258314219747795</c:v>
                </c:pt>
                <c:pt idx="23">
                  <c:v>1.0258314219748821</c:v>
                </c:pt>
                <c:pt idx="24">
                  <c:v>1.0258314219749087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ct_T!$O$1</c:f>
              <c:strCache>
                <c:ptCount val="1"/>
                <c:pt idx="0">
                  <c:v>Pz_Inner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ct_T!$M$2:$M$26</c:f>
              <c:numCache>
                <c:formatCode>General</c:formatCode>
                <c:ptCount val="25"/>
                <c:pt idx="0">
                  <c:v>-24</c:v>
                </c:pt>
                <c:pt idx="1">
                  <c:v>-23</c:v>
                </c:pt>
                <c:pt idx="2">
                  <c:v>-22</c:v>
                </c:pt>
                <c:pt idx="3">
                  <c:v>-21</c:v>
                </c:pt>
                <c:pt idx="4">
                  <c:v>-20</c:v>
                </c:pt>
                <c:pt idx="5">
                  <c:v>-19</c:v>
                </c:pt>
                <c:pt idx="6">
                  <c:v>-18</c:v>
                </c:pt>
                <c:pt idx="7">
                  <c:v>-17</c:v>
                </c:pt>
                <c:pt idx="8">
                  <c:v>-16</c:v>
                </c:pt>
                <c:pt idx="9">
                  <c:v>-15</c:v>
                </c:pt>
                <c:pt idx="10">
                  <c:v>-14</c:v>
                </c:pt>
                <c:pt idx="11">
                  <c:v>-13</c:v>
                </c:pt>
                <c:pt idx="12">
                  <c:v>-12</c:v>
                </c:pt>
                <c:pt idx="13">
                  <c:v>-11</c:v>
                </c:pt>
                <c:pt idx="14">
                  <c:v>-10</c:v>
                </c:pt>
                <c:pt idx="15">
                  <c:v>-9</c:v>
                </c:pt>
                <c:pt idx="16">
                  <c:v>-8</c:v>
                </c:pt>
                <c:pt idx="17">
                  <c:v>-7</c:v>
                </c:pt>
                <c:pt idx="18">
                  <c:v>-6</c:v>
                </c:pt>
                <c:pt idx="19">
                  <c:v>-5</c:v>
                </c:pt>
                <c:pt idx="20">
                  <c:v>-4</c:v>
                </c:pt>
                <c:pt idx="21">
                  <c:v>-3</c:v>
                </c:pt>
                <c:pt idx="22">
                  <c:v>-2</c:v>
                </c:pt>
                <c:pt idx="23">
                  <c:v>-1</c:v>
                </c:pt>
                <c:pt idx="24">
                  <c:v>0</c:v>
                </c:pt>
              </c:numCache>
            </c:numRef>
          </c:xVal>
          <c:yVal>
            <c:numRef>
              <c:f>ct_T!$O$2:$O$26</c:f>
              <c:numCache>
                <c:formatCode>General</c:formatCode>
                <c:ptCount val="25"/>
                <c:pt idx="0">
                  <c:v>0.84884621072314947</c:v>
                </c:pt>
                <c:pt idx="1">
                  <c:v>0.85068170613616378</c:v>
                </c:pt>
                <c:pt idx="2">
                  <c:v>0.85261678164941868</c:v>
                </c:pt>
                <c:pt idx="3">
                  <c:v>0.85465934732121596</c:v>
                </c:pt>
                <c:pt idx="4">
                  <c:v>0.85681812921043399</c:v>
                </c:pt>
                <c:pt idx="5">
                  <c:v>0.85910276983883094</c:v>
                </c:pt>
                <c:pt idx="6">
                  <c:v>0.86152394203147942</c:v>
                </c:pt>
                <c:pt idx="7">
                  <c:v>0.86409347764116606</c:v>
                </c:pt>
                <c:pt idx="8">
                  <c:v>0.8668245125656816</c:v>
                </c:pt>
                <c:pt idx="9">
                  <c:v>0.86973164914399537</c:v>
                </c:pt>
                <c:pt idx="10">
                  <c:v>0.87283113629452913</c:v>
                </c:pt>
                <c:pt idx="11">
                  <c:v>0.87614106633748001</c:v>
                </c:pt>
                <c:pt idx="12">
                  <c:v>0.87968158480363678</c:v>
                </c:pt>
                <c:pt idx="13">
                  <c:v>0.88347510475320168</c:v>
                </c:pt>
                <c:pt idx="14">
                  <c:v>0.88754650853677908</c:v>
                </c:pt>
                <c:pt idx="15">
                  <c:v>0.89192330439112355</c:v>
                </c:pt>
                <c:pt idx="16">
                  <c:v>0.89663567665457611</c:v>
                </c:pt>
                <c:pt idx="17">
                  <c:v>0.9017163141333725</c:v>
                </c:pt>
                <c:pt idx="18">
                  <c:v>0.90719979361650516</c:v>
                </c:pt>
                <c:pt idx="19">
                  <c:v>0.9131210684890998</c:v>
                </c:pt>
                <c:pt idx="20">
                  <c:v>0.91951208754027602</c:v>
                </c:pt>
                <c:pt idx="21">
                  <c:v>0.92639418318475153</c:v>
                </c:pt>
                <c:pt idx="22">
                  <c:v>0.93375937135727294</c:v>
                </c:pt>
                <c:pt idx="23">
                  <c:v>0.94151275880470664</c:v>
                </c:pt>
                <c:pt idx="24">
                  <c:v>0.94903207695904623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96800"/>
        <c:axId val="141397376"/>
      </c:scatterChart>
      <c:valAx>
        <c:axId val="141396800"/>
        <c:scaling>
          <c:orientation val="minMax"/>
          <c:max val="24"/>
          <c:min val="-24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2000">
                <a:solidFill>
                  <a:srgbClr val="000000"/>
                </a:solidFill>
              </a:defRPr>
            </a:pPr>
            <a:endParaRPr lang="en-US"/>
          </a:p>
        </c:txPr>
        <c:crossAx val="141397376"/>
        <c:crosses val="autoZero"/>
        <c:crossBetween val="midCat"/>
        <c:majorUnit val="3"/>
      </c:valAx>
      <c:valAx>
        <c:axId val="141397376"/>
        <c:scaling>
          <c:orientation val="minMax"/>
          <c:max val="3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2000">
                <a:solidFill>
                  <a:srgbClr val="000000"/>
                </a:solidFill>
              </a:defRPr>
            </a:pPr>
            <a:endParaRPr lang="en-US"/>
          </a:p>
        </c:txPr>
        <c:crossAx val="141396800"/>
        <c:crosses val="autoZero"/>
        <c:crossBetween val="midCat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ct_F!$G$1</c:f>
              <c:strCache>
                <c:ptCount val="1"/>
                <c:pt idx="0">
                  <c:v>p_res,bin (DATA)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ct_F!$D$2:$D$32</c:f>
              <c:numCache>
                <c:formatCode>General</c:formatCode>
                <c:ptCount val="31"/>
                <c:pt idx="0">
                  <c:v>-22.5</c:v>
                </c:pt>
                <c:pt idx="1">
                  <c:v>-21</c:v>
                </c:pt>
                <c:pt idx="2">
                  <c:v>-19.5</c:v>
                </c:pt>
                <c:pt idx="3">
                  <c:v>-18</c:v>
                </c:pt>
                <c:pt idx="4">
                  <c:v>-16.5</c:v>
                </c:pt>
                <c:pt idx="5">
                  <c:v>-15</c:v>
                </c:pt>
                <c:pt idx="6">
                  <c:v>-13.5</c:v>
                </c:pt>
                <c:pt idx="7">
                  <c:v>-12</c:v>
                </c:pt>
                <c:pt idx="8">
                  <c:v>-10.5</c:v>
                </c:pt>
                <c:pt idx="9">
                  <c:v>-9</c:v>
                </c:pt>
                <c:pt idx="10">
                  <c:v>-7.5</c:v>
                </c:pt>
                <c:pt idx="11">
                  <c:v>-6</c:v>
                </c:pt>
                <c:pt idx="12">
                  <c:v>-4.5</c:v>
                </c:pt>
                <c:pt idx="13">
                  <c:v>-3</c:v>
                </c:pt>
                <c:pt idx="14">
                  <c:v>-1.5</c:v>
                </c:pt>
                <c:pt idx="15">
                  <c:v>0</c:v>
                </c:pt>
                <c:pt idx="16">
                  <c:v>1.5</c:v>
                </c:pt>
                <c:pt idx="17">
                  <c:v>3</c:v>
                </c:pt>
                <c:pt idx="18">
                  <c:v>4.5</c:v>
                </c:pt>
                <c:pt idx="19">
                  <c:v>6</c:v>
                </c:pt>
                <c:pt idx="20">
                  <c:v>7.5</c:v>
                </c:pt>
                <c:pt idx="21">
                  <c:v>9</c:v>
                </c:pt>
                <c:pt idx="22">
                  <c:v>10.5</c:v>
                </c:pt>
                <c:pt idx="23">
                  <c:v>12</c:v>
                </c:pt>
                <c:pt idx="24">
                  <c:v>13.5</c:v>
                </c:pt>
                <c:pt idx="25">
                  <c:v>15</c:v>
                </c:pt>
                <c:pt idx="26">
                  <c:v>16.5</c:v>
                </c:pt>
                <c:pt idx="27">
                  <c:v>18</c:v>
                </c:pt>
                <c:pt idx="28">
                  <c:v>19.5</c:v>
                </c:pt>
                <c:pt idx="29">
                  <c:v>21</c:v>
                </c:pt>
                <c:pt idx="30">
                  <c:v>22.5</c:v>
                </c:pt>
              </c:numCache>
            </c:numRef>
          </c:xVal>
          <c:yVal>
            <c:numRef>
              <c:f>ct_F!$G$2:$G$32</c:f>
              <c:numCache>
                <c:formatCode>General</c:formatCode>
                <c:ptCount val="31"/>
                <c:pt idx="0">
                  <c:v>0.42899999999999999</c:v>
                </c:pt>
                <c:pt idx="1">
                  <c:v>0.54790000000000005</c:v>
                </c:pt>
                <c:pt idx="2">
                  <c:v>0.71619999999999995</c:v>
                </c:pt>
                <c:pt idx="3">
                  <c:v>0.68210000000000004</c:v>
                </c:pt>
                <c:pt idx="4">
                  <c:v>0.70520000000000005</c:v>
                </c:pt>
                <c:pt idx="5">
                  <c:v>0.91449999999999998</c:v>
                </c:pt>
                <c:pt idx="6">
                  <c:v>1.3242</c:v>
                </c:pt>
                <c:pt idx="7">
                  <c:v>1.7552000000000001</c:v>
                </c:pt>
                <c:pt idx="8">
                  <c:v>1.7605</c:v>
                </c:pt>
                <c:pt idx="9">
                  <c:v>1.5821000000000001</c:v>
                </c:pt>
                <c:pt idx="10">
                  <c:v>1.4795</c:v>
                </c:pt>
                <c:pt idx="11">
                  <c:v>1.2544999999999999</c:v>
                </c:pt>
                <c:pt idx="12">
                  <c:v>1.2596000000000001</c:v>
                </c:pt>
                <c:pt idx="13">
                  <c:v>1.3003</c:v>
                </c:pt>
                <c:pt idx="14">
                  <c:v>1.3962000000000001</c:v>
                </c:pt>
                <c:pt idx="15">
                  <c:v>1.3012999999999999</c:v>
                </c:pt>
                <c:pt idx="16">
                  <c:v>0.98250000000000004</c:v>
                </c:pt>
                <c:pt idx="17">
                  <c:v>0.95379999999999998</c:v>
                </c:pt>
                <c:pt idx="18">
                  <c:v>0.96709999999999996</c:v>
                </c:pt>
                <c:pt idx="19">
                  <c:v>0.97689999999999999</c:v>
                </c:pt>
                <c:pt idx="20">
                  <c:v>1.1415</c:v>
                </c:pt>
                <c:pt idx="21">
                  <c:v>1.216</c:v>
                </c:pt>
                <c:pt idx="22">
                  <c:v>1.2506999999999999</c:v>
                </c:pt>
                <c:pt idx="23">
                  <c:v>1.3432999999999999</c:v>
                </c:pt>
                <c:pt idx="24">
                  <c:v>1.2146999999999999</c:v>
                </c:pt>
                <c:pt idx="25">
                  <c:v>0.81910000000000005</c:v>
                </c:pt>
                <c:pt idx="26">
                  <c:v>0.58520000000000005</c:v>
                </c:pt>
                <c:pt idx="27">
                  <c:v>0.60780000000000001</c:v>
                </c:pt>
                <c:pt idx="28">
                  <c:v>0.59089999999999998</c:v>
                </c:pt>
                <c:pt idx="29">
                  <c:v>0.60170000000000001</c:v>
                </c:pt>
                <c:pt idx="30">
                  <c:v>0.60770000000000002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ct_F!$N$1</c:f>
              <c:strCache>
                <c:ptCount val="1"/>
                <c:pt idx="0">
                  <c:v>Pz_Outer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ct_F!$M$26:$M$50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ct_F!$N$26:$N$50</c:f>
              <c:numCache>
                <c:formatCode>General</c:formatCode>
                <c:ptCount val="25"/>
                <c:pt idx="0">
                  <c:v>0.90016598153813743</c:v>
                </c:pt>
                <c:pt idx="1">
                  <c:v>0.90065616132912496</c:v>
                </c:pt>
                <c:pt idx="2">
                  <c:v>0.90227715518271123</c:v>
                </c:pt>
                <c:pt idx="3">
                  <c:v>0.90694487230516962</c:v>
                </c:pt>
                <c:pt idx="4">
                  <c:v>0.91865371342959334</c:v>
                </c:pt>
                <c:pt idx="5">
                  <c:v>0.94428356171692018</c:v>
                </c:pt>
                <c:pt idx="6">
                  <c:v>0.99332500341401953</c:v>
                </c:pt>
                <c:pt idx="7">
                  <c:v>1.0751315247200486</c:v>
                </c:pt>
                <c:pt idx="8">
                  <c:v>1.192145748026094</c:v>
                </c:pt>
                <c:pt idx="9">
                  <c:v>1.3291907590952627</c:v>
                </c:pt>
                <c:pt idx="10">
                  <c:v>1.4465101360195673</c:v>
                </c:pt>
                <c:pt idx="11">
                  <c:v>1.4936832713982582</c:v>
                </c:pt>
                <c:pt idx="12">
                  <c:v>1.4465101360195673</c:v>
                </c:pt>
                <c:pt idx="13">
                  <c:v>1.3291907590952627</c:v>
                </c:pt>
                <c:pt idx="14">
                  <c:v>1.192145748026094</c:v>
                </c:pt>
                <c:pt idx="15">
                  <c:v>1.0751315247200486</c:v>
                </c:pt>
                <c:pt idx="16">
                  <c:v>0.99332500341401953</c:v>
                </c:pt>
                <c:pt idx="17">
                  <c:v>0.94428356171692018</c:v>
                </c:pt>
                <c:pt idx="18">
                  <c:v>0.91865371342959334</c:v>
                </c:pt>
                <c:pt idx="19">
                  <c:v>0.90694487230516962</c:v>
                </c:pt>
                <c:pt idx="20">
                  <c:v>0.90227715518271123</c:v>
                </c:pt>
                <c:pt idx="21">
                  <c:v>0.90065616132912496</c:v>
                </c:pt>
                <c:pt idx="22">
                  <c:v>0.90016598153813743</c:v>
                </c:pt>
                <c:pt idx="23">
                  <c:v>0.90003684298453701</c:v>
                </c:pt>
                <c:pt idx="24">
                  <c:v>0.90000717517697737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ct_F!$O$1</c:f>
              <c:strCache>
                <c:ptCount val="1"/>
                <c:pt idx="0">
                  <c:v>Pz_Inner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ct_F!$M$2:$M$26</c:f>
              <c:numCache>
                <c:formatCode>General</c:formatCode>
                <c:ptCount val="25"/>
                <c:pt idx="0">
                  <c:v>-24</c:v>
                </c:pt>
                <c:pt idx="1">
                  <c:v>-23</c:v>
                </c:pt>
                <c:pt idx="2">
                  <c:v>-22</c:v>
                </c:pt>
                <c:pt idx="3">
                  <c:v>-21</c:v>
                </c:pt>
                <c:pt idx="4">
                  <c:v>-20</c:v>
                </c:pt>
                <c:pt idx="5">
                  <c:v>-19</c:v>
                </c:pt>
                <c:pt idx="6">
                  <c:v>-18</c:v>
                </c:pt>
                <c:pt idx="7">
                  <c:v>-17</c:v>
                </c:pt>
                <c:pt idx="8">
                  <c:v>-16</c:v>
                </c:pt>
                <c:pt idx="9">
                  <c:v>-15</c:v>
                </c:pt>
                <c:pt idx="10">
                  <c:v>-14</c:v>
                </c:pt>
                <c:pt idx="11">
                  <c:v>-13</c:v>
                </c:pt>
                <c:pt idx="12">
                  <c:v>-12</c:v>
                </c:pt>
                <c:pt idx="13">
                  <c:v>-11</c:v>
                </c:pt>
                <c:pt idx="14">
                  <c:v>-10</c:v>
                </c:pt>
                <c:pt idx="15">
                  <c:v>-9</c:v>
                </c:pt>
                <c:pt idx="16">
                  <c:v>-8</c:v>
                </c:pt>
                <c:pt idx="17">
                  <c:v>-7</c:v>
                </c:pt>
                <c:pt idx="18">
                  <c:v>-6</c:v>
                </c:pt>
                <c:pt idx="19">
                  <c:v>-5</c:v>
                </c:pt>
                <c:pt idx="20">
                  <c:v>-4</c:v>
                </c:pt>
                <c:pt idx="21">
                  <c:v>-3</c:v>
                </c:pt>
                <c:pt idx="22">
                  <c:v>-2</c:v>
                </c:pt>
                <c:pt idx="23">
                  <c:v>-1</c:v>
                </c:pt>
                <c:pt idx="24">
                  <c:v>0</c:v>
                </c:pt>
              </c:numCache>
            </c:numRef>
          </c:xVal>
          <c:yVal>
            <c:numRef>
              <c:f>ct_F!$O$2:$O$26</c:f>
              <c:numCache>
                <c:formatCode>General</c:formatCode>
                <c:ptCount val="25"/>
                <c:pt idx="0">
                  <c:v>1.0288464097558325</c:v>
                </c:pt>
                <c:pt idx="1">
                  <c:v>1.0460782666348765</c:v>
                </c:pt>
                <c:pt idx="2">
                  <c:v>1.0709666047314406</c:v>
                </c:pt>
                <c:pt idx="3">
                  <c:v>1.1054545248820409</c:v>
                </c:pt>
                <c:pt idx="4">
                  <c:v>1.1512579886995897</c:v>
                </c:pt>
                <c:pt idx="5">
                  <c:v>1.2094124905854271</c:v>
                </c:pt>
                <c:pt idx="6">
                  <c:v>1.2796561495752832</c:v>
                </c:pt>
                <c:pt idx="7">
                  <c:v>1.3597105093834376</c:v>
                </c:pt>
                <c:pt idx="8">
                  <c:v>1.4446558884491447</c:v>
                </c:pt>
                <c:pt idx="9">
                  <c:v>1.5267671857473832</c:v>
                </c:pt>
                <c:pt idx="10">
                  <c:v>1.5962480258129612</c:v>
                </c:pt>
                <c:pt idx="11">
                  <c:v>1.6430826085861563</c:v>
                </c:pt>
                <c:pt idx="12">
                  <c:v>1.6596480793313979</c:v>
                </c:pt>
                <c:pt idx="13">
                  <c:v>1.6430826085861563</c:v>
                </c:pt>
                <c:pt idx="14">
                  <c:v>1.5962480258129612</c:v>
                </c:pt>
                <c:pt idx="15">
                  <c:v>1.5267671857473832</c:v>
                </c:pt>
                <c:pt idx="16">
                  <c:v>1.4446558884491447</c:v>
                </c:pt>
                <c:pt idx="17">
                  <c:v>1.3597105093834376</c:v>
                </c:pt>
                <c:pt idx="18">
                  <c:v>1.2796561495752832</c:v>
                </c:pt>
                <c:pt idx="19">
                  <c:v>1.2094124905854271</c:v>
                </c:pt>
                <c:pt idx="20">
                  <c:v>1.1512579886995897</c:v>
                </c:pt>
                <c:pt idx="21">
                  <c:v>1.1054545248820409</c:v>
                </c:pt>
                <c:pt idx="22">
                  <c:v>1.0709666047314406</c:v>
                </c:pt>
                <c:pt idx="23">
                  <c:v>1.0460782666348765</c:v>
                </c:pt>
                <c:pt idx="24">
                  <c:v>1.0288464097558325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99680"/>
        <c:axId val="141400256"/>
      </c:scatterChart>
      <c:valAx>
        <c:axId val="141399680"/>
        <c:scaling>
          <c:orientation val="minMax"/>
          <c:max val="24"/>
          <c:min val="-24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2000">
                <a:solidFill>
                  <a:srgbClr val="000000"/>
                </a:solidFill>
              </a:defRPr>
            </a:pPr>
            <a:endParaRPr lang="en-US"/>
          </a:p>
        </c:txPr>
        <c:crossAx val="141400256"/>
        <c:crosses val="autoZero"/>
        <c:crossBetween val="midCat"/>
        <c:majorUnit val="3"/>
      </c:valAx>
      <c:valAx>
        <c:axId val="141400256"/>
        <c:scaling>
          <c:orientation val="minMax"/>
          <c:max val="3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2000">
                <a:solidFill>
                  <a:srgbClr val="000000"/>
                </a:solidFill>
              </a:defRPr>
            </a:pPr>
            <a:endParaRPr lang="en-US"/>
          </a:p>
        </c:txPr>
        <c:crossAx val="141399680"/>
        <c:crosses val="autoZero"/>
        <c:crossBetween val="midCat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ct_W!$G$1</c:f>
              <c:strCache>
                <c:ptCount val="1"/>
                <c:pt idx="0">
                  <c:v>p_res,bin (DATA)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ct_W!$D$2:$D$32</c:f>
              <c:numCache>
                <c:formatCode>General</c:formatCode>
                <c:ptCount val="31"/>
                <c:pt idx="0">
                  <c:v>-22.5</c:v>
                </c:pt>
                <c:pt idx="1">
                  <c:v>-21</c:v>
                </c:pt>
                <c:pt idx="2">
                  <c:v>-19.5</c:v>
                </c:pt>
                <c:pt idx="3">
                  <c:v>-18</c:v>
                </c:pt>
                <c:pt idx="4">
                  <c:v>-16.5</c:v>
                </c:pt>
                <c:pt idx="5">
                  <c:v>-15</c:v>
                </c:pt>
                <c:pt idx="6">
                  <c:v>-13.5</c:v>
                </c:pt>
                <c:pt idx="7">
                  <c:v>-12</c:v>
                </c:pt>
                <c:pt idx="8">
                  <c:v>-10.5</c:v>
                </c:pt>
                <c:pt idx="9">
                  <c:v>-9</c:v>
                </c:pt>
                <c:pt idx="10">
                  <c:v>-7.5</c:v>
                </c:pt>
                <c:pt idx="11">
                  <c:v>-6</c:v>
                </c:pt>
                <c:pt idx="12">
                  <c:v>-4.5</c:v>
                </c:pt>
                <c:pt idx="13">
                  <c:v>-3</c:v>
                </c:pt>
                <c:pt idx="14">
                  <c:v>-1.5</c:v>
                </c:pt>
                <c:pt idx="15">
                  <c:v>0</c:v>
                </c:pt>
                <c:pt idx="16">
                  <c:v>1.5</c:v>
                </c:pt>
                <c:pt idx="17">
                  <c:v>3</c:v>
                </c:pt>
                <c:pt idx="18">
                  <c:v>4.5</c:v>
                </c:pt>
                <c:pt idx="19">
                  <c:v>6</c:v>
                </c:pt>
                <c:pt idx="20">
                  <c:v>7.5</c:v>
                </c:pt>
                <c:pt idx="21">
                  <c:v>9</c:v>
                </c:pt>
                <c:pt idx="22">
                  <c:v>10.5</c:v>
                </c:pt>
                <c:pt idx="23">
                  <c:v>12</c:v>
                </c:pt>
                <c:pt idx="24">
                  <c:v>13.5</c:v>
                </c:pt>
                <c:pt idx="25">
                  <c:v>15</c:v>
                </c:pt>
                <c:pt idx="26">
                  <c:v>16.5</c:v>
                </c:pt>
                <c:pt idx="27">
                  <c:v>18</c:v>
                </c:pt>
                <c:pt idx="28">
                  <c:v>19.5</c:v>
                </c:pt>
                <c:pt idx="29">
                  <c:v>21</c:v>
                </c:pt>
                <c:pt idx="30">
                  <c:v>22.5</c:v>
                </c:pt>
              </c:numCache>
            </c:numRef>
          </c:xVal>
          <c:yVal>
            <c:numRef>
              <c:f>ct_W!$G$2:$G$32</c:f>
              <c:numCache>
                <c:formatCode>General</c:formatCode>
                <c:ptCount val="31"/>
                <c:pt idx="0">
                  <c:v>0.58830000000000005</c:v>
                </c:pt>
                <c:pt idx="1">
                  <c:v>0.90500000000000003</c:v>
                </c:pt>
                <c:pt idx="2">
                  <c:v>0.84219999999999995</c:v>
                </c:pt>
                <c:pt idx="3">
                  <c:v>0.77300000000000002</c:v>
                </c:pt>
                <c:pt idx="4">
                  <c:v>0.88770000000000004</c:v>
                </c:pt>
                <c:pt idx="5">
                  <c:v>1.0255000000000001</c:v>
                </c:pt>
                <c:pt idx="6">
                  <c:v>1.2064999999999999</c:v>
                </c:pt>
                <c:pt idx="7">
                  <c:v>1.4469000000000001</c:v>
                </c:pt>
                <c:pt idx="8">
                  <c:v>1.6539999999999999</c:v>
                </c:pt>
                <c:pt idx="9">
                  <c:v>1.6252</c:v>
                </c:pt>
                <c:pt idx="10">
                  <c:v>1.8371999999999999</c:v>
                </c:pt>
                <c:pt idx="11">
                  <c:v>1.8434999999999999</c:v>
                </c:pt>
                <c:pt idx="12">
                  <c:v>1.0653999999999999</c:v>
                </c:pt>
                <c:pt idx="13">
                  <c:v>0.58679999999999999</c:v>
                </c:pt>
                <c:pt idx="14">
                  <c:v>0.67659999999999998</c:v>
                </c:pt>
                <c:pt idx="15">
                  <c:v>0.68149999999999999</c:v>
                </c:pt>
                <c:pt idx="16">
                  <c:v>0.40899999999999997</c:v>
                </c:pt>
                <c:pt idx="17">
                  <c:v>0.3453</c:v>
                </c:pt>
                <c:pt idx="18">
                  <c:v>0.65700000000000003</c:v>
                </c:pt>
                <c:pt idx="19">
                  <c:v>0.81279999999999997</c:v>
                </c:pt>
                <c:pt idx="20">
                  <c:v>1.3281000000000001</c:v>
                </c:pt>
                <c:pt idx="21">
                  <c:v>2.0299999999999998</c:v>
                </c:pt>
                <c:pt idx="22">
                  <c:v>2.4542999999999999</c:v>
                </c:pt>
                <c:pt idx="23">
                  <c:v>2.3302999999999998</c:v>
                </c:pt>
                <c:pt idx="24">
                  <c:v>1.7634000000000001</c:v>
                </c:pt>
                <c:pt idx="25">
                  <c:v>1.0557000000000001</c:v>
                </c:pt>
                <c:pt idx="26">
                  <c:v>0.75360000000000005</c:v>
                </c:pt>
                <c:pt idx="27">
                  <c:v>0.82520000000000004</c:v>
                </c:pt>
                <c:pt idx="28">
                  <c:v>0.7248</c:v>
                </c:pt>
                <c:pt idx="29">
                  <c:v>0.75890000000000002</c:v>
                </c:pt>
                <c:pt idx="30">
                  <c:v>0.60680000000000001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ct_W!$N$1</c:f>
              <c:strCache>
                <c:ptCount val="1"/>
                <c:pt idx="0">
                  <c:v>Pz_Outer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ct_W!$M$26:$M$50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ct_W!$N$26:$N$50</c:f>
              <c:numCache>
                <c:formatCode>General</c:formatCode>
                <c:ptCount val="25"/>
                <c:pt idx="0">
                  <c:v>0.57438170019467794</c:v>
                </c:pt>
                <c:pt idx="1">
                  <c:v>0.57693177580537325</c:v>
                </c:pt>
                <c:pt idx="2">
                  <c:v>0.5837191957628447</c:v>
                </c:pt>
                <c:pt idx="3">
                  <c:v>0.59997555926964041</c:v>
                </c:pt>
                <c:pt idx="4">
                  <c:v>0.63531369618574551</c:v>
                </c:pt>
                <c:pt idx="5">
                  <c:v>0.70590916841640527</c:v>
                </c:pt>
                <c:pt idx="6">
                  <c:v>0.83708828944811198</c:v>
                </c:pt>
                <c:pt idx="7">
                  <c:v>1.0641554495089904</c:v>
                </c:pt>
                <c:pt idx="8">
                  <c:v>1.4214412172287625</c:v>
                </c:pt>
                <c:pt idx="9">
                  <c:v>1.8988999585643556</c:v>
                </c:pt>
                <c:pt idx="10">
                  <c:v>2.3699282802625921</c:v>
                </c:pt>
                <c:pt idx="11">
                  <c:v>2.5978833675299233</c:v>
                </c:pt>
                <c:pt idx="12">
                  <c:v>2.4330467002022251</c:v>
                </c:pt>
                <c:pt idx="13">
                  <c:v>1.985852148530062</c:v>
                </c:pt>
                <c:pt idx="14">
                  <c:v>1.4964069974104877</c:v>
                </c:pt>
                <c:pt idx="15">
                  <c:v>1.1154986377866272</c:v>
                </c:pt>
                <c:pt idx="16">
                  <c:v>0.86811099857198892</c:v>
                </c:pt>
                <c:pt idx="17">
                  <c:v>0.72323044886167065</c:v>
                </c:pt>
                <c:pt idx="18">
                  <c:v>0.64433932020036411</c:v>
                </c:pt>
                <c:pt idx="19">
                  <c:v>0.60432629211145872</c:v>
                </c:pt>
                <c:pt idx="20">
                  <c:v>0.58563299850834571</c:v>
                </c:pt>
                <c:pt idx="21">
                  <c:v>0.57769148374869195</c:v>
                </c:pt>
                <c:pt idx="22">
                  <c:v>0.57465206774350386</c:v>
                </c:pt>
                <c:pt idx="23">
                  <c:v>0.57360943628671268</c:v>
                </c:pt>
                <c:pt idx="24">
                  <c:v>0.57328951053465904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ct_W!$O$1</c:f>
              <c:strCache>
                <c:ptCount val="1"/>
                <c:pt idx="0">
                  <c:v>Pz_Inner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ct_W!$M$2:$M$26</c:f>
              <c:numCache>
                <c:formatCode>General</c:formatCode>
                <c:ptCount val="25"/>
                <c:pt idx="0">
                  <c:v>-24</c:v>
                </c:pt>
                <c:pt idx="1">
                  <c:v>-23</c:v>
                </c:pt>
                <c:pt idx="2">
                  <c:v>-22</c:v>
                </c:pt>
                <c:pt idx="3">
                  <c:v>-21</c:v>
                </c:pt>
                <c:pt idx="4">
                  <c:v>-20</c:v>
                </c:pt>
                <c:pt idx="5">
                  <c:v>-19</c:v>
                </c:pt>
                <c:pt idx="6">
                  <c:v>-18</c:v>
                </c:pt>
                <c:pt idx="7">
                  <c:v>-17</c:v>
                </c:pt>
                <c:pt idx="8">
                  <c:v>-16</c:v>
                </c:pt>
                <c:pt idx="9">
                  <c:v>-15</c:v>
                </c:pt>
                <c:pt idx="10">
                  <c:v>-14</c:v>
                </c:pt>
                <c:pt idx="11">
                  <c:v>-13</c:v>
                </c:pt>
                <c:pt idx="12">
                  <c:v>-12</c:v>
                </c:pt>
                <c:pt idx="13">
                  <c:v>-11</c:v>
                </c:pt>
                <c:pt idx="14">
                  <c:v>-10</c:v>
                </c:pt>
                <c:pt idx="15">
                  <c:v>-9</c:v>
                </c:pt>
                <c:pt idx="16">
                  <c:v>-8</c:v>
                </c:pt>
                <c:pt idx="17">
                  <c:v>-7</c:v>
                </c:pt>
                <c:pt idx="18">
                  <c:v>-6</c:v>
                </c:pt>
                <c:pt idx="19">
                  <c:v>-5</c:v>
                </c:pt>
                <c:pt idx="20">
                  <c:v>-4</c:v>
                </c:pt>
                <c:pt idx="21">
                  <c:v>-3</c:v>
                </c:pt>
                <c:pt idx="22">
                  <c:v>-2</c:v>
                </c:pt>
                <c:pt idx="23">
                  <c:v>-1</c:v>
                </c:pt>
                <c:pt idx="24">
                  <c:v>0</c:v>
                </c:pt>
              </c:numCache>
            </c:numRef>
          </c:xVal>
          <c:yVal>
            <c:numRef>
              <c:f>ct_W!$O$2:$O$26</c:f>
              <c:numCache>
                <c:formatCode>General</c:formatCode>
                <c:ptCount val="25"/>
                <c:pt idx="0">
                  <c:v>0.70195319843715298</c:v>
                </c:pt>
                <c:pt idx="1">
                  <c:v>0.70243701706287109</c:v>
                </c:pt>
                <c:pt idx="2">
                  <c:v>0.70365692331364438</c:v>
                </c:pt>
                <c:pt idx="3">
                  <c:v>0.70650364857412296</c:v>
                </c:pt>
                <c:pt idx="4">
                  <c:v>0.71265660334746217</c:v>
                </c:pt>
                <c:pt idx="5">
                  <c:v>0.7249969758471253</c:v>
                </c:pt>
                <c:pt idx="6">
                  <c:v>0.74803298422131237</c:v>
                </c:pt>
                <c:pt idx="7">
                  <c:v>0.78821798068597826</c:v>
                </c:pt>
                <c:pt idx="8">
                  <c:v>0.85396818260026741</c:v>
                </c:pt>
                <c:pt idx="9">
                  <c:v>0.95493827168300205</c:v>
                </c:pt>
                <c:pt idx="10">
                  <c:v>1.0995268051168292</c:v>
                </c:pt>
                <c:pt idx="11">
                  <c:v>1.2889958899745517</c:v>
                </c:pt>
                <c:pt idx="12">
                  <c:v>1.5077570726434055</c:v>
                </c:pt>
                <c:pt idx="13">
                  <c:v>1.7150460909601364</c:v>
                </c:pt>
                <c:pt idx="14">
                  <c:v>1.8510675669938177</c:v>
                </c:pt>
                <c:pt idx="15">
                  <c:v>1.8660050472986496</c:v>
                </c:pt>
                <c:pt idx="16">
                  <c:v>1.7538953048424544</c:v>
                </c:pt>
                <c:pt idx="17">
                  <c:v>1.5571239099194503</c:v>
                </c:pt>
                <c:pt idx="18">
                  <c:v>1.3364588830077473</c:v>
                </c:pt>
                <c:pt idx="19">
                  <c:v>1.1382644032927662</c:v>
                </c:pt>
                <c:pt idx="20">
                  <c:v>0.98331112420590738</c:v>
                </c:pt>
                <c:pt idx="21">
                  <c:v>0.8731728212939347</c:v>
                </c:pt>
                <c:pt idx="22">
                  <c:v>0.80038758561831103</c:v>
                </c:pt>
                <c:pt idx="23">
                  <c:v>0.75527231902764469</c:v>
                </c:pt>
                <c:pt idx="24">
                  <c:v>0.72902936529887463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03264"/>
        <c:axId val="140403840"/>
      </c:scatterChart>
      <c:valAx>
        <c:axId val="140403264"/>
        <c:scaling>
          <c:orientation val="minMax"/>
          <c:max val="24"/>
          <c:min val="-24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2000">
                <a:solidFill>
                  <a:srgbClr val="000000"/>
                </a:solidFill>
              </a:defRPr>
            </a:pPr>
            <a:endParaRPr lang="en-US"/>
          </a:p>
        </c:txPr>
        <c:crossAx val="140403840"/>
        <c:crosses val="autoZero"/>
        <c:crossBetween val="midCat"/>
        <c:majorUnit val="3"/>
      </c:valAx>
      <c:valAx>
        <c:axId val="140403840"/>
        <c:scaling>
          <c:orientation val="minMax"/>
          <c:max val="3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2000">
                <a:solidFill>
                  <a:srgbClr val="000000"/>
                </a:solidFill>
              </a:defRPr>
            </a:pPr>
            <a:endParaRPr lang="en-US"/>
          </a:p>
        </c:txPr>
        <c:crossAx val="140403264"/>
        <c:crosses val="autoZero"/>
        <c:crossBetween val="midCat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ct_Y!$G$1</c:f>
              <c:strCache>
                <c:ptCount val="1"/>
                <c:pt idx="0">
                  <c:v>p_res,bin (DATA)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ct_Y!$D$2:$D$32</c:f>
              <c:numCache>
                <c:formatCode>General</c:formatCode>
                <c:ptCount val="31"/>
                <c:pt idx="0">
                  <c:v>-22.5</c:v>
                </c:pt>
                <c:pt idx="1">
                  <c:v>-21</c:v>
                </c:pt>
                <c:pt idx="2">
                  <c:v>-19.5</c:v>
                </c:pt>
                <c:pt idx="3">
                  <c:v>-18</c:v>
                </c:pt>
                <c:pt idx="4">
                  <c:v>-16.5</c:v>
                </c:pt>
                <c:pt idx="5">
                  <c:v>-15</c:v>
                </c:pt>
                <c:pt idx="6">
                  <c:v>-13.5</c:v>
                </c:pt>
                <c:pt idx="7">
                  <c:v>-12</c:v>
                </c:pt>
                <c:pt idx="8">
                  <c:v>-10.5</c:v>
                </c:pt>
                <c:pt idx="9">
                  <c:v>-9</c:v>
                </c:pt>
                <c:pt idx="10">
                  <c:v>-7.5</c:v>
                </c:pt>
                <c:pt idx="11">
                  <c:v>-6</c:v>
                </c:pt>
                <c:pt idx="12">
                  <c:v>-4.5</c:v>
                </c:pt>
                <c:pt idx="13">
                  <c:v>-3</c:v>
                </c:pt>
                <c:pt idx="14">
                  <c:v>-1.5</c:v>
                </c:pt>
                <c:pt idx="15">
                  <c:v>0</c:v>
                </c:pt>
                <c:pt idx="16">
                  <c:v>1.5</c:v>
                </c:pt>
                <c:pt idx="17">
                  <c:v>3</c:v>
                </c:pt>
                <c:pt idx="18">
                  <c:v>4.5</c:v>
                </c:pt>
                <c:pt idx="19">
                  <c:v>6</c:v>
                </c:pt>
                <c:pt idx="20">
                  <c:v>7.5</c:v>
                </c:pt>
                <c:pt idx="21">
                  <c:v>9</c:v>
                </c:pt>
                <c:pt idx="22">
                  <c:v>10.5</c:v>
                </c:pt>
                <c:pt idx="23">
                  <c:v>12</c:v>
                </c:pt>
                <c:pt idx="24">
                  <c:v>13.5</c:v>
                </c:pt>
                <c:pt idx="25">
                  <c:v>15</c:v>
                </c:pt>
                <c:pt idx="26">
                  <c:v>16.5</c:v>
                </c:pt>
                <c:pt idx="27">
                  <c:v>18</c:v>
                </c:pt>
                <c:pt idx="28">
                  <c:v>19.5</c:v>
                </c:pt>
                <c:pt idx="29">
                  <c:v>21</c:v>
                </c:pt>
                <c:pt idx="30">
                  <c:v>22.5</c:v>
                </c:pt>
              </c:numCache>
            </c:numRef>
          </c:xVal>
          <c:yVal>
            <c:numRef>
              <c:f>ct_Y!$G$2:$G$32</c:f>
              <c:numCache>
                <c:formatCode>General</c:formatCode>
                <c:ptCount val="31"/>
                <c:pt idx="0">
                  <c:v>0.35099999999999998</c:v>
                </c:pt>
                <c:pt idx="1">
                  <c:v>0.50790000000000002</c:v>
                </c:pt>
                <c:pt idx="2">
                  <c:v>0.42280000000000001</c:v>
                </c:pt>
                <c:pt idx="3">
                  <c:v>0.37680000000000002</c:v>
                </c:pt>
                <c:pt idx="4">
                  <c:v>0.51300000000000001</c:v>
                </c:pt>
                <c:pt idx="5">
                  <c:v>0.71199999999999997</c:v>
                </c:pt>
                <c:pt idx="6">
                  <c:v>0.89729999999999999</c:v>
                </c:pt>
                <c:pt idx="7">
                  <c:v>0.80579999999999996</c:v>
                </c:pt>
                <c:pt idx="8">
                  <c:v>1.0407</c:v>
                </c:pt>
                <c:pt idx="9">
                  <c:v>1.8337000000000001</c:v>
                </c:pt>
                <c:pt idx="10">
                  <c:v>1.9036</c:v>
                </c:pt>
                <c:pt idx="11">
                  <c:v>1.3416999999999999</c:v>
                </c:pt>
                <c:pt idx="12">
                  <c:v>1.2482</c:v>
                </c:pt>
                <c:pt idx="13">
                  <c:v>1.0278</c:v>
                </c:pt>
                <c:pt idx="14">
                  <c:v>0.97619999999999996</c:v>
                </c:pt>
                <c:pt idx="15">
                  <c:v>1.0698000000000001</c:v>
                </c:pt>
                <c:pt idx="16">
                  <c:v>0.79069999999999996</c:v>
                </c:pt>
                <c:pt idx="17">
                  <c:v>0.7802</c:v>
                </c:pt>
                <c:pt idx="18">
                  <c:v>1.2345999999999999</c:v>
                </c:pt>
                <c:pt idx="19">
                  <c:v>1.8754999999999999</c:v>
                </c:pt>
                <c:pt idx="20">
                  <c:v>1.9576</c:v>
                </c:pt>
                <c:pt idx="21">
                  <c:v>1.9646999999999999</c:v>
                </c:pt>
                <c:pt idx="22">
                  <c:v>1.7857000000000001</c:v>
                </c:pt>
                <c:pt idx="23">
                  <c:v>1.0551999999999999</c:v>
                </c:pt>
                <c:pt idx="24">
                  <c:v>0.93200000000000005</c:v>
                </c:pt>
                <c:pt idx="25">
                  <c:v>0.88990000000000002</c:v>
                </c:pt>
                <c:pt idx="26">
                  <c:v>0.81630000000000003</c:v>
                </c:pt>
                <c:pt idx="27">
                  <c:v>0.81040000000000001</c:v>
                </c:pt>
                <c:pt idx="28">
                  <c:v>0.89590000000000003</c:v>
                </c:pt>
                <c:pt idx="29">
                  <c:v>0.81310000000000004</c:v>
                </c:pt>
                <c:pt idx="30">
                  <c:v>0.73580000000000001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ct_Y!$N$1</c:f>
              <c:strCache>
                <c:ptCount val="1"/>
                <c:pt idx="0">
                  <c:v>Pz_Outer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ct_Y!$M$26:$M$50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ct_Y!$N$26:$N$50</c:f>
              <c:numCache>
                <c:formatCode>General</c:formatCode>
                <c:ptCount val="25"/>
                <c:pt idx="0">
                  <c:v>0.83369710376377604</c:v>
                </c:pt>
                <c:pt idx="1">
                  <c:v>0.84554180981265947</c:v>
                </c:pt>
                <c:pt idx="2">
                  <c:v>0.876181740000748</c:v>
                </c:pt>
                <c:pt idx="3">
                  <c:v>0.94501408744333626</c:v>
                </c:pt>
                <c:pt idx="4">
                  <c:v>1.0806173067736522</c:v>
                </c:pt>
                <c:pt idx="5">
                  <c:v>1.3137490927218487</c:v>
                </c:pt>
                <c:pt idx="6">
                  <c:v>1.6482081037033589</c:v>
                </c:pt>
                <c:pt idx="7">
                  <c:v>2.0022235146071967</c:v>
                </c:pt>
                <c:pt idx="8">
                  <c:v>2.1930016283064409</c:v>
                </c:pt>
                <c:pt idx="9">
                  <c:v>2.0859842124958958</c:v>
                </c:pt>
                <c:pt idx="10">
                  <c:v>1.7595685346142393</c:v>
                </c:pt>
                <c:pt idx="11">
                  <c:v>1.4051815906980873</c:v>
                </c:pt>
                <c:pt idx="12">
                  <c:v>1.1393604105246073</c:v>
                </c:pt>
                <c:pt idx="13">
                  <c:v>0.97728782543870718</c:v>
                </c:pt>
                <c:pt idx="14">
                  <c:v>0.8917303667198796</c:v>
                </c:pt>
                <c:pt idx="15">
                  <c:v>0.85208162325742565</c:v>
                </c:pt>
                <c:pt idx="16">
                  <c:v>0.83607096100510236</c:v>
                </c:pt>
                <c:pt idx="17">
                  <c:v>0.83049694892422499</c:v>
                </c:pt>
                <c:pt idx="18">
                  <c:v>0.82883517078144764</c:v>
                </c:pt>
                <c:pt idx="19">
                  <c:v>0.8284119750274298</c:v>
                </c:pt>
                <c:pt idx="20">
                  <c:v>0.82831991969490015</c:v>
                </c:pt>
                <c:pt idx="21">
                  <c:v>0.82830280126703437</c:v>
                </c:pt>
                <c:pt idx="22">
                  <c:v>0.82830007722780885</c:v>
                </c:pt>
                <c:pt idx="23">
                  <c:v>0.8282997059718763</c:v>
                </c:pt>
                <c:pt idx="24">
                  <c:v>0.8282996626056951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ct_Y!$O$1</c:f>
              <c:strCache>
                <c:ptCount val="1"/>
                <c:pt idx="0">
                  <c:v>Pz_Inner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ct_Y!$M$2:$M$26</c:f>
              <c:numCache>
                <c:formatCode>General</c:formatCode>
                <c:ptCount val="25"/>
                <c:pt idx="0">
                  <c:v>-24</c:v>
                </c:pt>
                <c:pt idx="1">
                  <c:v>-23</c:v>
                </c:pt>
                <c:pt idx="2">
                  <c:v>-22</c:v>
                </c:pt>
                <c:pt idx="3">
                  <c:v>-21</c:v>
                </c:pt>
                <c:pt idx="4">
                  <c:v>-20</c:v>
                </c:pt>
                <c:pt idx="5">
                  <c:v>-19</c:v>
                </c:pt>
                <c:pt idx="6">
                  <c:v>-18</c:v>
                </c:pt>
                <c:pt idx="7">
                  <c:v>-17</c:v>
                </c:pt>
                <c:pt idx="8">
                  <c:v>-16</c:v>
                </c:pt>
                <c:pt idx="9">
                  <c:v>-15</c:v>
                </c:pt>
                <c:pt idx="10">
                  <c:v>-14</c:v>
                </c:pt>
                <c:pt idx="11">
                  <c:v>-13</c:v>
                </c:pt>
                <c:pt idx="12">
                  <c:v>-12</c:v>
                </c:pt>
                <c:pt idx="13">
                  <c:v>-11</c:v>
                </c:pt>
                <c:pt idx="14">
                  <c:v>-10</c:v>
                </c:pt>
                <c:pt idx="15">
                  <c:v>-9</c:v>
                </c:pt>
                <c:pt idx="16">
                  <c:v>-8</c:v>
                </c:pt>
                <c:pt idx="17">
                  <c:v>-7</c:v>
                </c:pt>
                <c:pt idx="18">
                  <c:v>-6</c:v>
                </c:pt>
                <c:pt idx="19">
                  <c:v>-5</c:v>
                </c:pt>
                <c:pt idx="20">
                  <c:v>-4</c:v>
                </c:pt>
                <c:pt idx="21">
                  <c:v>-3</c:v>
                </c:pt>
                <c:pt idx="22">
                  <c:v>-2</c:v>
                </c:pt>
                <c:pt idx="23">
                  <c:v>-1</c:v>
                </c:pt>
                <c:pt idx="24">
                  <c:v>0</c:v>
                </c:pt>
              </c:numCache>
            </c:numRef>
          </c:xVal>
          <c:yVal>
            <c:numRef>
              <c:f>ct_Y!$O$2:$O$26</c:f>
              <c:numCache>
                <c:formatCode>General</c:formatCode>
                <c:ptCount val="25"/>
                <c:pt idx="0">
                  <c:v>0.37531002656255191</c:v>
                </c:pt>
                <c:pt idx="1">
                  <c:v>0.38106912891856087</c:v>
                </c:pt>
                <c:pt idx="2">
                  <c:v>0.38954667089099343</c:v>
                </c:pt>
                <c:pt idx="3">
                  <c:v>0.40175022551508982</c:v>
                </c:pt>
                <c:pt idx="4">
                  <c:v>0.41895716984564718</c:v>
                </c:pt>
                <c:pt idx="5">
                  <c:v>0.44275857427087167</c:v>
                </c:pt>
                <c:pt idx="6">
                  <c:v>0.4750971505396247</c:v>
                </c:pt>
                <c:pt idx="7">
                  <c:v>0.51827776570562989</c:v>
                </c:pt>
                <c:pt idx="8">
                  <c:v>0.57490526639659822</c:v>
                </c:pt>
                <c:pt idx="9">
                  <c:v>0.64767064576017108</c:v>
                </c:pt>
                <c:pt idx="10">
                  <c:v>0.7388727551658052</c:v>
                </c:pt>
                <c:pt idx="11">
                  <c:v>0.84955876575726719</c:v>
                </c:pt>
                <c:pt idx="12">
                  <c:v>0.97824983249724706</c:v>
                </c:pt>
                <c:pt idx="13">
                  <c:v>1.1194551776751245</c:v>
                </c:pt>
                <c:pt idx="14">
                  <c:v>1.2625670262377677</c:v>
                </c:pt>
                <c:pt idx="15">
                  <c:v>1.392079282656371</c:v>
                </c:pt>
                <c:pt idx="16">
                  <c:v>1.4899710051466475</c:v>
                </c:pt>
                <c:pt idx="17">
                  <c:v>1.540187581329427</c:v>
                </c:pt>
                <c:pt idx="18">
                  <c:v>1.5337005485483881</c:v>
                </c:pt>
                <c:pt idx="19">
                  <c:v>1.4717060593882587</c:v>
                </c:pt>
                <c:pt idx="20">
                  <c:v>1.3651879366756448</c:v>
                </c:pt>
                <c:pt idx="21">
                  <c:v>1.2310961387943702</c:v>
                </c:pt>
                <c:pt idx="22">
                  <c:v>1.0872169862733034</c:v>
                </c:pt>
                <c:pt idx="23">
                  <c:v>0.94808222592464253</c:v>
                </c:pt>
                <c:pt idx="24">
                  <c:v>0.82310989480463703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06144"/>
        <c:axId val="140406720"/>
      </c:scatterChart>
      <c:valAx>
        <c:axId val="140406144"/>
        <c:scaling>
          <c:orientation val="minMax"/>
          <c:max val="24"/>
          <c:min val="-24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2000">
                <a:solidFill>
                  <a:srgbClr val="000000"/>
                </a:solidFill>
              </a:defRPr>
            </a:pPr>
            <a:endParaRPr lang="en-US"/>
          </a:p>
        </c:txPr>
        <c:crossAx val="140406720"/>
        <c:crosses val="autoZero"/>
        <c:crossBetween val="midCat"/>
        <c:majorUnit val="3"/>
      </c:valAx>
      <c:valAx>
        <c:axId val="140406720"/>
        <c:scaling>
          <c:orientation val="minMax"/>
          <c:max val="3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2000">
                <a:solidFill>
                  <a:srgbClr val="000000"/>
                </a:solidFill>
              </a:defRPr>
            </a:pPr>
            <a:endParaRPr lang="en-US"/>
          </a:p>
        </c:txPr>
        <c:crossAx val="140406144"/>
        <c:crosses val="autoZero"/>
        <c:crossBetween val="midCat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ct_G!$G$1</c:f>
              <c:strCache>
                <c:ptCount val="1"/>
                <c:pt idx="0">
                  <c:v>p_res,bin (DATA)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ct_G!$D$2:$D$32</c:f>
              <c:numCache>
                <c:formatCode>General</c:formatCode>
                <c:ptCount val="31"/>
                <c:pt idx="0">
                  <c:v>-22.5</c:v>
                </c:pt>
                <c:pt idx="1">
                  <c:v>-21</c:v>
                </c:pt>
                <c:pt idx="2">
                  <c:v>-19.5</c:v>
                </c:pt>
                <c:pt idx="3">
                  <c:v>-18</c:v>
                </c:pt>
                <c:pt idx="4">
                  <c:v>-16.5</c:v>
                </c:pt>
                <c:pt idx="5">
                  <c:v>-15</c:v>
                </c:pt>
                <c:pt idx="6">
                  <c:v>-13.5</c:v>
                </c:pt>
                <c:pt idx="7">
                  <c:v>-12</c:v>
                </c:pt>
                <c:pt idx="8">
                  <c:v>-10.5</c:v>
                </c:pt>
                <c:pt idx="9">
                  <c:v>-9</c:v>
                </c:pt>
                <c:pt idx="10">
                  <c:v>-7.5</c:v>
                </c:pt>
                <c:pt idx="11">
                  <c:v>-6</c:v>
                </c:pt>
                <c:pt idx="12">
                  <c:v>-4.5</c:v>
                </c:pt>
                <c:pt idx="13">
                  <c:v>-3</c:v>
                </c:pt>
                <c:pt idx="14">
                  <c:v>-1.5</c:v>
                </c:pt>
                <c:pt idx="15">
                  <c:v>0</c:v>
                </c:pt>
                <c:pt idx="16">
                  <c:v>1.5</c:v>
                </c:pt>
                <c:pt idx="17">
                  <c:v>3</c:v>
                </c:pt>
                <c:pt idx="18">
                  <c:v>4.5</c:v>
                </c:pt>
                <c:pt idx="19">
                  <c:v>6</c:v>
                </c:pt>
                <c:pt idx="20">
                  <c:v>7.5</c:v>
                </c:pt>
                <c:pt idx="21">
                  <c:v>9</c:v>
                </c:pt>
                <c:pt idx="22">
                  <c:v>10.5</c:v>
                </c:pt>
                <c:pt idx="23">
                  <c:v>12</c:v>
                </c:pt>
                <c:pt idx="24">
                  <c:v>13.5</c:v>
                </c:pt>
                <c:pt idx="25">
                  <c:v>15</c:v>
                </c:pt>
                <c:pt idx="26">
                  <c:v>16.5</c:v>
                </c:pt>
                <c:pt idx="27">
                  <c:v>18</c:v>
                </c:pt>
                <c:pt idx="28">
                  <c:v>19.5</c:v>
                </c:pt>
                <c:pt idx="29">
                  <c:v>21</c:v>
                </c:pt>
                <c:pt idx="30">
                  <c:v>22.5</c:v>
                </c:pt>
              </c:numCache>
            </c:numRef>
          </c:xVal>
          <c:yVal>
            <c:numRef>
              <c:f>ct_G!$G$2:$G$32</c:f>
              <c:numCache>
                <c:formatCode>General</c:formatCode>
                <c:ptCount val="31"/>
                <c:pt idx="0">
                  <c:v>1.1428</c:v>
                </c:pt>
                <c:pt idx="1">
                  <c:v>1.2067000000000001</c:v>
                </c:pt>
                <c:pt idx="2">
                  <c:v>1.4104000000000001</c:v>
                </c:pt>
                <c:pt idx="3">
                  <c:v>1.3542000000000001</c:v>
                </c:pt>
                <c:pt idx="4">
                  <c:v>1.1142000000000001</c:v>
                </c:pt>
                <c:pt idx="5">
                  <c:v>1.0669</c:v>
                </c:pt>
                <c:pt idx="6">
                  <c:v>1.0489999999999999</c:v>
                </c:pt>
                <c:pt idx="7">
                  <c:v>0.98760000000000003</c:v>
                </c:pt>
                <c:pt idx="8">
                  <c:v>0.88660000000000005</c:v>
                </c:pt>
                <c:pt idx="9">
                  <c:v>0.73509999999999998</c:v>
                </c:pt>
                <c:pt idx="10">
                  <c:v>0.68430000000000002</c:v>
                </c:pt>
                <c:pt idx="11">
                  <c:v>0.76019999999999999</c:v>
                </c:pt>
                <c:pt idx="12">
                  <c:v>0.79930000000000001</c:v>
                </c:pt>
                <c:pt idx="13">
                  <c:v>0.98209999999999997</c:v>
                </c:pt>
                <c:pt idx="14">
                  <c:v>1.0782</c:v>
                </c:pt>
                <c:pt idx="15">
                  <c:v>0.94769999999999999</c:v>
                </c:pt>
                <c:pt idx="16">
                  <c:v>1.218</c:v>
                </c:pt>
                <c:pt idx="17">
                  <c:v>1.3157000000000001</c:v>
                </c:pt>
                <c:pt idx="18">
                  <c:v>1.0417000000000001</c:v>
                </c:pt>
                <c:pt idx="19">
                  <c:v>1.0308999999999999</c:v>
                </c:pt>
                <c:pt idx="20">
                  <c:v>1.0911999999999999</c:v>
                </c:pt>
                <c:pt idx="21">
                  <c:v>0.95530000000000004</c:v>
                </c:pt>
                <c:pt idx="22">
                  <c:v>0.88429999999999997</c:v>
                </c:pt>
                <c:pt idx="23">
                  <c:v>0.9</c:v>
                </c:pt>
                <c:pt idx="24">
                  <c:v>0.82330000000000003</c:v>
                </c:pt>
                <c:pt idx="25">
                  <c:v>0.87780000000000002</c:v>
                </c:pt>
                <c:pt idx="26">
                  <c:v>0.94220000000000004</c:v>
                </c:pt>
                <c:pt idx="27">
                  <c:v>0.84470000000000001</c:v>
                </c:pt>
                <c:pt idx="28">
                  <c:v>0.77659999999999996</c:v>
                </c:pt>
                <c:pt idx="29">
                  <c:v>1.036</c:v>
                </c:pt>
                <c:pt idx="30">
                  <c:v>1.1420999999999999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ct_G!$N$1</c:f>
              <c:strCache>
                <c:ptCount val="1"/>
                <c:pt idx="0">
                  <c:v>Pz_Outer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ct_G!$M$26:$M$50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ct_G!$N$26:$N$50</c:f>
              <c:numCache>
                <c:formatCode>General</c:formatCode>
                <c:ptCount val="25"/>
                <c:pt idx="0">
                  <c:v>1.137210299830975</c:v>
                </c:pt>
                <c:pt idx="1">
                  <c:v>1.1341360988466487</c:v>
                </c:pt>
                <c:pt idx="2">
                  <c:v>1.1291491789399017</c:v>
                </c:pt>
                <c:pt idx="3">
                  <c:v>1.1214357346087978</c:v>
                </c:pt>
                <c:pt idx="4">
                  <c:v>1.1100797206842938</c:v>
                </c:pt>
                <c:pt idx="5">
                  <c:v>1.0941991545064358</c:v>
                </c:pt>
                <c:pt idx="6">
                  <c:v>1.0731548035811327</c:v>
                </c:pt>
                <c:pt idx="7">
                  <c:v>1.0467987713120939</c:v>
                </c:pt>
                <c:pt idx="8">
                  <c:v>1.0156952914226585</c:v>
                </c:pt>
                <c:pt idx="9">
                  <c:v>0.98122877622203053</c:v>
                </c:pt>
                <c:pt idx="10">
                  <c:v>0.94553499785499306</c:v>
                </c:pt>
                <c:pt idx="11">
                  <c:v>0.91125070250941087</c:v>
                </c:pt>
                <c:pt idx="12">
                  <c:v>0.88114659433505327</c:v>
                </c:pt>
                <c:pt idx="13">
                  <c:v>0.85774720568597551</c:v>
                </c:pt>
                <c:pt idx="14">
                  <c:v>0.84302673971334652</c:v>
                </c:pt>
                <c:pt idx="15">
                  <c:v>0.83821799836278177</c:v>
                </c:pt>
                <c:pt idx="16">
                  <c:v>0.8437207529130859</c:v>
                </c:pt>
                <c:pt idx="17">
                  <c:v>0.85907739772610914</c:v>
                </c:pt>
                <c:pt idx="18">
                  <c:v>0.88300104765960041</c:v>
                </c:pt>
                <c:pt idx="19">
                  <c:v>0.91347287962846624</c:v>
                </c:pt>
                <c:pt idx="20">
                  <c:v>0.94794087714533881</c:v>
                </c:pt>
                <c:pt idx="21">
                  <c:v>0.98363098033477026</c:v>
                </c:pt>
                <c:pt idx="22">
                  <c:v>1.0179295817359628</c:v>
                </c:pt>
                <c:pt idx="23">
                  <c:v>1.0487457525896038</c:v>
                </c:pt>
                <c:pt idx="24">
                  <c:v>1.0747506727851377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ct_G!$O$1</c:f>
              <c:strCache>
                <c:ptCount val="1"/>
                <c:pt idx="0">
                  <c:v>Pz_Inner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ct_G!$M$2:$M$26</c:f>
              <c:numCache>
                <c:formatCode>General</c:formatCode>
                <c:ptCount val="25"/>
                <c:pt idx="0">
                  <c:v>-24</c:v>
                </c:pt>
                <c:pt idx="1">
                  <c:v>-23</c:v>
                </c:pt>
                <c:pt idx="2">
                  <c:v>-22</c:v>
                </c:pt>
                <c:pt idx="3">
                  <c:v>-21</c:v>
                </c:pt>
                <c:pt idx="4">
                  <c:v>-20</c:v>
                </c:pt>
                <c:pt idx="5">
                  <c:v>-19</c:v>
                </c:pt>
                <c:pt idx="6">
                  <c:v>-18</c:v>
                </c:pt>
                <c:pt idx="7">
                  <c:v>-17</c:v>
                </c:pt>
                <c:pt idx="8">
                  <c:v>-16</c:v>
                </c:pt>
                <c:pt idx="9">
                  <c:v>-15</c:v>
                </c:pt>
                <c:pt idx="10">
                  <c:v>-14</c:v>
                </c:pt>
                <c:pt idx="11">
                  <c:v>-13</c:v>
                </c:pt>
                <c:pt idx="12">
                  <c:v>-12</c:v>
                </c:pt>
                <c:pt idx="13">
                  <c:v>-11</c:v>
                </c:pt>
                <c:pt idx="14">
                  <c:v>-10</c:v>
                </c:pt>
                <c:pt idx="15">
                  <c:v>-9</c:v>
                </c:pt>
                <c:pt idx="16">
                  <c:v>-8</c:v>
                </c:pt>
                <c:pt idx="17">
                  <c:v>-7</c:v>
                </c:pt>
                <c:pt idx="18">
                  <c:v>-6</c:v>
                </c:pt>
                <c:pt idx="19">
                  <c:v>-5</c:v>
                </c:pt>
                <c:pt idx="20">
                  <c:v>-4</c:v>
                </c:pt>
                <c:pt idx="21">
                  <c:v>-3</c:v>
                </c:pt>
                <c:pt idx="22">
                  <c:v>-2</c:v>
                </c:pt>
                <c:pt idx="23">
                  <c:v>-1</c:v>
                </c:pt>
                <c:pt idx="24">
                  <c:v>0</c:v>
                </c:pt>
              </c:numCache>
            </c:numRef>
          </c:xVal>
          <c:yVal>
            <c:numRef>
              <c:f>ct_G!$O$2:$O$26</c:f>
              <c:numCache>
                <c:formatCode>General</c:formatCode>
                <c:ptCount val="25"/>
                <c:pt idx="0">
                  <c:v>1.2331948195151847</c:v>
                </c:pt>
                <c:pt idx="1">
                  <c:v>1.2330113008750068</c:v>
                </c:pt>
                <c:pt idx="2">
                  <c:v>1.2325542234031128</c:v>
                </c:pt>
                <c:pt idx="3">
                  <c:v>1.2314892095614081</c:v>
                </c:pt>
                <c:pt idx="4">
                  <c:v>1.2291700452897885</c:v>
                </c:pt>
                <c:pt idx="5">
                  <c:v>1.2244573944346293</c:v>
                </c:pt>
                <c:pt idx="6">
                  <c:v>1.2155407061951866</c:v>
                </c:pt>
                <c:pt idx="7">
                  <c:v>1.1998802911741564</c:v>
                </c:pt>
                <c:pt idx="8">
                  <c:v>1.1744543590176293</c:v>
                </c:pt>
                <c:pt idx="9">
                  <c:v>1.1364861376395605</c:v>
                </c:pt>
                <c:pt idx="10">
                  <c:v>1.0846363699172734</c:v>
                </c:pt>
                <c:pt idx="11">
                  <c:v>1.0202661057474041</c:v>
                </c:pt>
                <c:pt idx="12">
                  <c:v>0.94804558498867575</c:v>
                </c:pt>
                <c:pt idx="13">
                  <c:v>0.87532786702182308</c:v>
                </c:pt>
                <c:pt idx="14">
                  <c:v>0.81043367850013226</c:v>
                </c:pt>
                <c:pt idx="15">
                  <c:v>0.76073707187639483</c:v>
                </c:pt>
                <c:pt idx="16">
                  <c:v>0.73146141939672493</c:v>
                </c:pt>
                <c:pt idx="17">
                  <c:v>0.72540080532900963</c:v>
                </c:pt>
                <c:pt idx="18">
                  <c:v>0.74310161029913879</c:v>
                </c:pt>
                <c:pt idx="19">
                  <c:v>0.78293607486466155</c:v>
                </c:pt>
                <c:pt idx="20">
                  <c:v>0.84092277752833289</c:v>
                </c:pt>
                <c:pt idx="21">
                  <c:v>0.91069147380728488</c:v>
                </c:pt>
                <c:pt idx="22">
                  <c:v>0.98419188143911696</c:v>
                </c:pt>
                <c:pt idx="23">
                  <c:v>1.0533274367037702</c:v>
                </c:pt>
                <c:pt idx="24">
                  <c:v>1.1119058772808479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09024"/>
        <c:axId val="140409600"/>
      </c:scatterChart>
      <c:valAx>
        <c:axId val="140409024"/>
        <c:scaling>
          <c:orientation val="minMax"/>
          <c:max val="24"/>
          <c:min val="-24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2000">
                <a:solidFill>
                  <a:srgbClr val="000000"/>
                </a:solidFill>
              </a:defRPr>
            </a:pPr>
            <a:endParaRPr lang="en-US"/>
          </a:p>
        </c:txPr>
        <c:crossAx val="140409600"/>
        <c:crosses val="autoZero"/>
        <c:crossBetween val="midCat"/>
        <c:majorUnit val="3"/>
      </c:valAx>
      <c:valAx>
        <c:axId val="140409600"/>
        <c:scaling>
          <c:orientation val="minMax"/>
          <c:max val="3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2000">
                <a:solidFill>
                  <a:srgbClr val="000000"/>
                </a:solidFill>
              </a:defRPr>
            </a:pPr>
            <a:endParaRPr lang="en-US"/>
          </a:p>
        </c:txPr>
        <c:crossAx val="140409024"/>
        <c:crosses val="autoZero"/>
        <c:crossBetween val="midCat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ct_L!$G$1</c:f>
              <c:strCache>
                <c:ptCount val="1"/>
                <c:pt idx="0">
                  <c:v>p_res,bin (DATA)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ct_L!$D$2:$D$32</c:f>
              <c:numCache>
                <c:formatCode>General</c:formatCode>
                <c:ptCount val="31"/>
                <c:pt idx="0">
                  <c:v>-22.5</c:v>
                </c:pt>
                <c:pt idx="1">
                  <c:v>-21</c:v>
                </c:pt>
                <c:pt idx="2">
                  <c:v>-19.5</c:v>
                </c:pt>
                <c:pt idx="3">
                  <c:v>-18</c:v>
                </c:pt>
                <c:pt idx="4">
                  <c:v>-16.5</c:v>
                </c:pt>
                <c:pt idx="5">
                  <c:v>-15</c:v>
                </c:pt>
                <c:pt idx="6">
                  <c:v>-13.5</c:v>
                </c:pt>
                <c:pt idx="7">
                  <c:v>-12</c:v>
                </c:pt>
                <c:pt idx="8">
                  <c:v>-10.5</c:v>
                </c:pt>
                <c:pt idx="9">
                  <c:v>-9</c:v>
                </c:pt>
                <c:pt idx="10">
                  <c:v>-7.5</c:v>
                </c:pt>
                <c:pt idx="11">
                  <c:v>-6</c:v>
                </c:pt>
                <c:pt idx="12">
                  <c:v>-4.5</c:v>
                </c:pt>
                <c:pt idx="13">
                  <c:v>-3</c:v>
                </c:pt>
                <c:pt idx="14">
                  <c:v>-1.5</c:v>
                </c:pt>
                <c:pt idx="15">
                  <c:v>0</c:v>
                </c:pt>
                <c:pt idx="16">
                  <c:v>1.5</c:v>
                </c:pt>
                <c:pt idx="17">
                  <c:v>3</c:v>
                </c:pt>
                <c:pt idx="18">
                  <c:v>4.5</c:v>
                </c:pt>
                <c:pt idx="19">
                  <c:v>6</c:v>
                </c:pt>
                <c:pt idx="20">
                  <c:v>7.5</c:v>
                </c:pt>
                <c:pt idx="21">
                  <c:v>9</c:v>
                </c:pt>
                <c:pt idx="22">
                  <c:v>10.5</c:v>
                </c:pt>
                <c:pt idx="23">
                  <c:v>12</c:v>
                </c:pt>
                <c:pt idx="24">
                  <c:v>13.5</c:v>
                </c:pt>
                <c:pt idx="25">
                  <c:v>15</c:v>
                </c:pt>
                <c:pt idx="26">
                  <c:v>16.5</c:v>
                </c:pt>
                <c:pt idx="27">
                  <c:v>18</c:v>
                </c:pt>
                <c:pt idx="28">
                  <c:v>19.5</c:v>
                </c:pt>
                <c:pt idx="29">
                  <c:v>21</c:v>
                </c:pt>
                <c:pt idx="30">
                  <c:v>22.5</c:v>
                </c:pt>
              </c:numCache>
            </c:numRef>
          </c:xVal>
          <c:yVal>
            <c:numRef>
              <c:f>ct_L!$G$2:$G$32</c:f>
              <c:numCache>
                <c:formatCode>General</c:formatCode>
                <c:ptCount val="31"/>
                <c:pt idx="0">
                  <c:v>1.1296999999999999</c:v>
                </c:pt>
                <c:pt idx="1">
                  <c:v>0.96179999999999999</c:v>
                </c:pt>
                <c:pt idx="2">
                  <c:v>0.67179999999999995</c:v>
                </c:pt>
                <c:pt idx="3">
                  <c:v>0.66300000000000003</c:v>
                </c:pt>
                <c:pt idx="4">
                  <c:v>0.83640000000000003</c:v>
                </c:pt>
                <c:pt idx="5">
                  <c:v>0.90500000000000003</c:v>
                </c:pt>
                <c:pt idx="6">
                  <c:v>0.83130000000000004</c:v>
                </c:pt>
                <c:pt idx="7">
                  <c:v>1.0551999999999999</c:v>
                </c:pt>
                <c:pt idx="8">
                  <c:v>1.3505</c:v>
                </c:pt>
                <c:pt idx="9">
                  <c:v>1.3045</c:v>
                </c:pt>
                <c:pt idx="10">
                  <c:v>1.2356</c:v>
                </c:pt>
                <c:pt idx="11">
                  <c:v>1.4439</c:v>
                </c:pt>
                <c:pt idx="12">
                  <c:v>1.6003000000000001</c:v>
                </c:pt>
                <c:pt idx="13">
                  <c:v>1.6187</c:v>
                </c:pt>
                <c:pt idx="14">
                  <c:v>1.6763999999999999</c:v>
                </c:pt>
                <c:pt idx="15">
                  <c:v>1.5615000000000001</c:v>
                </c:pt>
                <c:pt idx="16">
                  <c:v>1.5730999999999999</c:v>
                </c:pt>
                <c:pt idx="17">
                  <c:v>1.7430000000000001</c:v>
                </c:pt>
                <c:pt idx="18">
                  <c:v>1.4738</c:v>
                </c:pt>
                <c:pt idx="19">
                  <c:v>1.2847</c:v>
                </c:pt>
                <c:pt idx="20">
                  <c:v>1.2859</c:v>
                </c:pt>
                <c:pt idx="21">
                  <c:v>0.99860000000000004</c:v>
                </c:pt>
                <c:pt idx="22">
                  <c:v>0.91190000000000004</c:v>
                </c:pt>
                <c:pt idx="23">
                  <c:v>1.0066999999999999</c:v>
                </c:pt>
                <c:pt idx="24">
                  <c:v>0.94620000000000004</c:v>
                </c:pt>
                <c:pt idx="25">
                  <c:v>0.74060000000000004</c:v>
                </c:pt>
                <c:pt idx="26">
                  <c:v>0.58720000000000006</c:v>
                </c:pt>
                <c:pt idx="27">
                  <c:v>0.55659999999999998</c:v>
                </c:pt>
                <c:pt idx="28">
                  <c:v>0.5655</c:v>
                </c:pt>
                <c:pt idx="29">
                  <c:v>0.54900000000000004</c:v>
                </c:pt>
                <c:pt idx="30">
                  <c:v>0.49709999999999999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ct_L!$N$1</c:f>
              <c:strCache>
                <c:ptCount val="1"/>
                <c:pt idx="0">
                  <c:v>Pz_Outer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ct_L!$M$26:$M$50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ct_L!$N$26:$N$50</c:f>
              <c:numCache>
                <c:formatCode>General</c:formatCode>
                <c:ptCount val="25"/>
                <c:pt idx="0">
                  <c:v>1.6264872167534958</c:v>
                </c:pt>
                <c:pt idx="1">
                  <c:v>1.6193077069670259</c:v>
                </c:pt>
                <c:pt idx="2">
                  <c:v>1.595529184060563</c:v>
                </c:pt>
                <c:pt idx="3">
                  <c:v>1.5549943729545301</c:v>
                </c:pt>
                <c:pt idx="4">
                  <c:v>1.4994784375930783</c:v>
                </c:pt>
                <c:pt idx="5">
                  <c:v>1.4319328988999074</c:v>
                </c:pt>
                <c:pt idx="6">
                  <c:v>1.355920806440472</c:v>
                </c:pt>
                <c:pt idx="7">
                  <c:v>1.2750993404969866</c:v>
                </c:pt>
                <c:pt idx="8">
                  <c:v>1.1928092311269314</c:v>
                </c:pt>
                <c:pt idx="9">
                  <c:v>1.1118136468909088</c:v>
                </c:pt>
                <c:pt idx="10">
                  <c:v>1.0341879230280984</c:v>
                </c:pt>
                <c:pt idx="11">
                  <c:v>0.96132964624878381</c:v>
                </c:pt>
                <c:pt idx="12">
                  <c:v>0.89404532220734956</c:v>
                </c:pt>
                <c:pt idx="13">
                  <c:v>0.83267221974934602</c:v>
                </c:pt>
                <c:pt idx="14">
                  <c:v>0.77720468986365576</c:v>
                </c:pt>
                <c:pt idx="15">
                  <c:v>0.72740668131252095</c:v>
                </c:pt>
                <c:pt idx="16">
                  <c:v>0.68290245223137047</c:v>
                </c:pt>
                <c:pt idx="17">
                  <c:v>0.6432443257735696</c:v>
                </c:pt>
                <c:pt idx="18">
                  <c:v>0.6079600446079394</c:v>
                </c:pt>
                <c:pt idx="19">
                  <c:v>0.57658373595821011</c:v>
                </c:pt>
                <c:pt idx="20">
                  <c:v>0.54867461688310348</c:v>
                </c:pt>
                <c:pt idx="21">
                  <c:v>0.52382703743582892</c:v>
                </c:pt>
                <c:pt idx="22">
                  <c:v>0.50167471043757883</c:v>
                </c:pt>
                <c:pt idx="23">
                  <c:v>0.48189124202629002</c:v>
                </c:pt>
                <c:pt idx="24">
                  <c:v>0.4641884562789001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ct_L!$O$1</c:f>
              <c:strCache>
                <c:ptCount val="1"/>
                <c:pt idx="0">
                  <c:v>Pz_Inner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ct_L!$M$2:$M$26</c:f>
              <c:numCache>
                <c:formatCode>General</c:formatCode>
                <c:ptCount val="25"/>
                <c:pt idx="0">
                  <c:v>-24</c:v>
                </c:pt>
                <c:pt idx="1">
                  <c:v>-23</c:v>
                </c:pt>
                <c:pt idx="2">
                  <c:v>-22</c:v>
                </c:pt>
                <c:pt idx="3">
                  <c:v>-21</c:v>
                </c:pt>
                <c:pt idx="4">
                  <c:v>-20</c:v>
                </c:pt>
                <c:pt idx="5">
                  <c:v>-19</c:v>
                </c:pt>
                <c:pt idx="6">
                  <c:v>-18</c:v>
                </c:pt>
                <c:pt idx="7">
                  <c:v>-17</c:v>
                </c:pt>
                <c:pt idx="8">
                  <c:v>-16</c:v>
                </c:pt>
                <c:pt idx="9">
                  <c:v>-15</c:v>
                </c:pt>
                <c:pt idx="10">
                  <c:v>-14</c:v>
                </c:pt>
                <c:pt idx="11">
                  <c:v>-13</c:v>
                </c:pt>
                <c:pt idx="12">
                  <c:v>-12</c:v>
                </c:pt>
                <c:pt idx="13">
                  <c:v>-11</c:v>
                </c:pt>
                <c:pt idx="14">
                  <c:v>-10</c:v>
                </c:pt>
                <c:pt idx="15">
                  <c:v>-9</c:v>
                </c:pt>
                <c:pt idx="16">
                  <c:v>-8</c:v>
                </c:pt>
                <c:pt idx="17">
                  <c:v>-7</c:v>
                </c:pt>
                <c:pt idx="18">
                  <c:v>-6</c:v>
                </c:pt>
                <c:pt idx="19">
                  <c:v>-5</c:v>
                </c:pt>
                <c:pt idx="20">
                  <c:v>-4</c:v>
                </c:pt>
                <c:pt idx="21">
                  <c:v>-3</c:v>
                </c:pt>
                <c:pt idx="22">
                  <c:v>-2</c:v>
                </c:pt>
                <c:pt idx="23">
                  <c:v>-1</c:v>
                </c:pt>
                <c:pt idx="24">
                  <c:v>0</c:v>
                </c:pt>
              </c:numCache>
            </c:numRef>
          </c:xVal>
          <c:yVal>
            <c:numRef>
              <c:f>ct_L!$O$2:$O$26</c:f>
              <c:numCache>
                <c:formatCode>General</c:formatCode>
                <c:ptCount val="25"/>
                <c:pt idx="0">
                  <c:v>0.83541583210625669</c:v>
                </c:pt>
                <c:pt idx="1">
                  <c:v>0.83544451343463255</c:v>
                </c:pt>
                <c:pt idx="2">
                  <c:v>0.83549682205876541</c:v>
                </c:pt>
                <c:pt idx="3">
                  <c:v>0.83559486828580953</c:v>
                </c:pt>
                <c:pt idx="4">
                  <c:v>0.83578422238230332</c:v>
                </c:pt>
                <c:pt idx="5">
                  <c:v>0.83616208480793963</c:v>
                </c:pt>
                <c:pt idx="6">
                  <c:v>0.83694360493471287</c:v>
                </c:pt>
                <c:pt idx="7">
                  <c:v>0.83862407579911236</c:v>
                </c:pt>
                <c:pt idx="8">
                  <c:v>0.84238970492755094</c:v>
                </c:pt>
                <c:pt idx="9">
                  <c:v>0.8511795348479001</c:v>
                </c:pt>
                <c:pt idx="10">
                  <c:v>0.87235730658202171</c:v>
                </c:pt>
                <c:pt idx="11">
                  <c:v>0.92324549083864305</c:v>
                </c:pt>
                <c:pt idx="12">
                  <c:v>1.0338300737905666</c:v>
                </c:pt>
                <c:pt idx="13">
                  <c:v>1.2108631701581083</c:v>
                </c:pt>
                <c:pt idx="14">
                  <c:v>1.3755713949313835</c:v>
                </c:pt>
                <c:pt idx="15">
                  <c:v>1.4599840425240889</c:v>
                </c:pt>
                <c:pt idx="16">
                  <c:v>1.4877426833978811</c:v>
                </c:pt>
                <c:pt idx="17">
                  <c:v>1.4945676563842341</c:v>
                </c:pt>
                <c:pt idx="18">
                  <c:v>1.4958841472194599</c:v>
                </c:pt>
                <c:pt idx="19">
                  <c:v>1.496076865157971</c:v>
                </c:pt>
                <c:pt idx="20">
                  <c:v>1.4960964069148601</c:v>
                </c:pt>
                <c:pt idx="21">
                  <c:v>1.4960975716139782</c:v>
                </c:pt>
                <c:pt idx="22">
                  <c:v>1.4960976016036016</c:v>
                </c:pt>
                <c:pt idx="23">
                  <c:v>1.4960976017723426</c:v>
                </c:pt>
                <c:pt idx="24">
                  <c:v>1.4960976017723666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12736"/>
        <c:axId val="135813312"/>
      </c:scatterChart>
      <c:valAx>
        <c:axId val="135812736"/>
        <c:scaling>
          <c:orientation val="minMax"/>
          <c:max val="24"/>
          <c:min val="-24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2000">
                <a:solidFill>
                  <a:srgbClr val="000000"/>
                </a:solidFill>
              </a:defRPr>
            </a:pPr>
            <a:endParaRPr lang="en-US"/>
          </a:p>
        </c:txPr>
        <c:crossAx val="135813312"/>
        <c:crosses val="autoZero"/>
        <c:crossBetween val="midCat"/>
        <c:majorUnit val="3"/>
      </c:valAx>
      <c:valAx>
        <c:axId val="135813312"/>
        <c:scaling>
          <c:orientation val="minMax"/>
          <c:max val="3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2000">
                <a:solidFill>
                  <a:srgbClr val="000000"/>
                </a:solidFill>
              </a:defRPr>
            </a:pPr>
            <a:endParaRPr lang="en-US"/>
          </a:p>
        </c:txPr>
        <c:crossAx val="135812736"/>
        <c:crosses val="autoZero"/>
        <c:crossBetween val="midCat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ct_I!$G$1</c:f>
              <c:strCache>
                <c:ptCount val="1"/>
                <c:pt idx="0">
                  <c:v>p_res,bin (DATA)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ct_I!$D$2:$D$32</c:f>
              <c:numCache>
                <c:formatCode>General</c:formatCode>
                <c:ptCount val="31"/>
                <c:pt idx="0">
                  <c:v>-22.5</c:v>
                </c:pt>
                <c:pt idx="1">
                  <c:v>-21</c:v>
                </c:pt>
                <c:pt idx="2">
                  <c:v>-19.5</c:v>
                </c:pt>
                <c:pt idx="3">
                  <c:v>-18</c:v>
                </c:pt>
                <c:pt idx="4">
                  <c:v>-16.5</c:v>
                </c:pt>
                <c:pt idx="5">
                  <c:v>-15</c:v>
                </c:pt>
                <c:pt idx="6">
                  <c:v>-13.5</c:v>
                </c:pt>
                <c:pt idx="7">
                  <c:v>-12</c:v>
                </c:pt>
                <c:pt idx="8">
                  <c:v>-10.5</c:v>
                </c:pt>
                <c:pt idx="9">
                  <c:v>-9</c:v>
                </c:pt>
                <c:pt idx="10">
                  <c:v>-7.5</c:v>
                </c:pt>
                <c:pt idx="11">
                  <c:v>-6</c:v>
                </c:pt>
                <c:pt idx="12">
                  <c:v>-4.5</c:v>
                </c:pt>
                <c:pt idx="13">
                  <c:v>-3</c:v>
                </c:pt>
                <c:pt idx="14">
                  <c:v>-1.5</c:v>
                </c:pt>
                <c:pt idx="15">
                  <c:v>0</c:v>
                </c:pt>
                <c:pt idx="16">
                  <c:v>1.5</c:v>
                </c:pt>
                <c:pt idx="17">
                  <c:v>3</c:v>
                </c:pt>
                <c:pt idx="18">
                  <c:v>4.5</c:v>
                </c:pt>
                <c:pt idx="19">
                  <c:v>6</c:v>
                </c:pt>
                <c:pt idx="20">
                  <c:v>7.5</c:v>
                </c:pt>
                <c:pt idx="21">
                  <c:v>9</c:v>
                </c:pt>
                <c:pt idx="22">
                  <c:v>10.5</c:v>
                </c:pt>
                <c:pt idx="23">
                  <c:v>12</c:v>
                </c:pt>
                <c:pt idx="24">
                  <c:v>13.5</c:v>
                </c:pt>
                <c:pt idx="25">
                  <c:v>15</c:v>
                </c:pt>
                <c:pt idx="26">
                  <c:v>16.5</c:v>
                </c:pt>
                <c:pt idx="27">
                  <c:v>18</c:v>
                </c:pt>
                <c:pt idx="28">
                  <c:v>19.5</c:v>
                </c:pt>
                <c:pt idx="29">
                  <c:v>21</c:v>
                </c:pt>
                <c:pt idx="30">
                  <c:v>22.5</c:v>
                </c:pt>
              </c:numCache>
            </c:numRef>
          </c:xVal>
          <c:yVal>
            <c:numRef>
              <c:f>ct_I!$G$2:$G$32</c:f>
              <c:numCache>
                <c:formatCode>General</c:formatCode>
                <c:ptCount val="31"/>
                <c:pt idx="0">
                  <c:v>0.71150000000000002</c:v>
                </c:pt>
                <c:pt idx="1">
                  <c:v>0.67349999999999999</c:v>
                </c:pt>
                <c:pt idx="2">
                  <c:v>0.64849999999999997</c:v>
                </c:pt>
                <c:pt idx="3">
                  <c:v>0.65710000000000002</c:v>
                </c:pt>
                <c:pt idx="4">
                  <c:v>0.80920000000000003</c:v>
                </c:pt>
                <c:pt idx="5">
                  <c:v>0.9375</c:v>
                </c:pt>
                <c:pt idx="6">
                  <c:v>0.9022</c:v>
                </c:pt>
                <c:pt idx="7">
                  <c:v>0.99070000000000003</c:v>
                </c:pt>
                <c:pt idx="8">
                  <c:v>1.1967000000000001</c:v>
                </c:pt>
                <c:pt idx="9">
                  <c:v>1.2968</c:v>
                </c:pt>
                <c:pt idx="10">
                  <c:v>1.5303</c:v>
                </c:pt>
                <c:pt idx="11">
                  <c:v>1.6048</c:v>
                </c:pt>
                <c:pt idx="12">
                  <c:v>1.3695999999999999</c:v>
                </c:pt>
                <c:pt idx="13">
                  <c:v>1.3541000000000001</c:v>
                </c:pt>
                <c:pt idx="14">
                  <c:v>1.3092999999999999</c:v>
                </c:pt>
                <c:pt idx="15">
                  <c:v>1.3405</c:v>
                </c:pt>
                <c:pt idx="16">
                  <c:v>1.3863000000000001</c:v>
                </c:pt>
                <c:pt idx="17">
                  <c:v>1.2498</c:v>
                </c:pt>
                <c:pt idx="18">
                  <c:v>1.3721000000000001</c:v>
                </c:pt>
                <c:pt idx="19">
                  <c:v>1.4326000000000001</c:v>
                </c:pt>
                <c:pt idx="20">
                  <c:v>1.3042</c:v>
                </c:pt>
                <c:pt idx="21">
                  <c:v>1.0198</c:v>
                </c:pt>
                <c:pt idx="22">
                  <c:v>0.89180000000000004</c:v>
                </c:pt>
                <c:pt idx="23">
                  <c:v>0.80200000000000005</c:v>
                </c:pt>
                <c:pt idx="24">
                  <c:v>0.69789999999999996</c:v>
                </c:pt>
                <c:pt idx="25">
                  <c:v>0.78320000000000001</c:v>
                </c:pt>
                <c:pt idx="26">
                  <c:v>0.76839999999999997</c:v>
                </c:pt>
                <c:pt idx="27">
                  <c:v>0.70399999999999996</c:v>
                </c:pt>
                <c:pt idx="28">
                  <c:v>0.59950000000000003</c:v>
                </c:pt>
                <c:pt idx="29">
                  <c:v>0.55210000000000004</c:v>
                </c:pt>
                <c:pt idx="30">
                  <c:v>0.60589999999999999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ct_I!$N$1</c:f>
              <c:strCache>
                <c:ptCount val="1"/>
                <c:pt idx="0">
                  <c:v>Pz_Outer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ct_I!$M$26:$M$50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ct_I!$N$26:$N$50</c:f>
              <c:numCache>
                <c:formatCode>General</c:formatCode>
                <c:ptCount val="25"/>
                <c:pt idx="0">
                  <c:v>1.544433968976429</c:v>
                </c:pt>
                <c:pt idx="1">
                  <c:v>1.5414051529570152</c:v>
                </c:pt>
                <c:pt idx="2">
                  <c:v>1.528612541284625</c:v>
                </c:pt>
                <c:pt idx="3">
                  <c:v>1.5034274308420885</c:v>
                </c:pt>
                <c:pt idx="4">
                  <c:v>1.4652499042023206</c:v>
                </c:pt>
                <c:pt idx="5">
                  <c:v>1.4150395549239125</c:v>
                </c:pt>
                <c:pt idx="6">
                  <c:v>1.3549688430384652</c:v>
                </c:pt>
                <c:pt idx="7">
                  <c:v>1.2879638884333953</c:v>
                </c:pt>
                <c:pt idx="8">
                  <c:v>1.2171969949134498</c:v>
                </c:pt>
                <c:pt idx="9">
                  <c:v>1.1456408092678838</c:v>
                </c:pt>
                <c:pt idx="10">
                  <c:v>1.0757639520575213</c:v>
                </c:pt>
                <c:pt idx="11">
                  <c:v>1.0093908314446354</c:v>
                </c:pt>
                <c:pt idx="12">
                  <c:v>0.94769970298393746</c:v>
                </c:pt>
                <c:pt idx="13">
                  <c:v>0.89130953863868378</c:v>
                </c:pt>
                <c:pt idx="14">
                  <c:v>0.8404063022225472</c:v>
                </c:pt>
                <c:pt idx="15">
                  <c:v>0.79487228838903079</c:v>
                </c:pt>
                <c:pt idx="16">
                  <c:v>0.75439802136209655</c:v>
                </c:pt>
                <c:pt idx="17">
                  <c:v>0.71856894396365423</c:v>
                </c:pt>
                <c:pt idx="18">
                  <c:v>0.68692705880549465</c:v>
                </c:pt>
                <c:pt idx="19">
                  <c:v>0.65901148460875514</c:v>
                </c:pt>
                <c:pt idx="20">
                  <c:v>0.63438297965233881</c:v>
                </c:pt>
                <c:pt idx="21">
                  <c:v>0.61263714347910625</c:v>
                </c:pt>
                <c:pt idx="22">
                  <c:v>0.59341010423967544</c:v>
                </c:pt>
                <c:pt idx="23">
                  <c:v>0.57637951197343795</c:v>
                </c:pt>
                <c:pt idx="24">
                  <c:v>0.56126280149259677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ct_I!$O$1</c:f>
              <c:strCache>
                <c:ptCount val="1"/>
                <c:pt idx="0">
                  <c:v>Pz_Inner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ct_I!$M$2:$M$26</c:f>
              <c:numCache>
                <c:formatCode>General</c:formatCode>
                <c:ptCount val="25"/>
                <c:pt idx="0">
                  <c:v>-24</c:v>
                </c:pt>
                <c:pt idx="1">
                  <c:v>-23</c:v>
                </c:pt>
                <c:pt idx="2">
                  <c:v>-22</c:v>
                </c:pt>
                <c:pt idx="3">
                  <c:v>-21</c:v>
                </c:pt>
                <c:pt idx="4">
                  <c:v>-20</c:v>
                </c:pt>
                <c:pt idx="5">
                  <c:v>-19</c:v>
                </c:pt>
                <c:pt idx="6">
                  <c:v>-18</c:v>
                </c:pt>
                <c:pt idx="7">
                  <c:v>-17</c:v>
                </c:pt>
                <c:pt idx="8">
                  <c:v>-16</c:v>
                </c:pt>
                <c:pt idx="9">
                  <c:v>-15</c:v>
                </c:pt>
                <c:pt idx="10">
                  <c:v>-14</c:v>
                </c:pt>
                <c:pt idx="11">
                  <c:v>-13</c:v>
                </c:pt>
                <c:pt idx="12">
                  <c:v>-12</c:v>
                </c:pt>
                <c:pt idx="13">
                  <c:v>-11</c:v>
                </c:pt>
                <c:pt idx="14">
                  <c:v>-10</c:v>
                </c:pt>
                <c:pt idx="15">
                  <c:v>-9</c:v>
                </c:pt>
                <c:pt idx="16">
                  <c:v>-8</c:v>
                </c:pt>
                <c:pt idx="17">
                  <c:v>-7</c:v>
                </c:pt>
                <c:pt idx="18">
                  <c:v>-6</c:v>
                </c:pt>
                <c:pt idx="19">
                  <c:v>-5</c:v>
                </c:pt>
                <c:pt idx="20">
                  <c:v>-4</c:v>
                </c:pt>
                <c:pt idx="21">
                  <c:v>-3</c:v>
                </c:pt>
                <c:pt idx="22">
                  <c:v>-2</c:v>
                </c:pt>
                <c:pt idx="23">
                  <c:v>-1</c:v>
                </c:pt>
                <c:pt idx="24">
                  <c:v>0</c:v>
                </c:pt>
              </c:numCache>
            </c:numRef>
          </c:xVal>
          <c:yVal>
            <c:numRef>
              <c:f>ct_I!$O$2:$O$26</c:f>
              <c:numCache>
                <c:formatCode>General</c:formatCode>
                <c:ptCount val="25"/>
                <c:pt idx="0">
                  <c:v>0.55016696811370014</c:v>
                </c:pt>
                <c:pt idx="1">
                  <c:v>0.56501829318089303</c:v>
                </c:pt>
                <c:pt idx="2">
                  <c:v>0.58183940733421491</c:v>
                </c:pt>
                <c:pt idx="3">
                  <c:v>0.60093489143535772</c:v>
                </c:pt>
                <c:pt idx="4">
                  <c:v>0.622654626529763</c:v>
                </c:pt>
                <c:pt idx="5">
                  <c:v>0.64739624009336705</c:v>
                </c:pt>
                <c:pt idx="6">
                  <c:v>0.67560444821527044</c:v>
                </c:pt>
                <c:pt idx="7">
                  <c:v>0.7077649115875102</c:v>
                </c:pt>
                <c:pt idx="8">
                  <c:v>0.74438914083262864</c:v>
                </c:pt>
                <c:pt idx="9">
                  <c:v>0.78598574261278531</c:v>
                </c:pt>
                <c:pt idx="10">
                  <c:v>0.83301219611871591</c:v>
                </c:pt>
                <c:pt idx="11">
                  <c:v>0.88580107192171287</c:v>
                </c:pt>
                <c:pt idx="12">
                  <c:v>0.94445637184389575</c:v>
                </c:pt>
                <c:pt idx="13">
                  <c:v>1.0087212244246899</c:v>
                </c:pt>
                <c:pt idx="14">
                  <c:v>1.07782926042855</c:v>
                </c:pt>
                <c:pt idx="15">
                  <c:v>1.1503689097902736</c:v>
                </c:pt>
                <c:pt idx="16">
                  <c:v>1.2242090466420885</c:v>
                </c:pt>
                <c:pt idx="17">
                  <c:v>1.2965463690571843</c:v>
                </c:pt>
                <c:pt idx="18">
                  <c:v>1.3641255618537684</c:v>
                </c:pt>
                <c:pt idx="19">
                  <c:v>1.4236420748032343</c:v>
                </c:pt>
                <c:pt idx="20">
                  <c:v>1.4722703562786177</c:v>
                </c:pt>
                <c:pt idx="21">
                  <c:v>1.5081981948069187</c:v>
                </c:pt>
                <c:pt idx="22">
                  <c:v>1.5310355331406342</c:v>
                </c:pt>
                <c:pt idx="23">
                  <c:v>1.5420442567855845</c:v>
                </c:pt>
                <c:pt idx="24">
                  <c:v>1.544433968976429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79552"/>
        <c:axId val="138880128"/>
      </c:scatterChart>
      <c:valAx>
        <c:axId val="138879552"/>
        <c:scaling>
          <c:orientation val="minMax"/>
          <c:max val="24"/>
          <c:min val="-24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2000">
                <a:solidFill>
                  <a:srgbClr val="000000"/>
                </a:solidFill>
              </a:defRPr>
            </a:pPr>
            <a:endParaRPr lang="en-US"/>
          </a:p>
        </c:txPr>
        <c:crossAx val="138880128"/>
        <c:crosses val="autoZero"/>
        <c:crossBetween val="midCat"/>
        <c:majorUnit val="3"/>
      </c:valAx>
      <c:valAx>
        <c:axId val="138880128"/>
        <c:scaling>
          <c:orientation val="minMax"/>
          <c:max val="3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2000">
                <a:solidFill>
                  <a:srgbClr val="000000"/>
                </a:solidFill>
              </a:defRPr>
            </a:pPr>
            <a:endParaRPr lang="en-US"/>
          </a:p>
        </c:txPr>
        <c:crossAx val="138879552"/>
        <c:crosses val="autoZero"/>
        <c:crossBetween val="midCat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ct_V!$G$1</c:f>
              <c:strCache>
                <c:ptCount val="1"/>
                <c:pt idx="0">
                  <c:v>p_res,bin (DATA)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ct_V!$D$2:$D$32</c:f>
              <c:numCache>
                <c:formatCode>General</c:formatCode>
                <c:ptCount val="31"/>
                <c:pt idx="0">
                  <c:v>-22.5</c:v>
                </c:pt>
                <c:pt idx="1">
                  <c:v>-21</c:v>
                </c:pt>
                <c:pt idx="2">
                  <c:v>-19.5</c:v>
                </c:pt>
                <c:pt idx="3">
                  <c:v>-18</c:v>
                </c:pt>
                <c:pt idx="4">
                  <c:v>-16.5</c:v>
                </c:pt>
                <c:pt idx="5">
                  <c:v>-15</c:v>
                </c:pt>
                <c:pt idx="6">
                  <c:v>-13.5</c:v>
                </c:pt>
                <c:pt idx="7">
                  <c:v>-12</c:v>
                </c:pt>
                <c:pt idx="8">
                  <c:v>-10.5</c:v>
                </c:pt>
                <c:pt idx="9">
                  <c:v>-9</c:v>
                </c:pt>
                <c:pt idx="10">
                  <c:v>-7.5</c:v>
                </c:pt>
                <c:pt idx="11">
                  <c:v>-6</c:v>
                </c:pt>
                <c:pt idx="12">
                  <c:v>-4.5</c:v>
                </c:pt>
                <c:pt idx="13">
                  <c:v>-3</c:v>
                </c:pt>
                <c:pt idx="14">
                  <c:v>-1.5</c:v>
                </c:pt>
                <c:pt idx="15">
                  <c:v>0</c:v>
                </c:pt>
                <c:pt idx="16">
                  <c:v>1.5</c:v>
                </c:pt>
                <c:pt idx="17">
                  <c:v>3</c:v>
                </c:pt>
                <c:pt idx="18">
                  <c:v>4.5</c:v>
                </c:pt>
                <c:pt idx="19">
                  <c:v>6</c:v>
                </c:pt>
                <c:pt idx="20">
                  <c:v>7.5</c:v>
                </c:pt>
                <c:pt idx="21">
                  <c:v>9</c:v>
                </c:pt>
                <c:pt idx="22">
                  <c:v>10.5</c:v>
                </c:pt>
                <c:pt idx="23">
                  <c:v>12</c:v>
                </c:pt>
                <c:pt idx="24">
                  <c:v>13.5</c:v>
                </c:pt>
                <c:pt idx="25">
                  <c:v>15</c:v>
                </c:pt>
                <c:pt idx="26">
                  <c:v>16.5</c:v>
                </c:pt>
                <c:pt idx="27">
                  <c:v>18</c:v>
                </c:pt>
                <c:pt idx="28">
                  <c:v>19.5</c:v>
                </c:pt>
                <c:pt idx="29">
                  <c:v>21</c:v>
                </c:pt>
                <c:pt idx="30">
                  <c:v>22.5</c:v>
                </c:pt>
              </c:numCache>
            </c:numRef>
          </c:xVal>
          <c:yVal>
            <c:numRef>
              <c:f>ct_V!$G$2:$G$32</c:f>
              <c:numCache>
                <c:formatCode>General</c:formatCode>
                <c:ptCount val="31"/>
                <c:pt idx="0">
                  <c:v>0.51570000000000005</c:v>
                </c:pt>
                <c:pt idx="1">
                  <c:v>0.46439999999999998</c:v>
                </c:pt>
                <c:pt idx="2">
                  <c:v>0.45200000000000001</c:v>
                </c:pt>
                <c:pt idx="3">
                  <c:v>0.54220000000000002</c:v>
                </c:pt>
                <c:pt idx="4">
                  <c:v>0.54749999999999999</c:v>
                </c:pt>
                <c:pt idx="5">
                  <c:v>0.67390000000000005</c:v>
                </c:pt>
                <c:pt idx="6">
                  <c:v>0.77070000000000005</c:v>
                </c:pt>
                <c:pt idx="7">
                  <c:v>0.85870000000000002</c:v>
                </c:pt>
                <c:pt idx="8">
                  <c:v>1.0563</c:v>
                </c:pt>
                <c:pt idx="9">
                  <c:v>1.1213</c:v>
                </c:pt>
                <c:pt idx="10">
                  <c:v>1.224</c:v>
                </c:pt>
                <c:pt idx="11">
                  <c:v>1.3668</c:v>
                </c:pt>
                <c:pt idx="12">
                  <c:v>1.4965999999999999</c:v>
                </c:pt>
                <c:pt idx="13">
                  <c:v>1.6647000000000001</c:v>
                </c:pt>
                <c:pt idx="14">
                  <c:v>1.6265000000000001</c:v>
                </c:pt>
                <c:pt idx="15">
                  <c:v>1.4813000000000001</c:v>
                </c:pt>
                <c:pt idx="16">
                  <c:v>1.5119</c:v>
                </c:pt>
                <c:pt idx="17">
                  <c:v>1.6456</c:v>
                </c:pt>
                <c:pt idx="18">
                  <c:v>1.6958</c:v>
                </c:pt>
                <c:pt idx="19">
                  <c:v>1.548</c:v>
                </c:pt>
                <c:pt idx="20">
                  <c:v>1.3333999999999999</c:v>
                </c:pt>
                <c:pt idx="21">
                  <c:v>1.1369</c:v>
                </c:pt>
                <c:pt idx="22">
                  <c:v>1.0145999999999999</c:v>
                </c:pt>
                <c:pt idx="23">
                  <c:v>1.0327</c:v>
                </c:pt>
                <c:pt idx="24">
                  <c:v>1.0625</c:v>
                </c:pt>
                <c:pt idx="25">
                  <c:v>0.83079999999999998</c:v>
                </c:pt>
                <c:pt idx="26">
                  <c:v>0.6401</c:v>
                </c:pt>
                <c:pt idx="27">
                  <c:v>0.69569999999999999</c:v>
                </c:pt>
                <c:pt idx="28">
                  <c:v>0.72050000000000003</c:v>
                </c:pt>
                <c:pt idx="29">
                  <c:v>0.64039999999999997</c:v>
                </c:pt>
                <c:pt idx="30">
                  <c:v>0.61419999999999997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ct_V!$N$1</c:f>
              <c:strCache>
                <c:ptCount val="1"/>
                <c:pt idx="0">
                  <c:v>Pz_Outer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ct_V!$M$26:$M$50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ct_V!$N$26:$N$50</c:f>
              <c:numCache>
                <c:formatCode>General</c:formatCode>
                <c:ptCount val="25"/>
                <c:pt idx="0">
                  <c:v>1.5915929881369775</c:v>
                </c:pt>
                <c:pt idx="1">
                  <c:v>1.5910880221168682</c:v>
                </c:pt>
                <c:pt idx="2">
                  <c:v>1.5870952888961456</c:v>
                </c:pt>
                <c:pt idx="3">
                  <c:v>1.575560124891769</c:v>
                </c:pt>
                <c:pt idx="4">
                  <c:v>1.5526108838466577</c:v>
                </c:pt>
                <c:pt idx="5">
                  <c:v>1.5153618130702187</c:v>
                </c:pt>
                <c:pt idx="6">
                  <c:v>1.4627125489561115</c:v>
                </c:pt>
                <c:pt idx="7">
                  <c:v>1.3958420476235893</c:v>
                </c:pt>
                <c:pt idx="8">
                  <c:v>1.3180971288376098</c:v>
                </c:pt>
                <c:pt idx="9">
                  <c:v>1.2342335499412089</c:v>
                </c:pt>
                <c:pt idx="10">
                  <c:v>1.1493066839852866</c:v>
                </c:pt>
                <c:pt idx="11">
                  <c:v>1.0676659571023435</c:v>
                </c:pt>
                <c:pt idx="12">
                  <c:v>0.99237736978836999</c:v>
                </c:pt>
                <c:pt idx="13">
                  <c:v>0.92512574230402134</c:v>
                </c:pt>
                <c:pt idx="14">
                  <c:v>0.86644472582518128</c:v>
                </c:pt>
                <c:pt idx="15">
                  <c:v>0.81607354409365085</c:v>
                </c:pt>
                <c:pt idx="16">
                  <c:v>0.77329582499656935</c:v>
                </c:pt>
                <c:pt idx="17">
                  <c:v>0.73719567927018836</c:v>
                </c:pt>
                <c:pt idx="18">
                  <c:v>0.70682279908993029</c:v>
                </c:pt>
                <c:pt idx="19">
                  <c:v>0.68128441104398019</c:v>
                </c:pt>
                <c:pt idx="20">
                  <c:v>0.65978751273477132</c:v>
                </c:pt>
                <c:pt idx="21">
                  <c:v>0.64165118687801659</c:v>
                </c:pt>
                <c:pt idx="22">
                  <c:v>0.62630286132209312</c:v>
                </c:pt>
                <c:pt idx="23">
                  <c:v>0.61326717116488028</c:v>
                </c:pt>
                <c:pt idx="24">
                  <c:v>0.60215235832122194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ct_V!$O$1</c:f>
              <c:strCache>
                <c:ptCount val="1"/>
                <c:pt idx="0">
                  <c:v>Pz_Inner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ct_V!$M$2:$M$26</c:f>
              <c:numCache>
                <c:formatCode>General</c:formatCode>
                <c:ptCount val="25"/>
                <c:pt idx="0">
                  <c:v>-24</c:v>
                </c:pt>
                <c:pt idx="1">
                  <c:v>-23</c:v>
                </c:pt>
                <c:pt idx="2">
                  <c:v>-22</c:v>
                </c:pt>
                <c:pt idx="3">
                  <c:v>-21</c:v>
                </c:pt>
                <c:pt idx="4">
                  <c:v>-20</c:v>
                </c:pt>
                <c:pt idx="5">
                  <c:v>-19</c:v>
                </c:pt>
                <c:pt idx="6">
                  <c:v>-18</c:v>
                </c:pt>
                <c:pt idx="7">
                  <c:v>-17</c:v>
                </c:pt>
                <c:pt idx="8">
                  <c:v>-16</c:v>
                </c:pt>
                <c:pt idx="9">
                  <c:v>-15</c:v>
                </c:pt>
                <c:pt idx="10">
                  <c:v>-14</c:v>
                </c:pt>
                <c:pt idx="11">
                  <c:v>-13</c:v>
                </c:pt>
                <c:pt idx="12">
                  <c:v>-12</c:v>
                </c:pt>
                <c:pt idx="13">
                  <c:v>-11</c:v>
                </c:pt>
                <c:pt idx="14">
                  <c:v>-10</c:v>
                </c:pt>
                <c:pt idx="15">
                  <c:v>-9</c:v>
                </c:pt>
                <c:pt idx="16">
                  <c:v>-8</c:v>
                </c:pt>
                <c:pt idx="17">
                  <c:v>-7</c:v>
                </c:pt>
                <c:pt idx="18">
                  <c:v>-6</c:v>
                </c:pt>
                <c:pt idx="19">
                  <c:v>-5</c:v>
                </c:pt>
                <c:pt idx="20">
                  <c:v>-4</c:v>
                </c:pt>
                <c:pt idx="21">
                  <c:v>-3</c:v>
                </c:pt>
                <c:pt idx="22">
                  <c:v>-2</c:v>
                </c:pt>
                <c:pt idx="23">
                  <c:v>-1</c:v>
                </c:pt>
                <c:pt idx="24">
                  <c:v>0</c:v>
                </c:pt>
              </c:numCache>
            </c:numRef>
          </c:xVal>
          <c:yVal>
            <c:numRef>
              <c:f>ct_V!$O$2:$O$26</c:f>
              <c:numCache>
                <c:formatCode>General</c:formatCode>
                <c:ptCount val="25"/>
                <c:pt idx="0">
                  <c:v>0.44222901944311593</c:v>
                </c:pt>
                <c:pt idx="1">
                  <c:v>0.45195309091730484</c:v>
                </c:pt>
                <c:pt idx="2">
                  <c:v>0.46356524009085764</c:v>
                </c:pt>
                <c:pt idx="3">
                  <c:v>0.47750681771996217</c:v>
                </c:pt>
                <c:pt idx="4">
                  <c:v>0.49433277050254792</c:v>
                </c:pt>
                <c:pt idx="5">
                  <c:v>0.51473867039963939</c:v>
                </c:pt>
                <c:pt idx="6">
                  <c:v>0.53958957637484051</c:v>
                </c:pt>
                <c:pt idx="7">
                  <c:v>0.56994539806638544</c:v>
                </c:pt>
                <c:pt idx="8">
                  <c:v>0.60707124146116687</c:v>
                </c:pt>
                <c:pt idx="9">
                  <c:v>0.65241094019727441</c:v>
                </c:pt>
                <c:pt idx="10">
                  <c:v>0.70748746206942159</c:v>
                </c:pt>
                <c:pt idx="11">
                  <c:v>0.77367919995531431</c:v>
                </c:pt>
                <c:pt idx="12">
                  <c:v>0.85182021655576268</c:v>
                </c:pt>
                <c:pt idx="13">
                  <c:v>0.94161370233998287</c:v>
                </c:pt>
                <c:pt idx="14">
                  <c:v>1.040964292805636</c:v>
                </c:pt>
                <c:pt idx="15">
                  <c:v>1.1455191462868588</c:v>
                </c:pt>
                <c:pt idx="16">
                  <c:v>1.2488422422337944</c:v>
                </c:pt>
                <c:pt idx="17">
                  <c:v>1.3435135222771666</c:v>
                </c:pt>
                <c:pt idx="18">
                  <c:v>1.4229471516364958</c:v>
                </c:pt>
                <c:pt idx="19">
                  <c:v>1.4831611061412258</c:v>
                </c:pt>
                <c:pt idx="20">
                  <c:v>1.5236432935858044</c:v>
                </c:pt>
                <c:pt idx="21">
                  <c:v>1.5470025382380701</c:v>
                </c:pt>
                <c:pt idx="22">
                  <c:v>1.5577826716466301</c:v>
                </c:pt>
                <c:pt idx="23">
                  <c:v>1.5610893716131793</c:v>
                </c:pt>
                <c:pt idx="24">
                  <c:v>1.5614336493143139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82432"/>
        <c:axId val="138883008"/>
      </c:scatterChart>
      <c:valAx>
        <c:axId val="138882432"/>
        <c:scaling>
          <c:orientation val="minMax"/>
          <c:max val="24"/>
          <c:min val="-24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2000">
                <a:solidFill>
                  <a:srgbClr val="000000"/>
                </a:solidFill>
              </a:defRPr>
            </a:pPr>
            <a:endParaRPr lang="en-US"/>
          </a:p>
        </c:txPr>
        <c:crossAx val="138883008"/>
        <c:crosses val="autoZero"/>
        <c:crossBetween val="midCat"/>
        <c:majorUnit val="3"/>
      </c:valAx>
      <c:valAx>
        <c:axId val="138883008"/>
        <c:scaling>
          <c:orientation val="minMax"/>
          <c:max val="3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2000">
                <a:solidFill>
                  <a:srgbClr val="000000"/>
                </a:solidFill>
              </a:defRPr>
            </a:pPr>
            <a:endParaRPr lang="en-US"/>
          </a:p>
        </c:txPr>
        <c:crossAx val="138882432"/>
        <c:crosses val="autoZero"/>
        <c:crossBetween val="midCat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ct_D!$G$1</c:f>
              <c:strCache>
                <c:ptCount val="1"/>
                <c:pt idx="0">
                  <c:v>p_res,bin (DATA)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ct_D!$D$2:$D$32</c:f>
              <c:numCache>
                <c:formatCode>General</c:formatCode>
                <c:ptCount val="31"/>
                <c:pt idx="0">
                  <c:v>-22.5</c:v>
                </c:pt>
                <c:pt idx="1">
                  <c:v>-21</c:v>
                </c:pt>
                <c:pt idx="2">
                  <c:v>-19.5</c:v>
                </c:pt>
                <c:pt idx="3">
                  <c:v>-18</c:v>
                </c:pt>
                <c:pt idx="4">
                  <c:v>-16.5</c:v>
                </c:pt>
                <c:pt idx="5">
                  <c:v>-15</c:v>
                </c:pt>
                <c:pt idx="6">
                  <c:v>-13.5</c:v>
                </c:pt>
                <c:pt idx="7">
                  <c:v>-12</c:v>
                </c:pt>
                <c:pt idx="8">
                  <c:v>-10.5</c:v>
                </c:pt>
                <c:pt idx="9">
                  <c:v>-9</c:v>
                </c:pt>
                <c:pt idx="10">
                  <c:v>-7.5</c:v>
                </c:pt>
                <c:pt idx="11">
                  <c:v>-6</c:v>
                </c:pt>
                <c:pt idx="12">
                  <c:v>-4.5</c:v>
                </c:pt>
                <c:pt idx="13">
                  <c:v>-3</c:v>
                </c:pt>
                <c:pt idx="14">
                  <c:v>-1.5</c:v>
                </c:pt>
                <c:pt idx="15">
                  <c:v>0</c:v>
                </c:pt>
                <c:pt idx="16">
                  <c:v>1.5</c:v>
                </c:pt>
                <c:pt idx="17">
                  <c:v>3</c:v>
                </c:pt>
                <c:pt idx="18">
                  <c:v>4.5</c:v>
                </c:pt>
                <c:pt idx="19">
                  <c:v>6</c:v>
                </c:pt>
                <c:pt idx="20">
                  <c:v>7.5</c:v>
                </c:pt>
                <c:pt idx="21">
                  <c:v>9</c:v>
                </c:pt>
                <c:pt idx="22">
                  <c:v>10.5</c:v>
                </c:pt>
                <c:pt idx="23">
                  <c:v>12</c:v>
                </c:pt>
                <c:pt idx="24">
                  <c:v>13.5</c:v>
                </c:pt>
                <c:pt idx="25">
                  <c:v>15</c:v>
                </c:pt>
                <c:pt idx="26">
                  <c:v>16.5</c:v>
                </c:pt>
                <c:pt idx="27">
                  <c:v>18</c:v>
                </c:pt>
                <c:pt idx="28">
                  <c:v>19.5</c:v>
                </c:pt>
                <c:pt idx="29">
                  <c:v>21</c:v>
                </c:pt>
                <c:pt idx="30">
                  <c:v>22.5</c:v>
                </c:pt>
              </c:numCache>
            </c:numRef>
          </c:xVal>
          <c:yVal>
            <c:numRef>
              <c:f>ct_D!$G$2:$G$32</c:f>
              <c:numCache>
                <c:formatCode>General</c:formatCode>
                <c:ptCount val="31"/>
                <c:pt idx="0">
                  <c:v>1.6032999999999999</c:v>
                </c:pt>
                <c:pt idx="1">
                  <c:v>1.6469</c:v>
                </c:pt>
                <c:pt idx="2">
                  <c:v>1.6079000000000001</c:v>
                </c:pt>
                <c:pt idx="3">
                  <c:v>1.6852</c:v>
                </c:pt>
                <c:pt idx="4">
                  <c:v>1.5357000000000001</c:v>
                </c:pt>
                <c:pt idx="5">
                  <c:v>1.1184000000000001</c:v>
                </c:pt>
                <c:pt idx="6">
                  <c:v>0.86870000000000003</c:v>
                </c:pt>
                <c:pt idx="7">
                  <c:v>0.69879999999999998</c:v>
                </c:pt>
                <c:pt idx="8">
                  <c:v>0.63070000000000004</c:v>
                </c:pt>
                <c:pt idx="9">
                  <c:v>0.67600000000000005</c:v>
                </c:pt>
                <c:pt idx="10">
                  <c:v>0.62929999999999997</c:v>
                </c:pt>
                <c:pt idx="11">
                  <c:v>0.62409999999999999</c:v>
                </c:pt>
                <c:pt idx="12">
                  <c:v>0.61060000000000003</c:v>
                </c:pt>
                <c:pt idx="13">
                  <c:v>0.50629999999999997</c:v>
                </c:pt>
                <c:pt idx="14">
                  <c:v>0.56699999999999995</c:v>
                </c:pt>
                <c:pt idx="15">
                  <c:v>0.56710000000000005</c:v>
                </c:pt>
                <c:pt idx="16">
                  <c:v>0.49959999999999999</c:v>
                </c:pt>
                <c:pt idx="17">
                  <c:v>0.63560000000000005</c:v>
                </c:pt>
                <c:pt idx="18">
                  <c:v>0.82809999999999995</c:v>
                </c:pt>
                <c:pt idx="19">
                  <c:v>0.74199999999999999</c:v>
                </c:pt>
                <c:pt idx="20">
                  <c:v>0.65400000000000003</c:v>
                </c:pt>
                <c:pt idx="21">
                  <c:v>0.66820000000000002</c:v>
                </c:pt>
                <c:pt idx="22">
                  <c:v>0.67630000000000001</c:v>
                </c:pt>
                <c:pt idx="23">
                  <c:v>0.78369999999999995</c:v>
                </c:pt>
                <c:pt idx="24">
                  <c:v>0.90959999999999996</c:v>
                </c:pt>
                <c:pt idx="25">
                  <c:v>1.2392000000000001</c:v>
                </c:pt>
                <c:pt idx="26">
                  <c:v>1.2926</c:v>
                </c:pt>
                <c:pt idx="27">
                  <c:v>1.2909999999999999</c:v>
                </c:pt>
                <c:pt idx="28">
                  <c:v>1.6111</c:v>
                </c:pt>
                <c:pt idx="29">
                  <c:v>1.6063000000000001</c:v>
                </c:pt>
                <c:pt idx="30">
                  <c:v>1.5266999999999999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ct_D!$N$1</c:f>
              <c:strCache>
                <c:ptCount val="1"/>
                <c:pt idx="0">
                  <c:v>Pz_Outer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ct_D!$M$26:$M$50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ct_D!$N$26:$N$50</c:f>
              <c:numCache>
                <c:formatCode>General</c:formatCode>
                <c:ptCount val="25"/>
                <c:pt idx="0">
                  <c:v>0.6441261980865014</c:v>
                </c:pt>
                <c:pt idx="1">
                  <c:v>0.64412619824281214</c:v>
                </c:pt>
                <c:pt idx="2">
                  <c:v>0.64412624881831571</c:v>
                </c:pt>
                <c:pt idx="3">
                  <c:v>0.64412769188216157</c:v>
                </c:pt>
                <c:pt idx="4">
                  <c:v>0.64414266321969493</c:v>
                </c:pt>
                <c:pt idx="5">
                  <c:v>0.64423211956494109</c:v>
                </c:pt>
                <c:pt idx="6">
                  <c:v>0.64461080038835084</c:v>
                </c:pt>
                <c:pt idx="7">
                  <c:v>0.64587749513591375</c:v>
                </c:pt>
                <c:pt idx="8">
                  <c:v>0.64944342358443263</c:v>
                </c:pt>
                <c:pt idx="9">
                  <c:v>0.65821223927616479</c:v>
                </c:pt>
                <c:pt idx="10">
                  <c:v>0.67742372029760922</c:v>
                </c:pt>
                <c:pt idx="11">
                  <c:v>0.71511548666369018</c:v>
                </c:pt>
                <c:pt idx="12">
                  <c:v>0.78073929285301791</c:v>
                </c:pt>
                <c:pt idx="13">
                  <c:v>0.8799994574849056</c:v>
                </c:pt>
                <c:pt idx="14">
                  <c:v>1.0072319021779039</c:v>
                </c:pt>
                <c:pt idx="15">
                  <c:v>1.1437238578085753</c:v>
                </c:pt>
                <c:pt idx="16">
                  <c:v>1.2677870513119196</c:v>
                </c:pt>
                <c:pt idx="17">
                  <c:v>1.3666473569001019</c:v>
                </c:pt>
                <c:pt idx="18">
                  <c:v>1.4386453068641012</c:v>
                </c:pt>
                <c:pt idx="19">
                  <c:v>1.4883512170434778</c:v>
                </c:pt>
                <c:pt idx="20">
                  <c:v>1.5217576633062309</c:v>
                </c:pt>
                <c:pt idx="21">
                  <c:v>1.5439947178135864</c:v>
                </c:pt>
                <c:pt idx="22">
                  <c:v>1.5588084242146003</c:v>
                </c:pt>
                <c:pt idx="23">
                  <c:v>1.5687432561884571</c:v>
                </c:pt>
                <c:pt idx="24">
                  <c:v>1.5754721345154179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ct_D!$O$1</c:f>
              <c:strCache>
                <c:ptCount val="1"/>
                <c:pt idx="0">
                  <c:v>Pz_Inner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ct_D!$M$2:$M$26</c:f>
              <c:numCache>
                <c:formatCode>General</c:formatCode>
                <c:ptCount val="25"/>
                <c:pt idx="0">
                  <c:v>-24</c:v>
                </c:pt>
                <c:pt idx="1">
                  <c:v>-23</c:v>
                </c:pt>
                <c:pt idx="2">
                  <c:v>-22</c:v>
                </c:pt>
                <c:pt idx="3">
                  <c:v>-21</c:v>
                </c:pt>
                <c:pt idx="4">
                  <c:v>-20</c:v>
                </c:pt>
                <c:pt idx="5">
                  <c:v>-19</c:v>
                </c:pt>
                <c:pt idx="6">
                  <c:v>-18</c:v>
                </c:pt>
                <c:pt idx="7">
                  <c:v>-17</c:v>
                </c:pt>
                <c:pt idx="8">
                  <c:v>-16</c:v>
                </c:pt>
                <c:pt idx="9">
                  <c:v>-15</c:v>
                </c:pt>
                <c:pt idx="10">
                  <c:v>-14</c:v>
                </c:pt>
                <c:pt idx="11">
                  <c:v>-13</c:v>
                </c:pt>
                <c:pt idx="12">
                  <c:v>-12</c:v>
                </c:pt>
                <c:pt idx="13">
                  <c:v>-11</c:v>
                </c:pt>
                <c:pt idx="14">
                  <c:v>-10</c:v>
                </c:pt>
                <c:pt idx="15">
                  <c:v>-9</c:v>
                </c:pt>
                <c:pt idx="16">
                  <c:v>-8</c:v>
                </c:pt>
                <c:pt idx="17">
                  <c:v>-7</c:v>
                </c:pt>
                <c:pt idx="18">
                  <c:v>-6</c:v>
                </c:pt>
                <c:pt idx="19">
                  <c:v>-5</c:v>
                </c:pt>
                <c:pt idx="20">
                  <c:v>-4</c:v>
                </c:pt>
                <c:pt idx="21">
                  <c:v>-3</c:v>
                </c:pt>
                <c:pt idx="22">
                  <c:v>-2</c:v>
                </c:pt>
                <c:pt idx="23">
                  <c:v>-1</c:v>
                </c:pt>
                <c:pt idx="24">
                  <c:v>0</c:v>
                </c:pt>
              </c:numCache>
            </c:numRef>
          </c:xVal>
          <c:yVal>
            <c:numRef>
              <c:f>ct_D!$O$2:$O$26</c:f>
              <c:numCache>
                <c:formatCode>General</c:formatCode>
                <c:ptCount val="25"/>
                <c:pt idx="0">
                  <c:v>1.6784514234447285</c:v>
                </c:pt>
                <c:pt idx="1">
                  <c:v>1.6760141526962375</c:v>
                </c:pt>
                <c:pt idx="2">
                  <c:v>1.6718223513792165</c:v>
                </c:pt>
                <c:pt idx="3">
                  <c:v>1.6644624300416959</c:v>
                </c:pt>
                <c:pt idx="4">
                  <c:v>1.6512872975452946</c:v>
                </c:pt>
                <c:pt idx="5">
                  <c:v>1.6273471156109676</c:v>
                </c:pt>
                <c:pt idx="6">
                  <c:v>1.5836686916053089</c:v>
                </c:pt>
                <c:pt idx="7">
                  <c:v>1.5055245338573211</c:v>
                </c:pt>
                <c:pt idx="8">
                  <c:v>1.3746621653106683</c:v>
                </c:pt>
                <c:pt idx="9">
                  <c:v>1.1850077125949987</c:v>
                </c:pt>
                <c:pt idx="10">
                  <c:v>0.96967688503133376</c:v>
                </c:pt>
                <c:pt idx="11">
                  <c:v>0.7912445136652404</c:v>
                </c:pt>
                <c:pt idx="12">
                  <c:v>0.68229082142707853</c:v>
                </c:pt>
                <c:pt idx="13">
                  <c:v>0.6296483174615346</c:v>
                </c:pt>
                <c:pt idx="14">
                  <c:v>0.6081097072621986</c:v>
                </c:pt>
                <c:pt idx="15">
                  <c:v>0.60039595756647535</c:v>
                </c:pt>
                <c:pt idx="16">
                  <c:v>0.59797087108764935</c:v>
                </c:pt>
                <c:pt idx="17">
                  <c:v>0.59731354245956514</c:v>
                </c:pt>
                <c:pt idx="18">
                  <c:v>0.59716529494113002</c:v>
                </c:pt>
                <c:pt idx="19">
                  <c:v>0.59713900767888872</c:v>
                </c:pt>
                <c:pt idx="20">
                  <c:v>0.59713565740773245</c:v>
                </c:pt>
                <c:pt idx="21">
                  <c:v>0.59713539349183209</c:v>
                </c:pt>
                <c:pt idx="22">
                  <c:v>0.59713538378856035</c:v>
                </c:pt>
                <c:pt idx="23">
                  <c:v>0.59713538369898</c:v>
                </c:pt>
                <c:pt idx="24">
                  <c:v>0.59713538369895058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85312"/>
        <c:axId val="138885888"/>
      </c:scatterChart>
      <c:valAx>
        <c:axId val="138885312"/>
        <c:scaling>
          <c:orientation val="minMax"/>
          <c:max val="24"/>
          <c:min val="-24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2000">
                <a:solidFill>
                  <a:srgbClr val="000000"/>
                </a:solidFill>
              </a:defRPr>
            </a:pPr>
            <a:endParaRPr lang="en-US"/>
          </a:p>
        </c:txPr>
        <c:crossAx val="138885888"/>
        <c:crosses val="autoZero"/>
        <c:crossBetween val="midCat"/>
        <c:majorUnit val="3"/>
      </c:valAx>
      <c:valAx>
        <c:axId val="138885888"/>
        <c:scaling>
          <c:orientation val="minMax"/>
          <c:max val="3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2000">
                <a:solidFill>
                  <a:srgbClr val="000000"/>
                </a:solidFill>
              </a:defRPr>
            </a:pPr>
            <a:endParaRPr lang="en-US"/>
          </a:p>
        </c:txPr>
        <c:crossAx val="138885312"/>
        <c:crosses val="autoZero"/>
        <c:crossBetween val="midCat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ct_E!$G$1</c:f>
              <c:strCache>
                <c:ptCount val="1"/>
                <c:pt idx="0">
                  <c:v>p_res,bin (DATA)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ct_E!$D$2:$D$32</c:f>
              <c:numCache>
                <c:formatCode>General</c:formatCode>
                <c:ptCount val="31"/>
                <c:pt idx="0">
                  <c:v>-22.5</c:v>
                </c:pt>
                <c:pt idx="1">
                  <c:v>-21</c:v>
                </c:pt>
                <c:pt idx="2">
                  <c:v>-19.5</c:v>
                </c:pt>
                <c:pt idx="3">
                  <c:v>-18</c:v>
                </c:pt>
                <c:pt idx="4">
                  <c:v>-16.5</c:v>
                </c:pt>
                <c:pt idx="5">
                  <c:v>-15</c:v>
                </c:pt>
                <c:pt idx="6">
                  <c:v>-13.5</c:v>
                </c:pt>
                <c:pt idx="7">
                  <c:v>-12</c:v>
                </c:pt>
                <c:pt idx="8">
                  <c:v>-10.5</c:v>
                </c:pt>
                <c:pt idx="9">
                  <c:v>-9</c:v>
                </c:pt>
                <c:pt idx="10">
                  <c:v>-7.5</c:v>
                </c:pt>
                <c:pt idx="11">
                  <c:v>-6</c:v>
                </c:pt>
                <c:pt idx="12">
                  <c:v>-4.5</c:v>
                </c:pt>
                <c:pt idx="13">
                  <c:v>-3</c:v>
                </c:pt>
                <c:pt idx="14">
                  <c:v>-1.5</c:v>
                </c:pt>
                <c:pt idx="15">
                  <c:v>0</c:v>
                </c:pt>
                <c:pt idx="16">
                  <c:v>1.5</c:v>
                </c:pt>
                <c:pt idx="17">
                  <c:v>3</c:v>
                </c:pt>
                <c:pt idx="18">
                  <c:v>4.5</c:v>
                </c:pt>
                <c:pt idx="19">
                  <c:v>6</c:v>
                </c:pt>
                <c:pt idx="20">
                  <c:v>7.5</c:v>
                </c:pt>
                <c:pt idx="21">
                  <c:v>9</c:v>
                </c:pt>
                <c:pt idx="22">
                  <c:v>10.5</c:v>
                </c:pt>
                <c:pt idx="23">
                  <c:v>12</c:v>
                </c:pt>
                <c:pt idx="24">
                  <c:v>13.5</c:v>
                </c:pt>
                <c:pt idx="25">
                  <c:v>15</c:v>
                </c:pt>
                <c:pt idx="26">
                  <c:v>16.5</c:v>
                </c:pt>
                <c:pt idx="27">
                  <c:v>18</c:v>
                </c:pt>
                <c:pt idx="28">
                  <c:v>19.5</c:v>
                </c:pt>
                <c:pt idx="29">
                  <c:v>21</c:v>
                </c:pt>
                <c:pt idx="30">
                  <c:v>22.5</c:v>
                </c:pt>
              </c:numCache>
            </c:numRef>
          </c:xVal>
          <c:yVal>
            <c:numRef>
              <c:f>ct_E!$G$2:$G$32</c:f>
              <c:numCache>
                <c:formatCode>General</c:formatCode>
                <c:ptCount val="31"/>
                <c:pt idx="0">
                  <c:v>2.1775000000000002</c:v>
                </c:pt>
                <c:pt idx="1">
                  <c:v>1.6640999999999999</c:v>
                </c:pt>
                <c:pt idx="2">
                  <c:v>1.2957000000000001</c:v>
                </c:pt>
                <c:pt idx="3">
                  <c:v>1.3174999999999999</c:v>
                </c:pt>
                <c:pt idx="4">
                  <c:v>1.2870999999999999</c:v>
                </c:pt>
                <c:pt idx="5">
                  <c:v>1.0227999999999999</c:v>
                </c:pt>
                <c:pt idx="6">
                  <c:v>0.89559999999999995</c:v>
                </c:pt>
                <c:pt idx="7">
                  <c:v>0.96860000000000002</c:v>
                </c:pt>
                <c:pt idx="8">
                  <c:v>0.8881</c:v>
                </c:pt>
                <c:pt idx="9">
                  <c:v>0.76300000000000001</c:v>
                </c:pt>
                <c:pt idx="10">
                  <c:v>0.76100000000000001</c:v>
                </c:pt>
                <c:pt idx="11">
                  <c:v>0.81979999999999997</c:v>
                </c:pt>
                <c:pt idx="12">
                  <c:v>0.83979999999999999</c:v>
                </c:pt>
                <c:pt idx="13">
                  <c:v>0.67969999999999997</c:v>
                </c:pt>
                <c:pt idx="14">
                  <c:v>0.70179999999999998</c:v>
                </c:pt>
                <c:pt idx="15">
                  <c:v>0.85109999999999997</c:v>
                </c:pt>
                <c:pt idx="16">
                  <c:v>0.59589999999999999</c:v>
                </c:pt>
                <c:pt idx="17">
                  <c:v>0.56059999999999999</c:v>
                </c:pt>
                <c:pt idx="18">
                  <c:v>0.625</c:v>
                </c:pt>
                <c:pt idx="19">
                  <c:v>0.56859999999999999</c:v>
                </c:pt>
                <c:pt idx="20">
                  <c:v>0.68540000000000001</c:v>
                </c:pt>
                <c:pt idx="21">
                  <c:v>0.76229999999999998</c:v>
                </c:pt>
                <c:pt idx="22">
                  <c:v>0.65049999999999997</c:v>
                </c:pt>
                <c:pt idx="23">
                  <c:v>0.82769999999999999</c:v>
                </c:pt>
                <c:pt idx="24">
                  <c:v>1.0887</c:v>
                </c:pt>
                <c:pt idx="25">
                  <c:v>1.0677000000000001</c:v>
                </c:pt>
                <c:pt idx="26">
                  <c:v>1.0595000000000001</c:v>
                </c:pt>
                <c:pt idx="27">
                  <c:v>1.2849999999999999</c:v>
                </c:pt>
                <c:pt idx="28">
                  <c:v>1.5344</c:v>
                </c:pt>
                <c:pt idx="29">
                  <c:v>1.4076</c:v>
                </c:pt>
                <c:pt idx="30">
                  <c:v>1.2202999999999999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ct_E!$N$1</c:f>
              <c:strCache>
                <c:ptCount val="1"/>
                <c:pt idx="0">
                  <c:v>Pz_Outer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ct_E!$M$26:$M$50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ct_E!$N$26:$N$50</c:f>
              <c:numCache>
                <c:formatCode>General</c:formatCode>
                <c:ptCount val="25"/>
                <c:pt idx="0">
                  <c:v>0.64188740044975645</c:v>
                </c:pt>
                <c:pt idx="1">
                  <c:v>0.64188741634518209</c:v>
                </c:pt>
                <c:pt idx="2">
                  <c:v>0.64188903166236455</c:v>
                </c:pt>
                <c:pt idx="3">
                  <c:v>0.64191189096349144</c:v>
                </c:pt>
                <c:pt idx="4">
                  <c:v>0.64205476411888285</c:v>
                </c:pt>
                <c:pt idx="5">
                  <c:v>0.6426301248297146</c:v>
                </c:pt>
                <c:pt idx="6">
                  <c:v>0.64439297656053673</c:v>
                </c:pt>
                <c:pt idx="7">
                  <c:v>0.64886621699227653</c:v>
                </c:pt>
                <c:pt idx="8">
                  <c:v>0.65870924933421804</c:v>
                </c:pt>
                <c:pt idx="9">
                  <c:v>0.67793794646502936</c:v>
                </c:pt>
                <c:pt idx="10">
                  <c:v>0.71156009761013228</c:v>
                </c:pt>
                <c:pt idx="11">
                  <c:v>0.7640163988248847</c:v>
                </c:pt>
                <c:pt idx="12">
                  <c:v>0.83632954047871677</c:v>
                </c:pt>
                <c:pt idx="13">
                  <c:v>0.92359161870190642</c:v>
                </c:pt>
                <c:pt idx="14">
                  <c:v>1.0157006622405829</c:v>
                </c:pt>
                <c:pt idx="15">
                  <c:v>1.1018008455523738</c:v>
                </c:pt>
                <c:pt idx="16">
                  <c:v>1.174734742526194</c:v>
                </c:pt>
                <c:pt idx="17">
                  <c:v>1.2322506343415176</c:v>
                </c:pt>
                <c:pt idx="18">
                  <c:v>1.2755343857483417</c:v>
                </c:pt>
                <c:pt idx="19">
                  <c:v>1.3072304054581088</c:v>
                </c:pt>
                <c:pt idx="20">
                  <c:v>1.3301318952992509</c:v>
                </c:pt>
                <c:pt idx="21">
                  <c:v>1.3466108379837096</c:v>
                </c:pt>
                <c:pt idx="22">
                  <c:v>1.3584893164293992</c:v>
                </c:pt>
                <c:pt idx="23">
                  <c:v>1.3670975765287441</c:v>
                </c:pt>
                <c:pt idx="24">
                  <c:v>1.3733823961011362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ct_E!$O$1</c:f>
              <c:strCache>
                <c:ptCount val="1"/>
                <c:pt idx="0">
                  <c:v>Pz_Inner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ct_E!$M$2:$M$26</c:f>
              <c:numCache>
                <c:formatCode>General</c:formatCode>
                <c:ptCount val="25"/>
                <c:pt idx="0">
                  <c:v>-24</c:v>
                </c:pt>
                <c:pt idx="1">
                  <c:v>-23</c:v>
                </c:pt>
                <c:pt idx="2">
                  <c:v>-22</c:v>
                </c:pt>
                <c:pt idx="3">
                  <c:v>-21</c:v>
                </c:pt>
                <c:pt idx="4">
                  <c:v>-20</c:v>
                </c:pt>
                <c:pt idx="5">
                  <c:v>-19</c:v>
                </c:pt>
                <c:pt idx="6">
                  <c:v>-18</c:v>
                </c:pt>
                <c:pt idx="7">
                  <c:v>-17</c:v>
                </c:pt>
                <c:pt idx="8">
                  <c:v>-16</c:v>
                </c:pt>
                <c:pt idx="9">
                  <c:v>-15</c:v>
                </c:pt>
                <c:pt idx="10">
                  <c:v>-14</c:v>
                </c:pt>
                <c:pt idx="11">
                  <c:v>-13</c:v>
                </c:pt>
                <c:pt idx="12">
                  <c:v>-12</c:v>
                </c:pt>
                <c:pt idx="13">
                  <c:v>-11</c:v>
                </c:pt>
                <c:pt idx="14">
                  <c:v>-10</c:v>
                </c:pt>
                <c:pt idx="15">
                  <c:v>-9</c:v>
                </c:pt>
                <c:pt idx="16">
                  <c:v>-8</c:v>
                </c:pt>
                <c:pt idx="17">
                  <c:v>-7</c:v>
                </c:pt>
                <c:pt idx="18">
                  <c:v>-6</c:v>
                </c:pt>
                <c:pt idx="19">
                  <c:v>-5</c:v>
                </c:pt>
                <c:pt idx="20">
                  <c:v>-4</c:v>
                </c:pt>
                <c:pt idx="21">
                  <c:v>-3</c:v>
                </c:pt>
                <c:pt idx="22">
                  <c:v>-2</c:v>
                </c:pt>
                <c:pt idx="23">
                  <c:v>-1</c:v>
                </c:pt>
                <c:pt idx="24">
                  <c:v>0</c:v>
                </c:pt>
              </c:numCache>
            </c:numRef>
          </c:xVal>
          <c:yVal>
            <c:numRef>
              <c:f>ct_E!$O$2:$O$26</c:f>
              <c:numCache>
                <c:formatCode>General</c:formatCode>
                <c:ptCount val="25"/>
                <c:pt idx="0">
                  <c:v>1.9704682306664385</c:v>
                </c:pt>
                <c:pt idx="1">
                  <c:v>1.8920934861369934</c:v>
                </c:pt>
                <c:pt idx="2">
                  <c:v>1.8032030589448511</c:v>
                </c:pt>
                <c:pt idx="3">
                  <c:v>1.7043907880066609</c:v>
                </c:pt>
                <c:pt idx="4">
                  <c:v>1.5972928230463055</c:v>
                </c:pt>
                <c:pt idx="5">
                  <c:v>1.484734456816901</c:v>
                </c:pt>
                <c:pt idx="6">
                  <c:v>1.3706398452435733</c:v>
                </c:pt>
                <c:pt idx="7">
                  <c:v>1.2596233116547078</c:v>
                </c:pt>
                <c:pt idx="8">
                  <c:v>1.1563007856540861</c:v>
                </c:pt>
                <c:pt idx="9">
                  <c:v>1.0645118496836175</c:v>
                </c:pt>
                <c:pt idx="10">
                  <c:v>0.98672073240239344</c:v>
                </c:pt>
                <c:pt idx="11">
                  <c:v>0.92379202068879218</c:v>
                </c:pt>
                <c:pt idx="12">
                  <c:v>0.8751568814840871</c:v>
                </c:pt>
                <c:pt idx="13">
                  <c:v>0.83922809341698157</c:v>
                </c:pt>
                <c:pt idx="14">
                  <c:v>0.81387716505146745</c:v>
                </c:pt>
                <c:pt idx="15">
                  <c:v>0.79683915374396319</c:v>
                </c:pt>
                <c:pt idx="16">
                  <c:v>0.78599104093167826</c:v>
                </c:pt>
                <c:pt idx="17">
                  <c:v>0.77950743979328052</c:v>
                </c:pt>
                <c:pt idx="18">
                  <c:v>0.77592259059254798</c:v>
                </c:pt>
                <c:pt idx="19">
                  <c:v>0.7741307937035562</c:v>
                </c:pt>
                <c:pt idx="20">
                  <c:v>0.77335120799052659</c:v>
                </c:pt>
                <c:pt idx="21">
                  <c:v>0.77307483697563983</c:v>
                </c:pt>
                <c:pt idx="22">
                  <c:v>0.77300467535722617</c:v>
                </c:pt>
                <c:pt idx="23">
                  <c:v>0.77299523298168882</c:v>
                </c:pt>
                <c:pt idx="24">
                  <c:v>0.772994968532844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67968"/>
        <c:axId val="140068544"/>
      </c:scatterChart>
      <c:valAx>
        <c:axId val="140067968"/>
        <c:scaling>
          <c:orientation val="minMax"/>
          <c:max val="24"/>
          <c:min val="-24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2000">
                <a:solidFill>
                  <a:srgbClr val="000000"/>
                </a:solidFill>
              </a:defRPr>
            </a:pPr>
            <a:endParaRPr lang="en-US"/>
          </a:p>
        </c:txPr>
        <c:crossAx val="140068544"/>
        <c:crosses val="autoZero"/>
        <c:crossBetween val="midCat"/>
        <c:majorUnit val="3"/>
      </c:valAx>
      <c:valAx>
        <c:axId val="140068544"/>
        <c:scaling>
          <c:orientation val="minMax"/>
          <c:max val="3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2000">
                <a:solidFill>
                  <a:srgbClr val="000000"/>
                </a:solidFill>
              </a:defRPr>
            </a:pPr>
            <a:endParaRPr lang="en-US"/>
          </a:p>
        </c:txPr>
        <c:crossAx val="140067968"/>
        <c:crosses val="autoZero"/>
        <c:crossBetween val="midCat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ct_K!$G$1</c:f>
              <c:strCache>
                <c:ptCount val="1"/>
                <c:pt idx="0">
                  <c:v>p_res,bin (DATA)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ct_K!$D$2:$D$32</c:f>
              <c:numCache>
                <c:formatCode>General</c:formatCode>
                <c:ptCount val="31"/>
                <c:pt idx="0">
                  <c:v>-22.5</c:v>
                </c:pt>
                <c:pt idx="1">
                  <c:v>-21</c:v>
                </c:pt>
                <c:pt idx="2">
                  <c:v>-19.5</c:v>
                </c:pt>
                <c:pt idx="3">
                  <c:v>-18</c:v>
                </c:pt>
                <c:pt idx="4">
                  <c:v>-16.5</c:v>
                </c:pt>
                <c:pt idx="5">
                  <c:v>-15</c:v>
                </c:pt>
                <c:pt idx="6">
                  <c:v>-13.5</c:v>
                </c:pt>
                <c:pt idx="7">
                  <c:v>-12</c:v>
                </c:pt>
                <c:pt idx="8">
                  <c:v>-10.5</c:v>
                </c:pt>
                <c:pt idx="9">
                  <c:v>-9</c:v>
                </c:pt>
                <c:pt idx="10">
                  <c:v>-7.5</c:v>
                </c:pt>
                <c:pt idx="11">
                  <c:v>-6</c:v>
                </c:pt>
                <c:pt idx="12">
                  <c:v>-4.5</c:v>
                </c:pt>
                <c:pt idx="13">
                  <c:v>-3</c:v>
                </c:pt>
                <c:pt idx="14">
                  <c:v>-1.5</c:v>
                </c:pt>
                <c:pt idx="15">
                  <c:v>0</c:v>
                </c:pt>
                <c:pt idx="16">
                  <c:v>1.5</c:v>
                </c:pt>
                <c:pt idx="17">
                  <c:v>3</c:v>
                </c:pt>
                <c:pt idx="18">
                  <c:v>4.5</c:v>
                </c:pt>
                <c:pt idx="19">
                  <c:v>6</c:v>
                </c:pt>
                <c:pt idx="20">
                  <c:v>7.5</c:v>
                </c:pt>
                <c:pt idx="21">
                  <c:v>9</c:v>
                </c:pt>
                <c:pt idx="22">
                  <c:v>10.5</c:v>
                </c:pt>
                <c:pt idx="23">
                  <c:v>12</c:v>
                </c:pt>
                <c:pt idx="24">
                  <c:v>13.5</c:v>
                </c:pt>
                <c:pt idx="25">
                  <c:v>15</c:v>
                </c:pt>
                <c:pt idx="26">
                  <c:v>16.5</c:v>
                </c:pt>
                <c:pt idx="27">
                  <c:v>18</c:v>
                </c:pt>
                <c:pt idx="28">
                  <c:v>19.5</c:v>
                </c:pt>
                <c:pt idx="29">
                  <c:v>21</c:v>
                </c:pt>
                <c:pt idx="30">
                  <c:v>22.5</c:v>
                </c:pt>
              </c:numCache>
            </c:numRef>
          </c:xVal>
          <c:yVal>
            <c:numRef>
              <c:f>ct_K!$G$2:$G$32</c:f>
              <c:numCache>
                <c:formatCode>General</c:formatCode>
                <c:ptCount val="31"/>
                <c:pt idx="0">
                  <c:v>1.089</c:v>
                </c:pt>
                <c:pt idx="1">
                  <c:v>1.1158999999999999</c:v>
                </c:pt>
                <c:pt idx="2">
                  <c:v>0.99960000000000004</c:v>
                </c:pt>
                <c:pt idx="3">
                  <c:v>1.2141</c:v>
                </c:pt>
                <c:pt idx="4">
                  <c:v>1.3239000000000001</c:v>
                </c:pt>
                <c:pt idx="5">
                  <c:v>1.3057000000000001</c:v>
                </c:pt>
                <c:pt idx="6">
                  <c:v>1.2491000000000001</c:v>
                </c:pt>
                <c:pt idx="7">
                  <c:v>1.0205</c:v>
                </c:pt>
                <c:pt idx="8">
                  <c:v>0.79800000000000004</c:v>
                </c:pt>
                <c:pt idx="9">
                  <c:v>0.69479999999999997</c:v>
                </c:pt>
                <c:pt idx="10">
                  <c:v>0.66690000000000005</c:v>
                </c:pt>
                <c:pt idx="11">
                  <c:v>0.59809999999999997</c:v>
                </c:pt>
                <c:pt idx="12">
                  <c:v>0.55520000000000003</c:v>
                </c:pt>
                <c:pt idx="13">
                  <c:v>0.50929999999999997</c:v>
                </c:pt>
                <c:pt idx="14">
                  <c:v>0.4143</c:v>
                </c:pt>
                <c:pt idx="15">
                  <c:v>0.40739999999999998</c:v>
                </c:pt>
                <c:pt idx="16">
                  <c:v>0.39169999999999999</c:v>
                </c:pt>
                <c:pt idx="17">
                  <c:v>0.47349999999999998</c:v>
                </c:pt>
                <c:pt idx="18">
                  <c:v>0.5474</c:v>
                </c:pt>
                <c:pt idx="19">
                  <c:v>0.49390000000000001</c:v>
                </c:pt>
                <c:pt idx="20">
                  <c:v>0.54990000000000006</c:v>
                </c:pt>
                <c:pt idx="21">
                  <c:v>0.77910000000000001</c:v>
                </c:pt>
                <c:pt idx="22">
                  <c:v>0.71109999999999995</c:v>
                </c:pt>
                <c:pt idx="23">
                  <c:v>0.57699999999999996</c:v>
                </c:pt>
                <c:pt idx="24">
                  <c:v>0.75180000000000002</c:v>
                </c:pt>
                <c:pt idx="25">
                  <c:v>1.3156000000000001</c:v>
                </c:pt>
                <c:pt idx="26">
                  <c:v>1.5187999999999999</c:v>
                </c:pt>
                <c:pt idx="27">
                  <c:v>1.5107999999999999</c:v>
                </c:pt>
                <c:pt idx="28">
                  <c:v>1.8697999999999999</c:v>
                </c:pt>
                <c:pt idx="29">
                  <c:v>1.8714999999999999</c:v>
                </c:pt>
                <c:pt idx="30">
                  <c:v>1.724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ct_K!$N$1</c:f>
              <c:strCache>
                <c:ptCount val="1"/>
                <c:pt idx="0">
                  <c:v>Pz_Outer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ct_K!$M$26:$M$50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ct_K!$N$26:$N$50</c:f>
              <c:numCache>
                <c:formatCode>General</c:formatCode>
                <c:ptCount val="25"/>
                <c:pt idx="0">
                  <c:v>0.45495857312526389</c:v>
                </c:pt>
                <c:pt idx="1">
                  <c:v>0.45505036686143896</c:v>
                </c:pt>
                <c:pt idx="2">
                  <c:v>0.4558917417635141</c:v>
                </c:pt>
                <c:pt idx="3">
                  <c:v>0.45858132055087364</c:v>
                </c:pt>
                <c:pt idx="4">
                  <c:v>0.46443991631810799</c:v>
                </c:pt>
                <c:pt idx="5">
                  <c:v>0.47494572174003324</c:v>
                </c:pt>
                <c:pt idx="6">
                  <c:v>0.49168928641733534</c:v>
                </c:pt>
                <c:pt idx="7">
                  <c:v>0.51632230744920993</c:v>
                </c:pt>
                <c:pt idx="8">
                  <c:v>0.55048215825108715</c:v>
                </c:pt>
                <c:pt idx="9">
                  <c:v>0.5956763583006337</c:v>
                </c:pt>
                <c:pt idx="10">
                  <c:v>0.65312012776392603</c:v>
                </c:pt>
                <c:pt idx="11">
                  <c:v>0.72353968772740129</c:v>
                </c:pt>
                <c:pt idx="12">
                  <c:v>0.80697978688372329</c:v>
                </c:pt>
                <c:pt idx="13">
                  <c:v>0.90267280620488766</c:v>
                </c:pt>
                <c:pt idx="14">
                  <c:v>1.0090233607198791</c:v>
                </c:pt>
                <c:pt idx="15">
                  <c:v>1.1237316982295107</c:v>
                </c:pt>
                <c:pt idx="16">
                  <c:v>1.244034094197727</c:v>
                </c:pt>
                <c:pt idx="17">
                  <c:v>1.3670018765317189</c:v>
                </c:pt>
                <c:pt idx="18">
                  <c:v>1.4898297225071517</c:v>
                </c:pt>
                <c:pt idx="19">
                  <c:v>1.6100590969857334</c:v>
                </c:pt>
                <c:pt idx="20">
                  <c:v>1.7257115659313573</c:v>
                </c:pt>
                <c:pt idx="21">
                  <c:v>1.8353342893508349</c:v>
                </c:pt>
                <c:pt idx="22">
                  <c:v>1.9379773671127145</c:v>
                </c:pt>
                <c:pt idx="23">
                  <c:v>2.0331285716680538</c:v>
                </c:pt>
                <c:pt idx="24">
                  <c:v>2.1206286751568788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ct_K!$O$1</c:f>
              <c:strCache>
                <c:ptCount val="1"/>
                <c:pt idx="0">
                  <c:v>Pz_Inner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ct_K!$M$2:$M$26</c:f>
              <c:numCache>
                <c:formatCode>General</c:formatCode>
                <c:ptCount val="25"/>
                <c:pt idx="0">
                  <c:v>-24</c:v>
                </c:pt>
                <c:pt idx="1">
                  <c:v>-23</c:v>
                </c:pt>
                <c:pt idx="2">
                  <c:v>-22</c:v>
                </c:pt>
                <c:pt idx="3">
                  <c:v>-21</c:v>
                </c:pt>
                <c:pt idx="4">
                  <c:v>-20</c:v>
                </c:pt>
                <c:pt idx="5">
                  <c:v>-19</c:v>
                </c:pt>
                <c:pt idx="6">
                  <c:v>-18</c:v>
                </c:pt>
                <c:pt idx="7">
                  <c:v>-17</c:v>
                </c:pt>
                <c:pt idx="8">
                  <c:v>-16</c:v>
                </c:pt>
                <c:pt idx="9">
                  <c:v>-15</c:v>
                </c:pt>
                <c:pt idx="10">
                  <c:v>-14</c:v>
                </c:pt>
                <c:pt idx="11">
                  <c:v>-13</c:v>
                </c:pt>
                <c:pt idx="12">
                  <c:v>-12</c:v>
                </c:pt>
                <c:pt idx="13">
                  <c:v>-11</c:v>
                </c:pt>
                <c:pt idx="14">
                  <c:v>-10</c:v>
                </c:pt>
                <c:pt idx="15">
                  <c:v>-9</c:v>
                </c:pt>
                <c:pt idx="16">
                  <c:v>-8</c:v>
                </c:pt>
                <c:pt idx="17">
                  <c:v>-7</c:v>
                </c:pt>
                <c:pt idx="18">
                  <c:v>-6</c:v>
                </c:pt>
                <c:pt idx="19">
                  <c:v>-5</c:v>
                </c:pt>
                <c:pt idx="20">
                  <c:v>-4</c:v>
                </c:pt>
                <c:pt idx="21">
                  <c:v>-3</c:v>
                </c:pt>
                <c:pt idx="22">
                  <c:v>-2</c:v>
                </c:pt>
                <c:pt idx="23">
                  <c:v>-1</c:v>
                </c:pt>
                <c:pt idx="24">
                  <c:v>0</c:v>
                </c:pt>
              </c:numCache>
            </c:numRef>
          </c:xVal>
          <c:yVal>
            <c:numRef>
              <c:f>ct_K!$O$2:$O$26</c:f>
              <c:numCache>
                <c:formatCode>General</c:formatCode>
                <c:ptCount val="25"/>
                <c:pt idx="0">
                  <c:v>1.2168168822559131</c:v>
                </c:pt>
                <c:pt idx="1">
                  <c:v>1.2118992916382316</c:v>
                </c:pt>
                <c:pt idx="2">
                  <c:v>1.206009571532511</c:v>
                </c:pt>
                <c:pt idx="3">
                  <c:v>1.1989131673427327</c:v>
                </c:pt>
                <c:pt idx="4">
                  <c:v>1.1903107284425798</c:v>
                </c:pt>
                <c:pt idx="5">
                  <c:v>1.1798193530310634</c:v>
                </c:pt>
                <c:pt idx="6">
                  <c:v>1.1669492758600726</c:v>
                </c:pt>
                <c:pt idx="7">
                  <c:v>1.1510762443116735</c:v>
                </c:pt>
                <c:pt idx="8">
                  <c:v>1.1314117292683865</c:v>
                </c:pt>
                <c:pt idx="9">
                  <c:v>1.1069772932938768</c:v>
                </c:pt>
                <c:pt idx="10">
                  <c:v>1.0765977284428343</c:v>
                </c:pt>
                <c:pt idx="11">
                  <c:v>1.0389423395719228</c:v>
                </c:pt>
                <c:pt idx="12">
                  <c:v>0.99266603668152309</c:v>
                </c:pt>
                <c:pt idx="13">
                  <c:v>0.93672515024360858</c:v>
                </c:pt>
                <c:pt idx="14">
                  <c:v>0.87093876056531438</c:v>
                </c:pt>
                <c:pt idx="15">
                  <c:v>0.79676916078219118</c:v>
                </c:pt>
                <c:pt idx="16">
                  <c:v>0.71803063367680831</c:v>
                </c:pt>
                <c:pt idx="17">
                  <c:v>0.64088466765198648</c:v>
                </c:pt>
                <c:pt idx="18">
                  <c:v>0.57249963517951108</c:v>
                </c:pt>
                <c:pt idx="19">
                  <c:v>0.51864850518092376</c:v>
                </c:pt>
                <c:pt idx="20">
                  <c:v>0.4816894140702026</c:v>
                </c:pt>
                <c:pt idx="21">
                  <c:v>0.4602409702918957</c:v>
                </c:pt>
                <c:pt idx="22">
                  <c:v>0.45040358459026736</c:v>
                </c:pt>
                <c:pt idx="23">
                  <c:v>0.44743739628731077</c:v>
                </c:pt>
                <c:pt idx="24">
                  <c:v>0.44713826076175617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70848"/>
        <c:axId val="140071424"/>
      </c:scatterChart>
      <c:valAx>
        <c:axId val="140070848"/>
        <c:scaling>
          <c:orientation val="minMax"/>
          <c:max val="24"/>
          <c:min val="-24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2000">
                <a:solidFill>
                  <a:srgbClr val="000000"/>
                </a:solidFill>
              </a:defRPr>
            </a:pPr>
            <a:endParaRPr lang="en-US"/>
          </a:p>
        </c:txPr>
        <c:crossAx val="140071424"/>
        <c:crosses val="autoZero"/>
        <c:crossBetween val="midCat"/>
        <c:majorUnit val="3"/>
      </c:valAx>
      <c:valAx>
        <c:axId val="140071424"/>
        <c:scaling>
          <c:orientation val="minMax"/>
          <c:max val="3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2000">
                <a:solidFill>
                  <a:srgbClr val="000000"/>
                </a:solidFill>
              </a:defRPr>
            </a:pPr>
            <a:endParaRPr lang="en-US"/>
          </a:p>
        </c:txPr>
        <c:crossAx val="140070848"/>
        <c:crosses val="autoZero"/>
        <c:crossBetween val="midCat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ct_N!$G$1</c:f>
              <c:strCache>
                <c:ptCount val="1"/>
                <c:pt idx="0">
                  <c:v>p_res,bin (DATA)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ct_N!$D$2:$D$32</c:f>
              <c:numCache>
                <c:formatCode>General</c:formatCode>
                <c:ptCount val="31"/>
                <c:pt idx="0">
                  <c:v>-22.5</c:v>
                </c:pt>
                <c:pt idx="1">
                  <c:v>-21</c:v>
                </c:pt>
                <c:pt idx="2">
                  <c:v>-19.5</c:v>
                </c:pt>
                <c:pt idx="3">
                  <c:v>-18</c:v>
                </c:pt>
                <c:pt idx="4">
                  <c:v>-16.5</c:v>
                </c:pt>
                <c:pt idx="5">
                  <c:v>-15</c:v>
                </c:pt>
                <c:pt idx="6">
                  <c:v>-13.5</c:v>
                </c:pt>
                <c:pt idx="7">
                  <c:v>-12</c:v>
                </c:pt>
                <c:pt idx="8">
                  <c:v>-10.5</c:v>
                </c:pt>
                <c:pt idx="9">
                  <c:v>-9</c:v>
                </c:pt>
                <c:pt idx="10">
                  <c:v>-7.5</c:v>
                </c:pt>
                <c:pt idx="11">
                  <c:v>-6</c:v>
                </c:pt>
                <c:pt idx="12">
                  <c:v>-4.5</c:v>
                </c:pt>
                <c:pt idx="13">
                  <c:v>-3</c:v>
                </c:pt>
                <c:pt idx="14">
                  <c:v>-1.5</c:v>
                </c:pt>
                <c:pt idx="15">
                  <c:v>0</c:v>
                </c:pt>
                <c:pt idx="16">
                  <c:v>1.5</c:v>
                </c:pt>
                <c:pt idx="17">
                  <c:v>3</c:v>
                </c:pt>
                <c:pt idx="18">
                  <c:v>4.5</c:v>
                </c:pt>
                <c:pt idx="19">
                  <c:v>6</c:v>
                </c:pt>
                <c:pt idx="20">
                  <c:v>7.5</c:v>
                </c:pt>
                <c:pt idx="21">
                  <c:v>9</c:v>
                </c:pt>
                <c:pt idx="22">
                  <c:v>10.5</c:v>
                </c:pt>
                <c:pt idx="23">
                  <c:v>12</c:v>
                </c:pt>
                <c:pt idx="24">
                  <c:v>13.5</c:v>
                </c:pt>
                <c:pt idx="25">
                  <c:v>15</c:v>
                </c:pt>
                <c:pt idx="26">
                  <c:v>16.5</c:v>
                </c:pt>
                <c:pt idx="27">
                  <c:v>18</c:v>
                </c:pt>
                <c:pt idx="28">
                  <c:v>19.5</c:v>
                </c:pt>
                <c:pt idx="29">
                  <c:v>21</c:v>
                </c:pt>
                <c:pt idx="30">
                  <c:v>22.5</c:v>
                </c:pt>
              </c:numCache>
            </c:numRef>
          </c:xVal>
          <c:yVal>
            <c:numRef>
              <c:f>ct_N!$G$2:$G$32</c:f>
              <c:numCache>
                <c:formatCode>General</c:formatCode>
                <c:ptCount val="31"/>
                <c:pt idx="0">
                  <c:v>0.81240000000000001</c:v>
                </c:pt>
                <c:pt idx="1">
                  <c:v>1.1675</c:v>
                </c:pt>
                <c:pt idx="2">
                  <c:v>1.2521</c:v>
                </c:pt>
                <c:pt idx="3">
                  <c:v>1.1601999999999999</c:v>
                </c:pt>
                <c:pt idx="4">
                  <c:v>1.2765</c:v>
                </c:pt>
                <c:pt idx="5">
                  <c:v>1.2650999999999999</c:v>
                </c:pt>
                <c:pt idx="6">
                  <c:v>1.0815999999999999</c:v>
                </c:pt>
                <c:pt idx="7">
                  <c:v>0.87549999999999994</c:v>
                </c:pt>
                <c:pt idx="8">
                  <c:v>0.70850000000000002</c:v>
                </c:pt>
                <c:pt idx="9">
                  <c:v>0.77049999999999996</c:v>
                </c:pt>
                <c:pt idx="10">
                  <c:v>0.74429999999999996</c:v>
                </c:pt>
                <c:pt idx="11">
                  <c:v>0.50780000000000003</c:v>
                </c:pt>
                <c:pt idx="12">
                  <c:v>0.56699999999999995</c:v>
                </c:pt>
                <c:pt idx="13">
                  <c:v>0.64390000000000003</c:v>
                </c:pt>
                <c:pt idx="14">
                  <c:v>0.59670000000000001</c:v>
                </c:pt>
                <c:pt idx="15">
                  <c:v>0.55630000000000002</c:v>
                </c:pt>
                <c:pt idx="16">
                  <c:v>0.55640000000000001</c:v>
                </c:pt>
                <c:pt idx="17">
                  <c:v>0.65229999999999999</c:v>
                </c:pt>
                <c:pt idx="18">
                  <c:v>0.76890000000000003</c:v>
                </c:pt>
                <c:pt idx="19">
                  <c:v>0.79420000000000002</c:v>
                </c:pt>
                <c:pt idx="20">
                  <c:v>0.68510000000000004</c:v>
                </c:pt>
                <c:pt idx="21">
                  <c:v>0.72270000000000001</c:v>
                </c:pt>
                <c:pt idx="22">
                  <c:v>0.90039999999999998</c:v>
                </c:pt>
                <c:pt idx="23">
                  <c:v>1.018</c:v>
                </c:pt>
                <c:pt idx="24">
                  <c:v>1.1757</c:v>
                </c:pt>
                <c:pt idx="25">
                  <c:v>1.2161999999999999</c:v>
                </c:pt>
                <c:pt idx="26">
                  <c:v>1.276</c:v>
                </c:pt>
                <c:pt idx="27">
                  <c:v>1.3029999999999999</c:v>
                </c:pt>
                <c:pt idx="28">
                  <c:v>1.1785000000000001</c:v>
                </c:pt>
                <c:pt idx="29">
                  <c:v>1.2343999999999999</c:v>
                </c:pt>
                <c:pt idx="30">
                  <c:v>1.4451000000000001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ct_N!$N$1</c:f>
              <c:strCache>
                <c:ptCount val="1"/>
                <c:pt idx="0">
                  <c:v>Pz_Outer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ct_N!$M$26:$M$50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ct_N!$N$26:$N$50</c:f>
              <c:numCache>
                <c:formatCode>General</c:formatCode>
                <c:ptCount val="25"/>
                <c:pt idx="0">
                  <c:v>0.56680201650481288</c:v>
                </c:pt>
                <c:pt idx="1">
                  <c:v>0.57699812046098686</c:v>
                </c:pt>
                <c:pt idx="2">
                  <c:v>0.59731854121051697</c:v>
                </c:pt>
                <c:pt idx="3">
                  <c:v>0.62437510459771772</c:v>
                </c:pt>
                <c:pt idx="4">
                  <c:v>0.65658774755986726</c:v>
                </c:pt>
                <c:pt idx="5">
                  <c:v>0.69282187745625201</c:v>
                </c:pt>
                <c:pt idx="6">
                  <c:v>0.73215317600051533</c:v>
                </c:pt>
                <c:pt idx="7">
                  <c:v>0.77379042806516207</c:v>
                </c:pt>
                <c:pt idx="8">
                  <c:v>0.81704547813376061</c:v>
                </c:pt>
                <c:pt idx="9">
                  <c:v>0.86132015626510672</c:v>
                </c:pt>
                <c:pt idx="10">
                  <c:v>0.90609924715923007</c:v>
                </c:pt>
                <c:pt idx="11">
                  <c:v>0.95094509266617777</c:v>
                </c:pt>
                <c:pt idx="12">
                  <c:v>0.99549211304587149</c:v>
                </c:pt>
                <c:pt idx="13">
                  <c:v>1.0394407501749059</c:v>
                </c:pt>
                <c:pt idx="14">
                  <c:v>1.0825508783142073</c:v>
                </c:pt>
                <c:pt idx="15">
                  <c:v>1.1246349344397646</c:v>
                </c:pt>
                <c:pt idx="16">
                  <c:v>1.1655510586725171</c:v>
                </c:pt>
                <c:pt idx="17">
                  <c:v>1.2051964965351858</c:v>
                </c:pt>
                <c:pt idx="18">
                  <c:v>1.2435014479723403</c:v>
                </c:pt>
                <c:pt idx="19">
                  <c:v>1.2804234789874429</c:v>
                </c:pt>
                <c:pt idx="20">
                  <c:v>1.3159425522469281</c:v>
                </c:pt>
                <c:pt idx="21">
                  <c:v>1.3500566871319208</c:v>
                </c:pt>
                <c:pt idx="22">
                  <c:v>1.3827782274387079</c:v>
                </c:pt>
                <c:pt idx="23">
                  <c:v>1.4141306743277364</c:v>
                </c:pt>
                <c:pt idx="24">
                  <c:v>1.444146030685858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ct_N!$O$1</c:f>
              <c:strCache>
                <c:ptCount val="1"/>
                <c:pt idx="0">
                  <c:v>Pz_Inner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ct_N!$M$2:$M$26</c:f>
              <c:numCache>
                <c:formatCode>General</c:formatCode>
                <c:ptCount val="25"/>
                <c:pt idx="0">
                  <c:v>-24</c:v>
                </c:pt>
                <c:pt idx="1">
                  <c:v>-23</c:v>
                </c:pt>
                <c:pt idx="2">
                  <c:v>-22</c:v>
                </c:pt>
                <c:pt idx="3">
                  <c:v>-21</c:v>
                </c:pt>
                <c:pt idx="4">
                  <c:v>-20</c:v>
                </c:pt>
                <c:pt idx="5">
                  <c:v>-19</c:v>
                </c:pt>
                <c:pt idx="6">
                  <c:v>-18</c:v>
                </c:pt>
                <c:pt idx="7">
                  <c:v>-17</c:v>
                </c:pt>
                <c:pt idx="8">
                  <c:v>-16</c:v>
                </c:pt>
                <c:pt idx="9">
                  <c:v>-15</c:v>
                </c:pt>
                <c:pt idx="10">
                  <c:v>-14</c:v>
                </c:pt>
                <c:pt idx="11">
                  <c:v>-13</c:v>
                </c:pt>
                <c:pt idx="12">
                  <c:v>-12</c:v>
                </c:pt>
                <c:pt idx="13">
                  <c:v>-11</c:v>
                </c:pt>
                <c:pt idx="14">
                  <c:v>-10</c:v>
                </c:pt>
                <c:pt idx="15">
                  <c:v>-9</c:v>
                </c:pt>
                <c:pt idx="16">
                  <c:v>-8</c:v>
                </c:pt>
                <c:pt idx="17">
                  <c:v>-7</c:v>
                </c:pt>
                <c:pt idx="18">
                  <c:v>-6</c:v>
                </c:pt>
                <c:pt idx="19">
                  <c:v>-5</c:v>
                </c:pt>
                <c:pt idx="20">
                  <c:v>-4</c:v>
                </c:pt>
                <c:pt idx="21">
                  <c:v>-3</c:v>
                </c:pt>
                <c:pt idx="22">
                  <c:v>-2</c:v>
                </c:pt>
                <c:pt idx="23">
                  <c:v>-1</c:v>
                </c:pt>
                <c:pt idx="24">
                  <c:v>0</c:v>
                </c:pt>
              </c:numCache>
            </c:numRef>
          </c:xVal>
          <c:yVal>
            <c:numRef>
              <c:f>ct_N!$O$2:$O$26</c:f>
              <c:numCache>
                <c:formatCode>General</c:formatCode>
                <c:ptCount val="25"/>
                <c:pt idx="0">
                  <c:v>1.1495434472337234</c:v>
                </c:pt>
                <c:pt idx="1">
                  <c:v>1.1486238399348252</c:v>
                </c:pt>
                <c:pt idx="2">
                  <c:v>1.1473322979657465</c:v>
                </c:pt>
                <c:pt idx="3">
                  <c:v>1.1454927319033827</c:v>
                </c:pt>
                <c:pt idx="4">
                  <c:v>1.1428336828870729</c:v>
                </c:pt>
                <c:pt idx="5">
                  <c:v>1.1389311804912532</c:v>
                </c:pt>
                <c:pt idx="6">
                  <c:v>1.1331160886956588</c:v>
                </c:pt>
                <c:pt idx="7">
                  <c:v>1.1243268972633693</c:v>
                </c:pt>
                <c:pt idx="8">
                  <c:v>1.1108886393503432</c:v>
                </c:pt>
                <c:pt idx="9">
                  <c:v>1.0902258781074261</c:v>
                </c:pt>
                <c:pt idx="10">
                  <c:v>1.0586366494361354</c:v>
                </c:pt>
                <c:pt idx="11">
                  <c:v>1.0115910677064881</c:v>
                </c:pt>
                <c:pt idx="12">
                  <c:v>0.94559106391489656</c:v>
                </c:pt>
                <c:pt idx="13">
                  <c:v>0.86248245157378745</c:v>
                </c:pt>
                <c:pt idx="14">
                  <c:v>0.77364059335397939</c:v>
                </c:pt>
                <c:pt idx="15">
                  <c:v>0.69649271532447554</c:v>
                </c:pt>
                <c:pt idx="16">
                  <c:v>0.64280739857935665</c:v>
                </c:pt>
                <c:pt idx="17">
                  <c:v>0.61242504845900092</c:v>
                </c:pt>
                <c:pt idx="18">
                  <c:v>0.59815104634229177</c:v>
                </c:pt>
                <c:pt idx="19">
                  <c:v>0.59256595829555503</c:v>
                </c:pt>
                <c:pt idx="20">
                  <c:v>0.59079791354766464</c:v>
                </c:pt>
                <c:pt idx="21">
                  <c:v>0.59037884862938128</c:v>
                </c:pt>
                <c:pt idx="22">
                  <c:v>0.59031589852368715</c:v>
                </c:pt>
                <c:pt idx="23">
                  <c:v>0.59031182610670718</c:v>
                </c:pt>
                <c:pt idx="24">
                  <c:v>0.59031179143520551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73728"/>
        <c:axId val="140074304"/>
      </c:scatterChart>
      <c:valAx>
        <c:axId val="140073728"/>
        <c:scaling>
          <c:orientation val="minMax"/>
          <c:max val="24"/>
          <c:min val="-24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2000">
                <a:solidFill>
                  <a:srgbClr val="000000"/>
                </a:solidFill>
              </a:defRPr>
            </a:pPr>
            <a:endParaRPr lang="en-US"/>
          </a:p>
        </c:txPr>
        <c:crossAx val="140074304"/>
        <c:crosses val="autoZero"/>
        <c:crossBetween val="midCat"/>
        <c:majorUnit val="3"/>
      </c:valAx>
      <c:valAx>
        <c:axId val="140074304"/>
        <c:scaling>
          <c:orientation val="minMax"/>
          <c:max val="3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2000">
                <a:solidFill>
                  <a:srgbClr val="000000"/>
                </a:solidFill>
              </a:defRPr>
            </a:pPr>
            <a:endParaRPr lang="en-US"/>
          </a:p>
        </c:txPr>
        <c:crossAx val="140073728"/>
        <c:crosses val="autoZero"/>
        <c:crossBetween val="midCat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ct_P!$G$1</c:f>
              <c:strCache>
                <c:ptCount val="1"/>
                <c:pt idx="0">
                  <c:v>p_res,bin (DATA)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ct_P!$D$2:$D$32</c:f>
              <c:numCache>
                <c:formatCode>General</c:formatCode>
                <c:ptCount val="31"/>
                <c:pt idx="0">
                  <c:v>-22.5</c:v>
                </c:pt>
                <c:pt idx="1">
                  <c:v>-21</c:v>
                </c:pt>
                <c:pt idx="2">
                  <c:v>-19.5</c:v>
                </c:pt>
                <c:pt idx="3">
                  <c:v>-18</c:v>
                </c:pt>
                <c:pt idx="4">
                  <c:v>-16.5</c:v>
                </c:pt>
                <c:pt idx="5">
                  <c:v>-15</c:v>
                </c:pt>
                <c:pt idx="6">
                  <c:v>-13.5</c:v>
                </c:pt>
                <c:pt idx="7">
                  <c:v>-12</c:v>
                </c:pt>
                <c:pt idx="8">
                  <c:v>-10.5</c:v>
                </c:pt>
                <c:pt idx="9">
                  <c:v>-9</c:v>
                </c:pt>
                <c:pt idx="10">
                  <c:v>-7.5</c:v>
                </c:pt>
                <c:pt idx="11">
                  <c:v>-6</c:v>
                </c:pt>
                <c:pt idx="12">
                  <c:v>-4.5</c:v>
                </c:pt>
                <c:pt idx="13">
                  <c:v>-3</c:v>
                </c:pt>
                <c:pt idx="14">
                  <c:v>-1.5</c:v>
                </c:pt>
                <c:pt idx="15">
                  <c:v>0</c:v>
                </c:pt>
                <c:pt idx="16">
                  <c:v>1.5</c:v>
                </c:pt>
                <c:pt idx="17">
                  <c:v>3</c:v>
                </c:pt>
                <c:pt idx="18">
                  <c:v>4.5</c:v>
                </c:pt>
                <c:pt idx="19">
                  <c:v>6</c:v>
                </c:pt>
                <c:pt idx="20">
                  <c:v>7.5</c:v>
                </c:pt>
                <c:pt idx="21">
                  <c:v>9</c:v>
                </c:pt>
                <c:pt idx="22">
                  <c:v>10.5</c:v>
                </c:pt>
                <c:pt idx="23">
                  <c:v>12</c:v>
                </c:pt>
                <c:pt idx="24">
                  <c:v>13.5</c:v>
                </c:pt>
                <c:pt idx="25">
                  <c:v>15</c:v>
                </c:pt>
                <c:pt idx="26">
                  <c:v>16.5</c:v>
                </c:pt>
                <c:pt idx="27">
                  <c:v>18</c:v>
                </c:pt>
                <c:pt idx="28">
                  <c:v>19.5</c:v>
                </c:pt>
                <c:pt idx="29">
                  <c:v>21</c:v>
                </c:pt>
                <c:pt idx="30">
                  <c:v>22.5</c:v>
                </c:pt>
              </c:numCache>
            </c:numRef>
          </c:xVal>
          <c:yVal>
            <c:numRef>
              <c:f>ct_P!$G$2:$G$32</c:f>
              <c:numCache>
                <c:formatCode>General</c:formatCode>
                <c:ptCount val="31"/>
                <c:pt idx="0">
                  <c:v>1.7565999999999999</c:v>
                </c:pt>
                <c:pt idx="1">
                  <c:v>1.6131</c:v>
                </c:pt>
                <c:pt idx="2">
                  <c:v>1.4137</c:v>
                </c:pt>
                <c:pt idx="3">
                  <c:v>1.3852</c:v>
                </c:pt>
                <c:pt idx="4">
                  <c:v>1.3290999999999999</c:v>
                </c:pt>
                <c:pt idx="5">
                  <c:v>1.4113</c:v>
                </c:pt>
                <c:pt idx="6">
                  <c:v>1.3352999999999999</c:v>
                </c:pt>
                <c:pt idx="7">
                  <c:v>1.1992</c:v>
                </c:pt>
                <c:pt idx="8">
                  <c:v>0.92290000000000005</c:v>
                </c:pt>
                <c:pt idx="9">
                  <c:v>0.78090000000000004</c:v>
                </c:pt>
                <c:pt idx="10">
                  <c:v>0.79810000000000003</c:v>
                </c:pt>
                <c:pt idx="11">
                  <c:v>0.98219999999999996</c:v>
                </c:pt>
                <c:pt idx="12">
                  <c:v>1.1302000000000001</c:v>
                </c:pt>
                <c:pt idx="13">
                  <c:v>0.76559999999999995</c:v>
                </c:pt>
                <c:pt idx="14">
                  <c:v>0.41899999999999998</c:v>
                </c:pt>
                <c:pt idx="15">
                  <c:v>0.80820000000000003</c:v>
                </c:pt>
                <c:pt idx="16">
                  <c:v>1.2171000000000001</c:v>
                </c:pt>
                <c:pt idx="17">
                  <c:v>0.85229999999999995</c:v>
                </c:pt>
                <c:pt idx="18">
                  <c:v>0.59530000000000005</c:v>
                </c:pt>
                <c:pt idx="19">
                  <c:v>0.73409999999999997</c:v>
                </c:pt>
                <c:pt idx="20">
                  <c:v>0.88700000000000001</c:v>
                </c:pt>
                <c:pt idx="21">
                  <c:v>0.9577</c:v>
                </c:pt>
                <c:pt idx="22">
                  <c:v>0.90429999999999999</c:v>
                </c:pt>
                <c:pt idx="23">
                  <c:v>0.73960000000000004</c:v>
                </c:pt>
                <c:pt idx="24">
                  <c:v>0.62290000000000001</c:v>
                </c:pt>
                <c:pt idx="25">
                  <c:v>0.80059999999999998</c:v>
                </c:pt>
                <c:pt idx="26">
                  <c:v>0.6956</c:v>
                </c:pt>
                <c:pt idx="27">
                  <c:v>0.69550000000000001</c:v>
                </c:pt>
                <c:pt idx="28">
                  <c:v>1.0522</c:v>
                </c:pt>
                <c:pt idx="29">
                  <c:v>0.96579999999999999</c:v>
                </c:pt>
                <c:pt idx="30">
                  <c:v>1.0446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ct_P!$N$1</c:f>
              <c:strCache>
                <c:ptCount val="1"/>
                <c:pt idx="0">
                  <c:v>Pz_Outer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ct_P!$M$26:$M$50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ct_P!$N$26:$N$50</c:f>
              <c:numCache>
                <c:formatCode>General</c:formatCode>
                <c:ptCount val="25"/>
                <c:pt idx="0">
                  <c:v>0.82500775560144912</c:v>
                </c:pt>
                <c:pt idx="1">
                  <c:v>0.8250077556030303</c:v>
                </c:pt>
                <c:pt idx="2">
                  <c:v>0.82500776101599249</c:v>
                </c:pt>
                <c:pt idx="3">
                  <c:v>0.82500838821457323</c:v>
                </c:pt>
                <c:pt idx="4">
                  <c:v>0.82502626661982115</c:v>
                </c:pt>
                <c:pt idx="5">
                  <c:v>0.82525679317316891</c:v>
                </c:pt>
                <c:pt idx="6">
                  <c:v>0.8268230394645848</c:v>
                </c:pt>
                <c:pt idx="7">
                  <c:v>0.83107438450497528</c:v>
                </c:pt>
                <c:pt idx="8">
                  <c:v>0.83452752254260831</c:v>
                </c:pt>
                <c:pt idx="9">
                  <c:v>0.83573209972885221</c:v>
                </c:pt>
                <c:pt idx="10">
                  <c:v>0.83606458064928912</c:v>
                </c:pt>
                <c:pt idx="11">
                  <c:v>0.83615978336131191</c:v>
                </c:pt>
                <c:pt idx="12">
                  <c:v>0.83618966525879357</c:v>
                </c:pt>
                <c:pt idx="13">
                  <c:v>0.8361999436309373</c:v>
                </c:pt>
                <c:pt idx="14">
                  <c:v>0.83620377832664783</c:v>
                </c:pt>
                <c:pt idx="15">
                  <c:v>0.83620531370106321</c:v>
                </c:pt>
                <c:pt idx="16">
                  <c:v>0.83620596741048414</c:v>
                </c:pt>
                <c:pt idx="17">
                  <c:v>0.83620626111872376</c:v>
                </c:pt>
                <c:pt idx="18">
                  <c:v>0.83620639949008135</c:v>
                </c:pt>
                <c:pt idx="19">
                  <c:v>0.83620646748371086</c:v>
                </c:pt>
                <c:pt idx="20">
                  <c:v>0.83620650217657655</c:v>
                </c:pt>
                <c:pt idx="21">
                  <c:v>0.83620652048762301</c:v>
                </c:pt>
                <c:pt idx="22">
                  <c:v>0.83620653045258797</c:v>
                </c:pt>
                <c:pt idx="23">
                  <c:v>0.83620653602843364</c:v>
                </c:pt>
                <c:pt idx="24">
                  <c:v>0.83620653922851429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ct_P!$O$1</c:f>
              <c:strCache>
                <c:ptCount val="1"/>
                <c:pt idx="0">
                  <c:v>Pz_Inner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ct_P!$M$2:$M$26</c:f>
              <c:numCache>
                <c:formatCode>General</c:formatCode>
                <c:ptCount val="25"/>
                <c:pt idx="0">
                  <c:v>-24</c:v>
                </c:pt>
                <c:pt idx="1">
                  <c:v>-23</c:v>
                </c:pt>
                <c:pt idx="2">
                  <c:v>-22</c:v>
                </c:pt>
                <c:pt idx="3">
                  <c:v>-21</c:v>
                </c:pt>
                <c:pt idx="4">
                  <c:v>-20</c:v>
                </c:pt>
                <c:pt idx="5">
                  <c:v>-19</c:v>
                </c:pt>
                <c:pt idx="6">
                  <c:v>-18</c:v>
                </c:pt>
                <c:pt idx="7">
                  <c:v>-17</c:v>
                </c:pt>
                <c:pt idx="8">
                  <c:v>-16</c:v>
                </c:pt>
                <c:pt idx="9">
                  <c:v>-15</c:v>
                </c:pt>
                <c:pt idx="10">
                  <c:v>-14</c:v>
                </c:pt>
                <c:pt idx="11">
                  <c:v>-13</c:v>
                </c:pt>
                <c:pt idx="12">
                  <c:v>-12</c:v>
                </c:pt>
                <c:pt idx="13">
                  <c:v>-11</c:v>
                </c:pt>
                <c:pt idx="14">
                  <c:v>-10</c:v>
                </c:pt>
                <c:pt idx="15">
                  <c:v>-9</c:v>
                </c:pt>
                <c:pt idx="16">
                  <c:v>-8</c:v>
                </c:pt>
                <c:pt idx="17">
                  <c:v>-7</c:v>
                </c:pt>
                <c:pt idx="18">
                  <c:v>-6</c:v>
                </c:pt>
                <c:pt idx="19">
                  <c:v>-5</c:v>
                </c:pt>
                <c:pt idx="20">
                  <c:v>-4</c:v>
                </c:pt>
                <c:pt idx="21">
                  <c:v>-3</c:v>
                </c:pt>
                <c:pt idx="22">
                  <c:v>-2</c:v>
                </c:pt>
                <c:pt idx="23">
                  <c:v>-1</c:v>
                </c:pt>
                <c:pt idx="24">
                  <c:v>0</c:v>
                </c:pt>
              </c:numCache>
            </c:numRef>
          </c:xVal>
          <c:yVal>
            <c:numRef>
              <c:f>ct_P!$O$2:$O$26</c:f>
              <c:numCache>
                <c:formatCode>General</c:formatCode>
                <c:ptCount val="25"/>
                <c:pt idx="0">
                  <c:v>1.7011976532553565</c:v>
                </c:pt>
                <c:pt idx="1">
                  <c:v>1.6610215250104572</c:v>
                </c:pt>
                <c:pt idx="2">
                  <c:v>1.619461150948236</c:v>
                </c:pt>
                <c:pt idx="3">
                  <c:v>1.5765209836571248</c:v>
                </c:pt>
                <c:pt idx="4">
                  <c:v>1.5322188176832401</c:v>
                </c:pt>
                <c:pt idx="5">
                  <c:v>1.4865884902740758</c:v>
                </c:pt>
                <c:pt idx="6">
                  <c:v>1.4396829184340434</c:v>
                </c:pt>
                <c:pt idx="7">
                  <c:v>1.3915774694869718</c:v>
                </c:pt>
                <c:pt idx="8">
                  <c:v>1.3423736447146992</c:v>
                </c:pt>
                <c:pt idx="9">
                  <c:v>1.292203032826255</c:v>
                </c:pt>
                <c:pt idx="10">
                  <c:v>1.2412314624996656</c:v>
                </c:pt>
                <c:pt idx="11">
                  <c:v>1.1896632530379134</c:v>
                </c:pt>
                <c:pt idx="12">
                  <c:v>1.1377454339150457</c:v>
                </c:pt>
                <c:pt idx="13">
                  <c:v>1.0857717865667968</c:v>
                </c:pt>
                <c:pt idx="14">
                  <c:v>1.0340865709852947</c:v>
                </c:pt>
                <c:pt idx="15">
                  <c:v>0.9830878623907009</c:v>
                </c:pt>
                <c:pt idx="16">
                  <c:v>0.93323058510601564</c:v>
                </c:pt>
                <c:pt idx="17">
                  <c:v>0.88502967212697592</c:v>
                </c:pt>
                <c:pt idx="18">
                  <c:v>0.83906445361956039</c:v>
                </c:pt>
                <c:pt idx="19">
                  <c:v>0.79598672034865736</c:v>
                </c:pt>
                <c:pt idx="20">
                  <c:v>0.75653777229939712</c:v>
                </c:pt>
                <c:pt idx="21">
                  <c:v>0.72158676333903071</c:v>
                </c:pt>
                <c:pt idx="22">
                  <c:v>0.6922238700113188</c:v>
                </c:pt>
                <c:pt idx="23">
                  <c:v>0.67003280451477454</c:v>
                </c:pt>
                <c:pt idx="24">
                  <c:v>0.65865555490567507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63168"/>
        <c:axId val="140863744"/>
      </c:scatterChart>
      <c:valAx>
        <c:axId val="140863168"/>
        <c:scaling>
          <c:orientation val="minMax"/>
          <c:max val="24"/>
          <c:min val="-24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2000">
                <a:solidFill>
                  <a:srgbClr val="000000"/>
                </a:solidFill>
              </a:defRPr>
            </a:pPr>
            <a:endParaRPr lang="en-US"/>
          </a:p>
        </c:txPr>
        <c:crossAx val="140863744"/>
        <c:crosses val="autoZero"/>
        <c:crossBetween val="midCat"/>
        <c:majorUnit val="3"/>
      </c:valAx>
      <c:valAx>
        <c:axId val="140863744"/>
        <c:scaling>
          <c:orientation val="minMax"/>
          <c:max val="3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2000">
                <a:solidFill>
                  <a:srgbClr val="000000"/>
                </a:solidFill>
              </a:defRPr>
            </a:pPr>
            <a:endParaRPr lang="en-US"/>
          </a:p>
        </c:txPr>
        <c:crossAx val="140863168"/>
        <c:crosses val="autoZero"/>
        <c:crossBetween val="midCat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39</xdr:row>
      <xdr:rowOff>38100</xdr:rowOff>
    </xdr:from>
    <xdr:to>
      <xdr:col>10</xdr:col>
      <xdr:colOff>0</xdr:colOff>
      <xdr:row>62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39</xdr:row>
      <xdr:rowOff>38100</xdr:rowOff>
    </xdr:from>
    <xdr:to>
      <xdr:col>10</xdr:col>
      <xdr:colOff>0</xdr:colOff>
      <xdr:row>62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39</xdr:row>
      <xdr:rowOff>38100</xdr:rowOff>
    </xdr:from>
    <xdr:to>
      <xdr:col>10</xdr:col>
      <xdr:colOff>0</xdr:colOff>
      <xdr:row>62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39</xdr:row>
      <xdr:rowOff>38100</xdr:rowOff>
    </xdr:from>
    <xdr:to>
      <xdr:col>10</xdr:col>
      <xdr:colOff>0</xdr:colOff>
      <xdr:row>62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39</xdr:row>
      <xdr:rowOff>38100</xdr:rowOff>
    </xdr:from>
    <xdr:to>
      <xdr:col>10</xdr:col>
      <xdr:colOff>0</xdr:colOff>
      <xdr:row>62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39</xdr:row>
      <xdr:rowOff>38100</xdr:rowOff>
    </xdr:from>
    <xdr:to>
      <xdr:col>10</xdr:col>
      <xdr:colOff>0</xdr:colOff>
      <xdr:row>62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39</xdr:row>
      <xdr:rowOff>38100</xdr:rowOff>
    </xdr:from>
    <xdr:to>
      <xdr:col>10</xdr:col>
      <xdr:colOff>0</xdr:colOff>
      <xdr:row>62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39</xdr:row>
      <xdr:rowOff>38100</xdr:rowOff>
    </xdr:from>
    <xdr:to>
      <xdr:col>10</xdr:col>
      <xdr:colOff>0</xdr:colOff>
      <xdr:row>62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39</xdr:row>
      <xdr:rowOff>38100</xdr:rowOff>
    </xdr:from>
    <xdr:to>
      <xdr:col>10</xdr:col>
      <xdr:colOff>0</xdr:colOff>
      <xdr:row>62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39</xdr:row>
      <xdr:rowOff>38100</xdr:rowOff>
    </xdr:from>
    <xdr:to>
      <xdr:col>10</xdr:col>
      <xdr:colOff>0</xdr:colOff>
      <xdr:row>62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39</xdr:row>
      <xdr:rowOff>38100</xdr:rowOff>
    </xdr:from>
    <xdr:to>
      <xdr:col>10</xdr:col>
      <xdr:colOff>0</xdr:colOff>
      <xdr:row>62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39</xdr:row>
      <xdr:rowOff>38100</xdr:rowOff>
    </xdr:from>
    <xdr:to>
      <xdr:col>10</xdr:col>
      <xdr:colOff>0</xdr:colOff>
      <xdr:row>62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39</xdr:row>
      <xdr:rowOff>38100</xdr:rowOff>
    </xdr:from>
    <xdr:to>
      <xdr:col>10</xdr:col>
      <xdr:colOff>0</xdr:colOff>
      <xdr:row>62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39</xdr:row>
      <xdr:rowOff>38100</xdr:rowOff>
    </xdr:from>
    <xdr:to>
      <xdr:col>10</xdr:col>
      <xdr:colOff>0</xdr:colOff>
      <xdr:row>62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39</xdr:row>
      <xdr:rowOff>38100</xdr:rowOff>
    </xdr:from>
    <xdr:to>
      <xdr:col>10</xdr:col>
      <xdr:colOff>0</xdr:colOff>
      <xdr:row>62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39</xdr:row>
      <xdr:rowOff>38100</xdr:rowOff>
    </xdr:from>
    <xdr:to>
      <xdr:col>10</xdr:col>
      <xdr:colOff>0</xdr:colOff>
      <xdr:row>62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39</xdr:row>
      <xdr:rowOff>38100</xdr:rowOff>
    </xdr:from>
    <xdr:to>
      <xdr:col>10</xdr:col>
      <xdr:colOff>0</xdr:colOff>
      <xdr:row>62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39</xdr:row>
      <xdr:rowOff>38100</xdr:rowOff>
    </xdr:from>
    <xdr:to>
      <xdr:col>10</xdr:col>
      <xdr:colOff>0</xdr:colOff>
      <xdr:row>62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39</xdr:row>
      <xdr:rowOff>38100</xdr:rowOff>
    </xdr:from>
    <xdr:to>
      <xdr:col>10</xdr:col>
      <xdr:colOff>0</xdr:colOff>
      <xdr:row>62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50"/>
  <sheetViews>
    <sheetView topLeftCell="A43" workbookViewId="0"/>
  </sheetViews>
  <sheetFormatPr defaultRowHeight="15" x14ac:dyDescent="0.25"/>
  <cols>
    <col min="1" max="1" width="6" bestFit="1" customWidth="1"/>
    <col min="2" max="2" width="12.7109375" bestFit="1" customWidth="1"/>
    <col min="4" max="4" width="10.42578125" bestFit="1" customWidth="1"/>
    <col min="5" max="6" width="12" bestFit="1" customWidth="1"/>
    <col min="7" max="7" width="16.140625" bestFit="1" customWidth="1"/>
    <col min="8" max="11" width="12" bestFit="1" customWidth="1"/>
    <col min="13" max="13" width="3.7109375" bestFit="1" customWidth="1"/>
    <col min="14" max="15" width="12" bestFit="1" customWidth="1"/>
  </cols>
  <sheetData>
    <row r="1" spans="1:15" ht="18" x14ac:dyDescent="0.35">
      <c r="A1" s="1" t="s">
        <v>0</v>
      </c>
      <c r="B1">
        <v>4425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M1" s="1" t="s">
        <v>21</v>
      </c>
      <c r="N1" s="1" t="s">
        <v>22</v>
      </c>
      <c r="O1" s="1" t="s">
        <v>23</v>
      </c>
    </row>
    <row r="2" spans="1:15" ht="18" x14ac:dyDescent="0.35">
      <c r="A2" s="1" t="s">
        <v>1</v>
      </c>
      <c r="B2">
        <v>330.47334916997511</v>
      </c>
      <c r="D2" s="4">
        <v>-22.5</v>
      </c>
      <c r="E2">
        <v>2.0899645144241998</v>
      </c>
      <c r="F2">
        <v>37.146305786227806</v>
      </c>
      <c r="G2">
        <v>0.75339999999999996</v>
      </c>
      <c r="H2">
        <f>Paq_A_1* EXP(-1*(dE0_A_1/ (1 + ((22.5/zMid_A_1) ^n_A_1)))/(0.00198717*298))</f>
        <v>0.86339128098328422</v>
      </c>
      <c r="I2">
        <f t="shared" ref="I2:I32" si="0">IF(ISERROR((LOG(H2)-LOG(G2))^2),0,(LOG(H2)-LOG(G2))^2)</f>
        <v>3.5025141807730992E-3</v>
      </c>
      <c r="J2">
        <f>Paq_A_2* EXP(-1*(dE0_A_2/ (1 + ((22.5/(-1*zMid_A_2)) ^n_A_2)))/(0.00198717*298))</f>
        <v>0.80418617553394833</v>
      </c>
      <c r="K2">
        <f t="shared" ref="K2:K32" si="1">IF(ISERROR((LOG(J2)-LOG(G2))^2),0,(LOG(J2)-LOG(G2))^2)</f>
        <v>8.026448339458742E-4</v>
      </c>
      <c r="M2">
        <v>-24</v>
      </c>
      <c r="N2">
        <f>Paq_A_1* EXP(-1*(dE0_A_1/ (1 + ((24/zMid_A_1) ^n_A_1)))/(0.00198717*298))</f>
        <v>0.86247190382524985</v>
      </c>
      <c r="O2">
        <f>Paq_A_2* EXP(-1*(dE0_A_2/ (1 + ((24/(-1*zMid_A_2)) ^n_A_2)))/(0.00198717*298))</f>
        <v>0.80053806042710984</v>
      </c>
    </row>
    <row r="3" spans="1:15" x14ac:dyDescent="0.25">
      <c r="D3" s="5">
        <v>-21</v>
      </c>
      <c r="E3">
        <v>2.6035788265116011</v>
      </c>
      <c r="F3">
        <v>53.383067205069459</v>
      </c>
      <c r="G3">
        <v>0.65300000000000002</v>
      </c>
      <c r="H3">
        <f>Paq_A_1* EXP(-1*(dE0_A_1/ (1 + ((21/zMid_A_1) ^n_A_1)))/(0.00198717*298))</f>
        <v>0.86460787881804113</v>
      </c>
      <c r="I3">
        <f t="shared" si="0"/>
        <v>1.4861074661813328E-2</v>
      </c>
      <c r="J3">
        <f>Paq_A_2* EXP(-1*(dE0_A_2/ (1 + ((21/(-1*zMid_A_2)) ^n_A_2)))/(0.00198717*298))</f>
        <v>0.80860971966802053</v>
      </c>
      <c r="K3">
        <f t="shared" si="1"/>
        <v>8.616624702973608E-3</v>
      </c>
      <c r="M3">
        <v>-23</v>
      </c>
      <c r="N3">
        <f>Paq_A_1* EXP(-1*(dE0_A_1/ (1 + ((23/zMid_A_1) ^n_A_1)))/(0.00198717*298))</f>
        <v>0.86305666796431846</v>
      </c>
      <c r="O3">
        <f>Paq_A_2* EXP(-1*(dE0_A_2/ (1 + ((23/(-1*zMid_A_2)) ^n_A_2)))/(0.00198717*298))</f>
        <v>0.80289338162511481</v>
      </c>
    </row>
    <row r="4" spans="1:15" ht="18" x14ac:dyDescent="0.35">
      <c r="A4" s="2" t="s">
        <v>2</v>
      </c>
      <c r="B4">
        <v>0.85848861600586324</v>
      </c>
      <c r="D4" s="6">
        <v>-19.5</v>
      </c>
      <c r="E4">
        <v>6.8331764253533187</v>
      </c>
      <c r="F4">
        <v>104.67349192897072</v>
      </c>
      <c r="G4">
        <v>0.87409999999999999</v>
      </c>
      <c r="H4">
        <f>Paq_A_1* EXP(-1*(dE0_A_1/ (1 + ((19.5/zMid_A_1) ^n_A_1)))/(0.00198717*298))</f>
        <v>0.8662491200373359</v>
      </c>
      <c r="I4">
        <f t="shared" si="0"/>
        <v>1.5353182923664724E-5</v>
      </c>
      <c r="J4">
        <f>Paq_A_2* EXP(-1*(dE0_A_2/ (1 + ((19.5/(-1*zMid_A_2)) ^n_A_2)))/(0.00198717*298))</f>
        <v>0.81403937649857461</v>
      </c>
      <c r="K4">
        <f t="shared" si="1"/>
        <v>9.5578095540677641E-4</v>
      </c>
      <c r="M4">
        <v>-22</v>
      </c>
      <c r="N4">
        <f>Paq_A_1* EXP(-1*(dE0_A_1/ (1 + ((22/zMid_A_1) ^n_A_1)))/(0.00198717*298))</f>
        <v>0.86375857692200075</v>
      </c>
      <c r="O4">
        <f>Paq_A_2* EXP(-1*(dE0_A_2/ (1 + ((22/(-1*zMid_A_2)) ^n_A_2)))/(0.00198717*298))</f>
        <v>0.80556463030273562</v>
      </c>
    </row>
    <row r="5" spans="1:15" ht="18" x14ac:dyDescent="0.35">
      <c r="A5" s="2" t="s">
        <v>3</v>
      </c>
      <c r="B5">
        <v>-0.34123624397323088</v>
      </c>
      <c r="D5" s="7">
        <v>-18</v>
      </c>
      <c r="E5">
        <v>11.472593179079347</v>
      </c>
      <c r="F5">
        <v>171.11905245556184</v>
      </c>
      <c r="G5">
        <v>0.89770000000000005</v>
      </c>
      <c r="H5">
        <f>Paq_A_1* EXP(-1*(dE0_A_1/ (1 + ((18/zMid_A_1) ^n_A_1)))/(0.00198717*298))</f>
        <v>0.86851236043762869</v>
      </c>
      <c r="I5">
        <f t="shared" si="0"/>
        <v>2.0607238696782336E-4</v>
      </c>
      <c r="J5">
        <f>Paq_A_2* EXP(-1*(dE0_A_2/ (1 + ((18/(-1*zMid_A_2)) ^n_A_2)))/(0.00198717*298))</f>
        <v>0.82079583769467701</v>
      </c>
      <c r="K5">
        <f t="shared" si="1"/>
        <v>1.5129050194280815E-3</v>
      </c>
      <c r="M5">
        <v>-21</v>
      </c>
      <c r="N5">
        <f>Paq_A_1* EXP(-1*(dE0_A_1/ (1 + ((21/zMid_A_1) ^n_A_1)))/(0.00198717*298))</f>
        <v>0.86460787881804113</v>
      </c>
      <c r="O5">
        <f>Paq_A_2* EXP(-1*(dE0_A_2/ (1 + ((21/(-1*zMid_A_2)) ^n_A_2)))/(0.00198717*298))</f>
        <v>0.80860971966802053</v>
      </c>
    </row>
    <row r="6" spans="1:15" ht="18" x14ac:dyDescent="0.35">
      <c r="A6" s="2" t="s">
        <v>4</v>
      </c>
      <c r="B6">
        <v>5.4243029627976869</v>
      </c>
      <c r="D6" s="8">
        <v>-16.5</v>
      </c>
      <c r="E6">
        <v>15.216950238182521</v>
      </c>
      <c r="F6">
        <v>239.24085021505925</v>
      </c>
      <c r="G6">
        <v>0.85170000000000001</v>
      </c>
      <c r="H6">
        <f>Paq_A_1* EXP(-1*(dE0_A_1/ (1 + ((16.5/zMid_A_1) ^n_A_1)))/(0.00198717*298))</f>
        <v>0.87171277066500363</v>
      </c>
      <c r="I6">
        <f t="shared" si="0"/>
        <v>1.0174275225703041E-4</v>
      </c>
      <c r="J6">
        <f>Paq_A_2* EXP(-1*(dE0_A_2/ (1 + ((16.5/(-1*zMid_A_2)) ^n_A_2)))/(0.00198717*298))</f>
        <v>0.82933383360977342</v>
      </c>
      <c r="K6">
        <f t="shared" si="1"/>
        <v>1.335703504312915E-4</v>
      </c>
      <c r="M6">
        <v>-20</v>
      </c>
      <c r="N6">
        <f>Paq_A_1* EXP(-1*(dE0_A_1/ (1 + ((20/zMid_A_1) ^n_A_1)))/(0.00198717*298))</f>
        <v>0.86564451970890977</v>
      </c>
      <c r="O6">
        <f>Paq_A_2* EXP(-1*(dE0_A_2/ (1 + ((20/(-1*zMid_A_2)) ^n_A_2)))/(0.00198717*298))</f>
        <v>0.81210015509574374</v>
      </c>
    </row>
    <row r="7" spans="1:15" x14ac:dyDescent="0.25">
      <c r="A7" s="2" t="s">
        <v>5</v>
      </c>
      <c r="B7">
        <v>3.2384351498585344</v>
      </c>
      <c r="D7" s="9">
        <v>-15</v>
      </c>
      <c r="E7">
        <v>20.692612772293487</v>
      </c>
      <c r="F7">
        <v>301.1099037843893</v>
      </c>
      <c r="G7">
        <v>0.92020000000000002</v>
      </c>
      <c r="H7">
        <f>Paq_A_1* EXP(-1*(dE0_A_1/ (1 + ((15/zMid_A_1) ^n_A_1)))/(0.00198717*298))</f>
        <v>0.87637119636817362</v>
      </c>
      <c r="I7">
        <f t="shared" si="0"/>
        <v>4.4919130466714258E-4</v>
      </c>
      <c r="J7">
        <f>Paq_A_2* EXP(-1*(dE0_A_2/ (1 + ((15/(-1*zMid_A_2)) ^n_A_2)))/(0.00198717*298))</f>
        <v>0.84031212559609203</v>
      </c>
      <c r="K7">
        <f t="shared" si="1"/>
        <v>1.5556396943424125E-3</v>
      </c>
      <c r="M7">
        <v>-19</v>
      </c>
      <c r="N7">
        <f>Paq_A_1* EXP(-1*(dE0_A_1/ (1 + ((19/zMid_A_1) ^n_A_1)))/(0.00198717*298))</f>
        <v>0.86692190125657609</v>
      </c>
      <c r="O7">
        <f>Paq_A_2* EXP(-1*(dE0_A_2/ (1 + ((19/(-1*zMid_A_2)) ^n_A_2)))/(0.00198717*298))</f>
        <v>0.81612494392410528</v>
      </c>
    </row>
    <row r="8" spans="1:15" x14ac:dyDescent="0.25">
      <c r="D8" s="10">
        <v>-13.5</v>
      </c>
      <c r="E8">
        <v>22.381035737399969</v>
      </c>
      <c r="F8">
        <v>325.144691447757</v>
      </c>
      <c r="G8">
        <v>0.92169999999999996</v>
      </c>
      <c r="H8">
        <f>Paq_A_1* EXP(-1*(dE0_A_1/ (1 + ((13.5/zMid_A_1) ^n_A_1)))/(0.00198717*298))</f>
        <v>0.88338161889750488</v>
      </c>
      <c r="I8">
        <f t="shared" si="0"/>
        <v>3.4007893162271203E-4</v>
      </c>
      <c r="J8">
        <f>Paq_A_2* EXP(-1*(dE0_A_2/ (1 + ((13.5/(-1*zMid_A_2)) ^n_A_2)))/(0.00198717*298))</f>
        <v>0.85470704993099433</v>
      </c>
      <c r="K8">
        <f t="shared" si="1"/>
        <v>1.0740237324314607E-3</v>
      </c>
      <c r="M8">
        <v>-18</v>
      </c>
      <c r="N8">
        <f>Paq_A_1* EXP(-1*(dE0_A_1/ (1 + ((18/zMid_A_1) ^n_A_1)))/(0.00198717*298))</f>
        <v>0.86851236043762869</v>
      </c>
      <c r="O8">
        <f>Paq_A_2* EXP(-1*(dE0_A_2/ (1 + ((18/(-1*zMid_A_2)) ^n_A_2)))/(0.00198717*298))</f>
        <v>0.82079583769467701</v>
      </c>
    </row>
    <row r="9" spans="1:15" ht="18" x14ac:dyDescent="0.35">
      <c r="A9" s="3" t="s">
        <v>6</v>
      </c>
      <c r="B9">
        <v>0.77359845664270388</v>
      </c>
      <c r="D9" s="11">
        <v>-12</v>
      </c>
      <c r="E9">
        <v>22.79216439609247</v>
      </c>
      <c r="F9">
        <v>335.09215104301728</v>
      </c>
      <c r="G9">
        <v>0.91069999999999995</v>
      </c>
      <c r="H9">
        <f>Paq_A_1* EXP(-1*(dE0_A_1/ (1 + ((12/zMid_A_1) ^n_A_1)))/(0.00198717*298))</f>
        <v>0.89434232298542538</v>
      </c>
      <c r="I9">
        <f t="shared" si="0"/>
        <v>6.1961349906003937E-5</v>
      </c>
      <c r="J9">
        <f>Paq_A_2* EXP(-1*(dE0_A_2/ (1 + ((12/(-1*zMid_A_2)) ^n_A_2)))/(0.00198717*298))</f>
        <v>0.87399972126739622</v>
      </c>
      <c r="K9">
        <f t="shared" si="1"/>
        <v>3.1912401247429379E-4</v>
      </c>
      <c r="M9">
        <v>-17</v>
      </c>
      <c r="N9">
        <f>Paq_A_1* EXP(-1*(dE0_A_1/ (1 + ((17/zMid_A_1) ^n_A_1)))/(0.00198717*298))</f>
        <v>0.87051528672242517</v>
      </c>
      <c r="O9">
        <f>Paq_A_2* EXP(-1*(dE0_A_2/ (1 + ((17/(-1*zMid_A_2)) ^n_A_2)))/(0.00198717*298))</f>
        <v>0.82625442820599448</v>
      </c>
    </row>
    <row r="10" spans="1:15" ht="18" x14ac:dyDescent="0.35">
      <c r="A10" s="3" t="s">
        <v>7</v>
      </c>
      <c r="B10">
        <v>-0.41196983304015194</v>
      </c>
      <c r="D10" s="12">
        <v>-10.5</v>
      </c>
      <c r="E10">
        <v>22.64682757150576</v>
      </c>
      <c r="F10">
        <v>329.71261028763035</v>
      </c>
      <c r="G10">
        <v>0.91969999999999996</v>
      </c>
      <c r="H10">
        <f>Paq_A_1* EXP(-1*(dE0_A_1/ (1 + ((10.5/zMid_A_1) ^n_A_1)))/(0.00198717*298))</f>
        <v>0.91222935180651044</v>
      </c>
      <c r="I10">
        <f t="shared" si="0"/>
        <v>1.2546787916606242E-5</v>
      </c>
      <c r="J10">
        <f>Paq_A_2* EXP(-1*(dE0_A_2/ (1 + ((10.5/(-1*zMid_A_2)) ^n_A_2)))/(0.00198717*298))</f>
        <v>0.90048629277907122</v>
      </c>
      <c r="K10">
        <f t="shared" si="1"/>
        <v>8.4072030220224981E-5</v>
      </c>
      <c r="M10">
        <v>-16</v>
      </c>
      <c r="N10">
        <f>Paq_A_1* EXP(-1*(dE0_A_1/ (1 + ((16/zMid_A_1) ^n_A_1)))/(0.00198717*298))</f>
        <v>0.87306934516599621</v>
      </c>
      <c r="O10">
        <f>Paq_A_2* EXP(-1*(dE0_A_2/ (1 + ((16/(-1*zMid_A_2)) ^n_A_2)))/(0.00198717*298))</f>
        <v>0.83268184450584437</v>
      </c>
    </row>
    <row r="11" spans="1:15" ht="18" x14ac:dyDescent="0.35">
      <c r="A11" s="3" t="s">
        <v>8</v>
      </c>
      <c r="B11">
        <v>-5.617644477546138</v>
      </c>
      <c r="D11" s="13">
        <v>-9</v>
      </c>
      <c r="E11">
        <v>18.023546421716734</v>
      </c>
      <c r="F11">
        <v>284.46716551243782</v>
      </c>
      <c r="G11">
        <v>0.84840000000000004</v>
      </c>
      <c r="H11">
        <f>Paq_A_1* EXP(-1*(dE0_A_1/ (1 + ((9/zMid_A_1) ^n_A_1)))/(0.00198717*298))</f>
        <v>0.94276144528024663</v>
      </c>
      <c r="I11">
        <f t="shared" si="0"/>
        <v>2.0977456776998969E-3</v>
      </c>
      <c r="J11">
        <f>Paq_A_2* EXP(-1*(dE0_A_2/ (1 + ((9/(-1*zMid_A_2)) ^n_A_2)))/(0.00198717*298))</f>
        <v>0.93778047082086158</v>
      </c>
      <c r="K11">
        <f t="shared" si="1"/>
        <v>1.8922956331510912E-3</v>
      </c>
      <c r="M11">
        <v>-15</v>
      </c>
      <c r="N11">
        <f>Paq_A_1* EXP(-1*(dE0_A_1/ (1 + ((15/zMid_A_1) ^n_A_1)))/(0.00198717*298))</f>
        <v>0.87637119636817362</v>
      </c>
      <c r="O11">
        <f>Paq_A_2* EXP(-1*(dE0_A_2/ (1 + ((15/(-1*zMid_A_2)) ^n_A_2)))/(0.00198717*298))</f>
        <v>0.84031212559609203</v>
      </c>
    </row>
    <row r="12" spans="1:15" x14ac:dyDescent="0.25">
      <c r="A12" s="3" t="s">
        <v>9</v>
      </c>
      <c r="B12">
        <v>2.0392700589999571</v>
      </c>
      <c r="D12" s="14">
        <v>-7.5</v>
      </c>
      <c r="E12">
        <v>15.795159417857441</v>
      </c>
      <c r="F12">
        <v>233.0137027127592</v>
      </c>
      <c r="G12">
        <v>0.90769999999999995</v>
      </c>
      <c r="H12">
        <f>Paq_A_1* EXP(-1*(dE0_A_1/ (1 + ((7.5/zMid_A_1) ^n_A_1)))/(0.00198717*298))</f>
        <v>0.99687685411447069</v>
      </c>
      <c r="I12">
        <f t="shared" si="0"/>
        <v>1.6564230123063165E-3</v>
      </c>
      <c r="J12">
        <f>Paq_A_2* EXP(-1*(dE0_A_2/ (1 + ((7.5/(-1*zMid_A_2)) ^n_A_2)))/(0.00198717*298))</f>
        <v>0.99154695430047246</v>
      </c>
      <c r="K12">
        <f t="shared" si="1"/>
        <v>1.4723297594257567E-3</v>
      </c>
      <c r="M12">
        <v>-14</v>
      </c>
      <c r="N12">
        <f>Paq_A_1* EXP(-1*(dE0_A_1/ (1 + ((14/zMid_A_1) ^n_A_1)))/(0.00198717*298))</f>
        <v>0.8807046569101743</v>
      </c>
      <c r="O12">
        <f>Paq_A_2* EXP(-1*(dE0_A_2/ (1 + ((14/(-1*zMid_A_2)) ^n_A_2)))/(0.00198717*298))</f>
        <v>0.84945081431239222</v>
      </c>
    </row>
    <row r="13" spans="1:15" x14ac:dyDescent="0.25">
      <c r="D13" s="15">
        <v>-6</v>
      </c>
      <c r="E13">
        <v>18.894915889351147</v>
      </c>
      <c r="F13">
        <v>229.72199232624777</v>
      </c>
      <c r="G13">
        <v>1.1012999999999999</v>
      </c>
      <c r="H13">
        <f>Paq_A_1* EXP(-1*(dE0_A_1/ (1 + ((6/zMid_A_1) ^n_A_1)))/(0.00198717*298))</f>
        <v>1.0929643977649908</v>
      </c>
      <c r="I13">
        <f t="shared" si="0"/>
        <v>1.088751693809041E-5</v>
      </c>
      <c r="J13">
        <f>Paq_A_2* EXP(-1*(dE0_A_2/ (1 + ((6/(-1*zMid_A_2)) ^n_A_2)))/(0.00198717*298))</f>
        <v>1.0701750033440844</v>
      </c>
      <c r="K13">
        <f t="shared" si="1"/>
        <v>1.5502332999466908E-4</v>
      </c>
      <c r="M13">
        <v>-13</v>
      </c>
      <c r="N13">
        <f>Paq_A_1* EXP(-1*(dE0_A_1/ (1 + ((13/zMid_A_1) ^n_A_1)))/(0.00198717*298))</f>
        <v>0.88648686026512657</v>
      </c>
      <c r="O13">
        <f>Paq_A_2* EXP(-1*(dE0_A_2/ (1 + ((13/(-1*zMid_A_2)) ^n_A_2)))/(0.00198717*298))</f>
        <v>0.86050097675276616</v>
      </c>
    </row>
    <row r="14" spans="1:15" x14ac:dyDescent="0.25">
      <c r="D14" s="16">
        <v>-4.5</v>
      </c>
      <c r="E14">
        <v>21.103004875506837</v>
      </c>
      <c r="F14">
        <v>238.06457551464311</v>
      </c>
      <c r="G14">
        <v>1.1869000000000001</v>
      </c>
      <c r="H14">
        <f>Paq_A_1* EXP(-1*(dE0_A_1/ (1 + ((4.5/zMid_A_1) ^n_A_1)))/(0.00198717*298))</f>
        <v>1.2462354926871528</v>
      </c>
      <c r="I14">
        <f t="shared" si="0"/>
        <v>4.4884599965021836E-4</v>
      </c>
      <c r="J14">
        <f>Paq_A_2* EXP(-1*(dE0_A_2/ (1 + ((4.5/(-1*zMid_A_2)) ^n_A_2)))/(0.00198717*298))</f>
        <v>1.183534741868318</v>
      </c>
      <c r="K14">
        <f t="shared" si="1"/>
        <v>1.52058238374242E-6</v>
      </c>
      <c r="M14">
        <v>-12</v>
      </c>
      <c r="N14">
        <f>Paq_A_1* EXP(-1*(dE0_A_1/ (1 + ((12/zMid_A_1) ^n_A_1)))/(0.00198717*298))</f>
        <v>0.89434232298542538</v>
      </c>
      <c r="O14">
        <f>Paq_A_2* EXP(-1*(dE0_A_2/ (1 + ((12/(-1*zMid_A_2)) ^n_A_2)))/(0.00198717*298))</f>
        <v>0.87399972126739622</v>
      </c>
    </row>
    <row r="15" spans="1:15" x14ac:dyDescent="0.25">
      <c r="D15" s="17">
        <v>-3</v>
      </c>
      <c r="E15">
        <v>21.543975066530383</v>
      </c>
      <c r="F15">
        <v>209.69845561618712</v>
      </c>
      <c r="G15">
        <v>1.3755999999999999</v>
      </c>
      <c r="H15">
        <f>Paq_A_1* EXP(-1*(dE0_A_1/ (1 + ((3/zMid_A_1) ^n_A_1)))/(0.00198717*298))</f>
        <v>1.4188609500789153</v>
      </c>
      <c r="I15">
        <f t="shared" si="0"/>
        <v>1.8083980314321363E-4</v>
      </c>
      <c r="J15">
        <f>Paq_A_2* EXP(-1*(dE0_A_2/ (1 + ((3/(-1*zMid_A_2)) ^n_A_2)))/(0.00198717*298))</f>
        <v>1.3331538223922823</v>
      </c>
      <c r="K15">
        <f t="shared" si="1"/>
        <v>1.8528395599804311E-4</v>
      </c>
      <c r="M15">
        <v>-11</v>
      </c>
      <c r="N15">
        <f>Paq_A_1* EXP(-1*(dE0_A_1/ (1 + ((11/zMid_A_1) ^n_A_1)))/(0.00198717*298))</f>
        <v>0.90522268069375023</v>
      </c>
      <c r="O15">
        <f>Paq_A_2* EXP(-1*(dE0_A_2/ (1 + ((11/(-1*zMid_A_2)) ^n_A_2)))/(0.00198717*298))</f>
        <v>0.89066928305394222</v>
      </c>
    </row>
    <row r="16" spans="1:15" x14ac:dyDescent="0.25">
      <c r="D16" s="18">
        <v>-1.5</v>
      </c>
      <c r="E16">
        <v>21.699177874551623</v>
      </c>
      <c r="F16">
        <v>193.12505159558162</v>
      </c>
      <c r="G16">
        <v>1.5044999999999999</v>
      </c>
      <c r="H16">
        <f>Paq_A_1* EXP(-1*(dE0_A_1/ (1 + ((1.5/zMid_A_1) ^n_A_1)))/(0.00198717*298))</f>
        <v>1.5141092667605927</v>
      </c>
      <c r="I16">
        <f t="shared" si="0"/>
        <v>7.6453653838547833E-6</v>
      </c>
      <c r="J16">
        <f>Paq_A_2* EXP(-1*(dE0_A_2/ (1 + ((1.5/(-1*zMid_A_2)) ^n_A_2)))/(0.00198717*298))</f>
        <v>1.4842011337056815</v>
      </c>
      <c r="K16">
        <f t="shared" si="1"/>
        <v>3.4803310755397393E-5</v>
      </c>
      <c r="M16">
        <v>-10</v>
      </c>
      <c r="N16">
        <f>Paq_A_1* EXP(-1*(dE0_A_1/ (1 + ((10/zMid_A_1) ^n_A_1)))/(0.00198717*298))</f>
        <v>0.92059917566007987</v>
      </c>
      <c r="O16">
        <f>Paq_A_2* EXP(-1*(dE0_A_2/ (1 + ((10/(-1*zMid_A_2)) ^n_A_2)))/(0.00198717*298))</f>
        <v>0.91148739744587925</v>
      </c>
    </row>
    <row r="17" spans="4:15" x14ac:dyDescent="0.25">
      <c r="D17" s="19">
        <v>0</v>
      </c>
      <c r="E17">
        <v>22.296473249881014</v>
      </c>
      <c r="F17">
        <v>197.31337553026106</v>
      </c>
      <c r="G17">
        <v>1.5130999999999999</v>
      </c>
      <c r="H17">
        <f>Paq_A_1* EXP(-1*(dE0_A_1/ (1 + ((0/zMid_A_1) ^n_A_1)))/(0.00198717*298))</f>
        <v>1.5275402439588761</v>
      </c>
      <c r="I17">
        <f t="shared" si="0"/>
        <v>1.7015868723048716E-5</v>
      </c>
      <c r="J17">
        <f>Paq_A_2* EXP(-1*(dE0_A_2/ (1 + ((0/(-1*zMid_A_2)) ^n_A_2)))/(0.00198717*298))</f>
        <v>1.5511321083193923</v>
      </c>
      <c r="K17">
        <f t="shared" si="1"/>
        <v>1.1623333614227223E-4</v>
      </c>
      <c r="M17">
        <v>-9</v>
      </c>
      <c r="N17">
        <f>Paq_A_1* EXP(-1*(dE0_A_1/ (1 + ((9/zMid_A_1) ^n_A_1)))/(0.00198717*298))</f>
        <v>0.94276144528024663</v>
      </c>
      <c r="O17">
        <f>Paq_A_2* EXP(-1*(dE0_A_2/ (1 + ((9/(-1*zMid_A_2)) ^n_A_2)))/(0.00198717*298))</f>
        <v>0.93778047082086158</v>
      </c>
    </row>
    <row r="18" spans="4:15" x14ac:dyDescent="0.25">
      <c r="D18" s="20">
        <v>1.5</v>
      </c>
      <c r="E18">
        <v>24.80589304075011</v>
      </c>
      <c r="F18">
        <v>211.87289009819162</v>
      </c>
      <c r="G18">
        <v>1.5677000000000001</v>
      </c>
      <c r="H18">
        <f>Paq_A_1* EXP(-1*(dE0_A_1/ (1 + ((1.5/zMid_A_1) ^n_A_1)))/(0.00198717*298))</f>
        <v>1.5141092667605927</v>
      </c>
      <c r="I18">
        <f t="shared" si="0"/>
        <v>2.2818340754004492E-4</v>
      </c>
      <c r="J18">
        <f>Paq_A_2* EXP(-1*(dE0_A_2/ (1 + ((1.5/(-1*zMid_A_2)) ^n_A_2)))/(0.00198717*298))</f>
        <v>1.4842011337056815</v>
      </c>
      <c r="K18">
        <f t="shared" si="1"/>
        <v>5.6502237730941091E-4</v>
      </c>
      <c r="M18">
        <v>-8</v>
      </c>
      <c r="N18">
        <f>Paq_A_1* EXP(-1*(dE0_A_1/ (1 + ((8/zMid_A_1) ^n_A_1)))/(0.00198717*298))</f>
        <v>0.97523276624320032</v>
      </c>
      <c r="O18">
        <f>Paq_A_2* EXP(-1*(dE0_A_2/ (1 + ((8/(-1*zMid_A_2)) ^n_A_2)))/(0.00198717*298))</f>
        <v>0.97133550911749256</v>
      </c>
    </row>
    <row r="19" spans="4:15" x14ac:dyDescent="0.25">
      <c r="D19" s="21">
        <v>3</v>
      </c>
      <c r="E19">
        <v>22.126636846776265</v>
      </c>
      <c r="F19">
        <v>212.60048258233337</v>
      </c>
      <c r="G19">
        <v>1.3935999999999999</v>
      </c>
      <c r="H19">
        <f>Paq_A_1* EXP(-1*(dE0_A_1/ (1 + ((3/zMid_A_1) ^n_A_1)))/(0.00198717*298))</f>
        <v>1.4188609500789153</v>
      </c>
      <c r="I19">
        <f t="shared" si="0"/>
        <v>6.0866500206350823E-5</v>
      </c>
      <c r="J19">
        <f>Paq_A_2* EXP(-1*(dE0_A_2/ (1 + ((3/(-1*zMid_A_2)) ^n_A_2)))/(0.00198717*298))</f>
        <v>1.3331538223922823</v>
      </c>
      <c r="K19">
        <f t="shared" si="1"/>
        <v>3.708657668488198E-4</v>
      </c>
      <c r="M19">
        <v>-7</v>
      </c>
      <c r="N19">
        <f>Paq_A_1* EXP(-1*(dE0_A_1/ (1 + ((7/zMid_A_1) ^n_A_1)))/(0.00198717*298))</f>
        <v>1.0231587030265066</v>
      </c>
      <c r="O19">
        <f>Paq_A_2* EXP(-1*(dE0_A_2/ (1 + ((7/(-1*zMid_A_2)) ^n_A_2)))/(0.00198717*298))</f>
        <v>1.0145010357415214</v>
      </c>
    </row>
    <row r="20" spans="4:15" x14ac:dyDescent="0.25">
      <c r="D20" s="22">
        <v>4.5</v>
      </c>
      <c r="E20">
        <v>18.380877336842467</v>
      </c>
      <c r="F20">
        <v>207.82615645104704</v>
      </c>
      <c r="G20">
        <v>1.1841999999999999</v>
      </c>
      <c r="H20">
        <f>Paq_A_1* EXP(-1*(dE0_A_1/ (1 + ((4.5/zMid_A_1) ^n_A_1)))/(0.00198717*298))</f>
        <v>1.2462354926871528</v>
      </c>
      <c r="I20">
        <f t="shared" si="0"/>
        <v>4.917332425849266E-4</v>
      </c>
      <c r="J20">
        <f>Paq_A_2* EXP(-1*(dE0_A_2/ (1 + ((4.5/(-1*zMid_A_2)) ^n_A_2)))/(0.00198717*298))</f>
        <v>1.183534741868318</v>
      </c>
      <c r="K20">
        <f t="shared" si="1"/>
        <v>5.9558386964691515E-8</v>
      </c>
      <c r="M20">
        <v>-6</v>
      </c>
      <c r="N20">
        <f>Paq_A_1* EXP(-1*(dE0_A_1/ (1 + ((6/zMid_A_1) ^n_A_1)))/(0.00198717*298))</f>
        <v>1.0929643977649908</v>
      </c>
      <c r="O20">
        <f>Paq_A_2* EXP(-1*(dE0_A_2/ (1 + ((6/(-1*zMid_A_2)) ^n_A_2)))/(0.00198717*298))</f>
        <v>1.0701750033440844</v>
      </c>
    </row>
    <row r="21" spans="4:15" x14ac:dyDescent="0.25">
      <c r="D21" s="23">
        <v>6</v>
      </c>
      <c r="E21">
        <v>18.427087267705733</v>
      </c>
      <c r="F21">
        <v>218.70380004479716</v>
      </c>
      <c r="G21">
        <v>1.1282000000000001</v>
      </c>
      <c r="H21">
        <f>Paq_A_1* EXP(-1*(dE0_A_1/ (1 + ((6/zMid_A_1) ^n_A_1)))/(0.00198717*298))</f>
        <v>1.0929643977649908</v>
      </c>
      <c r="I21">
        <f t="shared" si="0"/>
        <v>1.8989060267809313E-4</v>
      </c>
      <c r="J21">
        <f>Paq_A_2* EXP(-1*(dE0_A_2/ (1 + ((6/(-1*zMid_A_2)) ^n_A_2)))/(0.00198717*298))</f>
        <v>1.0701750033440844</v>
      </c>
      <c r="K21">
        <f t="shared" si="1"/>
        <v>5.2584418414062693E-4</v>
      </c>
      <c r="M21">
        <v>-5</v>
      </c>
      <c r="N21">
        <f>Paq_A_1* EXP(-1*(dE0_A_1/ (1 + ((5/zMid_A_1) ^n_A_1)))/(0.00198717*298))</f>
        <v>1.1892456129116258</v>
      </c>
      <c r="O21">
        <f>Paq_A_2* EXP(-1*(dE0_A_2/ (1 + ((5/(-1*zMid_A_2)) ^n_A_2)))/(0.00198717*298))</f>
        <v>1.1414035368342521</v>
      </c>
    </row>
    <row r="22" spans="4:15" x14ac:dyDescent="0.25">
      <c r="D22" s="24">
        <v>7.5</v>
      </c>
      <c r="E22">
        <v>17.164729713568541</v>
      </c>
      <c r="F22">
        <v>210.91142211418727</v>
      </c>
      <c r="G22">
        <v>1.0896999999999999</v>
      </c>
      <c r="H22">
        <f>Paq_A_1* EXP(-1*(dE0_A_1/ (1 + ((7.5/zMid_A_1) ^n_A_1)))/(0.00198717*298))</f>
        <v>0.99687685411447069</v>
      </c>
      <c r="I22">
        <f t="shared" si="0"/>
        <v>1.4950161270235243E-3</v>
      </c>
      <c r="J22">
        <f>Paq_A_2* EXP(-1*(dE0_A_2/ (1 + ((7.5/(-1*zMid_A_2)) ^n_A_2)))/(0.00198717*298))</f>
        <v>0.99154695430047246</v>
      </c>
      <c r="K22">
        <f t="shared" si="1"/>
        <v>1.6804806546816169E-3</v>
      </c>
      <c r="M22">
        <v>-4</v>
      </c>
      <c r="N22">
        <f>Paq_A_1* EXP(-1*(dE0_A_1/ (1 + ((4/zMid_A_1) ^n_A_1)))/(0.00198717*298))</f>
        <v>1.3062225464273645</v>
      </c>
      <c r="O22">
        <f>Paq_A_2* EXP(-1*(dE0_A_2/ (1 + ((4/(-1*zMid_A_2)) ^n_A_2)))/(0.00198717*298))</f>
        <v>1.2299831672715595</v>
      </c>
    </row>
    <row r="23" spans="4:15" x14ac:dyDescent="0.25">
      <c r="D23" s="25">
        <v>9</v>
      </c>
      <c r="E23">
        <v>15.433781823460404</v>
      </c>
      <c r="F23">
        <v>213.79921748310556</v>
      </c>
      <c r="G23">
        <v>0.96660000000000001</v>
      </c>
      <c r="H23">
        <f>Paq_A_1* EXP(-1*(dE0_A_1/ (1 + ((9/zMid_A_1) ^n_A_1)))/(0.00198717*298))</f>
        <v>0.94276144528024663</v>
      </c>
      <c r="I23">
        <f t="shared" si="0"/>
        <v>1.1761353233792195E-4</v>
      </c>
      <c r="J23">
        <f>Paq_A_2* EXP(-1*(dE0_A_2/ (1 + ((9/(-1*zMid_A_2)) ^n_A_2)))/(0.00198717*298))</f>
        <v>0.93778047082086158</v>
      </c>
      <c r="K23">
        <f t="shared" si="1"/>
        <v>1.728069687416663E-4</v>
      </c>
      <c r="M23">
        <v>-3</v>
      </c>
      <c r="N23">
        <f>Paq_A_1* EXP(-1*(dE0_A_1/ (1 + ((3/zMid_A_1) ^n_A_1)))/(0.00198717*298))</f>
        <v>1.4188609500789153</v>
      </c>
      <c r="O23">
        <f>Paq_A_2* EXP(-1*(dE0_A_2/ (1 + ((3/(-1*zMid_A_2)) ^n_A_2)))/(0.00198717*298))</f>
        <v>1.3331538223922823</v>
      </c>
    </row>
    <row r="24" spans="4:15" x14ac:dyDescent="0.25">
      <c r="D24" s="26">
        <v>10.5</v>
      </c>
      <c r="E24">
        <v>13.84399828284557</v>
      </c>
      <c r="F24">
        <v>220.63045274559784</v>
      </c>
      <c r="G24">
        <v>0.84019999999999995</v>
      </c>
      <c r="H24">
        <f>Paq_A_1* EXP(-1*(dE0_A_1/ (1 + ((10.5/zMid_A_1) ^n_A_1)))/(0.00198717*298))</f>
        <v>0.91222935180651044</v>
      </c>
      <c r="I24">
        <f t="shared" si="0"/>
        <v>1.2760158993517974E-3</v>
      </c>
      <c r="J24">
        <f>Paq_A_2* EXP(-1*(dE0_A_2/ (1 + ((10.5/(-1*zMid_A_2)) ^n_A_2)))/(0.00198717*298))</f>
        <v>0.90048629277907122</v>
      </c>
      <c r="K24">
        <f t="shared" si="1"/>
        <v>9.0567466672682422E-4</v>
      </c>
      <c r="M24">
        <v>-2</v>
      </c>
      <c r="N24">
        <f>Paq_A_1* EXP(-1*(dE0_A_1/ (1 + ((2/zMid_A_1) ^n_A_1)))/(0.00198717*298))</f>
        <v>1.4944454372058631</v>
      </c>
      <c r="O24">
        <f>Paq_A_2* EXP(-1*(dE0_A_2/ (1 + ((2/(-1*zMid_A_2)) ^n_A_2)))/(0.00198717*298))</f>
        <v>1.4383525560647339</v>
      </c>
    </row>
    <row r="25" spans="4:15" x14ac:dyDescent="0.25">
      <c r="D25" s="27">
        <v>12</v>
      </c>
      <c r="E25">
        <v>13.903276428146917</v>
      </c>
      <c r="F25">
        <v>225.0124392487848</v>
      </c>
      <c r="G25">
        <v>0.82730000000000004</v>
      </c>
      <c r="H25">
        <f>Paq_A_1* EXP(-1*(dE0_A_1/ (1 + ((12/zMid_A_1) ^n_A_1)))/(0.00198717*298))</f>
        <v>0.89434232298542538</v>
      </c>
      <c r="I25">
        <f t="shared" si="0"/>
        <v>1.1451969724366187E-3</v>
      </c>
      <c r="J25">
        <f>Paq_A_2* EXP(-1*(dE0_A_2/ (1 + ((12/(-1*zMid_A_2)) ^n_A_2)))/(0.00198717*298))</f>
        <v>0.87399972126739622</v>
      </c>
      <c r="K25">
        <f t="shared" si="1"/>
        <v>5.6873997262230265E-4</v>
      </c>
      <c r="M25">
        <v>-1</v>
      </c>
      <c r="N25">
        <f>Paq_A_1* EXP(-1*(dE0_A_1/ (1 + ((1/zMid_A_1) ^n_A_1)))/(0.00198717*298))</f>
        <v>1.523874726973121</v>
      </c>
      <c r="O25">
        <f>Paq_A_2* EXP(-1*(dE0_A_2/ (1 + ((1/(-1*zMid_A_2)) ^n_A_2)))/(0.00198717*298))</f>
        <v>1.5204059169911375</v>
      </c>
    </row>
    <row r="26" spans="4:15" x14ac:dyDescent="0.25">
      <c r="D26" s="28">
        <v>13.5</v>
      </c>
      <c r="E26">
        <v>14.176184710265353</v>
      </c>
      <c r="F26">
        <v>218.45557134306293</v>
      </c>
      <c r="G26">
        <v>0.86890000000000001</v>
      </c>
      <c r="H26">
        <f>Paq_A_1* EXP(-1*(dE0_A_1/ (1 + ((13.5/zMid_A_1) ^n_A_1)))/(0.00198717*298))</f>
        <v>0.88338161889750488</v>
      </c>
      <c r="I26">
        <f t="shared" si="0"/>
        <v>5.1531740076640662E-5</v>
      </c>
      <c r="J26">
        <f>Paq_A_2* EXP(-1*(dE0_A_2/ (1 + ((13.5/(-1*zMid_A_2)) ^n_A_2)))/(0.00198717*298))</f>
        <v>0.85470704993099433</v>
      </c>
      <c r="K26">
        <f t="shared" si="1"/>
        <v>5.1158414062481886E-5</v>
      </c>
      <c r="M26">
        <v>0</v>
      </c>
      <c r="N26">
        <f>Paq_A_1* EXP(-1*(dE0_A_1/ (1 + ((0/zMid_A_1) ^n_A_1)))/(0.00198717*298))</f>
        <v>1.5275402439588761</v>
      </c>
      <c r="O26">
        <f>Paq_A_2* EXP(-1*(dE0_A_2/ (1 + ((0/(-1*zMid_A_2)) ^n_A_2)))/(0.00198717*298))</f>
        <v>1.5511321083193923</v>
      </c>
    </row>
    <row r="27" spans="4:15" x14ac:dyDescent="0.25">
      <c r="D27" s="29">
        <v>15</v>
      </c>
      <c r="E27">
        <v>13.973621963958365</v>
      </c>
      <c r="F27">
        <v>224.03276726794545</v>
      </c>
      <c r="G27">
        <v>0.83520000000000005</v>
      </c>
      <c r="H27">
        <f>Paq_A_1* EXP(-1*(dE0_A_1/ (1 + ((15/zMid_A_1) ^n_A_1)))/(0.00198717*298))</f>
        <v>0.87637119636817362</v>
      </c>
      <c r="I27">
        <f t="shared" si="0"/>
        <v>4.3671008441038329E-4</v>
      </c>
      <c r="J27">
        <f>Paq_A_2* EXP(-1*(dE0_A_2/ (1 + ((15/(-1*zMid_A_2)) ^n_A_2)))/(0.00198717*298))</f>
        <v>0.84031212559609203</v>
      </c>
      <c r="K27">
        <f t="shared" si="1"/>
        <v>7.0232671635007749E-6</v>
      </c>
      <c r="M27">
        <v>1</v>
      </c>
      <c r="N27">
        <f>Paq_A_1* EXP(-1*(dE0_A_1/ (1 + ((1/zMid_A_1) ^n_A_1)))/(0.00198717*298))</f>
        <v>1.523874726973121</v>
      </c>
      <c r="O27">
        <f>Paq_A_2* EXP(-1*(dE0_A_2/ (1 + ((1/(-1*zMid_A_2)) ^n_A_2)))/(0.00198717*298))</f>
        <v>1.5204059169911375</v>
      </c>
    </row>
    <row r="28" spans="4:15" x14ac:dyDescent="0.25">
      <c r="D28" s="30">
        <v>16.5</v>
      </c>
      <c r="E28">
        <v>14.269862712077222</v>
      </c>
      <c r="F28">
        <v>233.75708221892813</v>
      </c>
      <c r="G28">
        <v>0.81740000000000002</v>
      </c>
      <c r="H28">
        <f>Paq_A_1* EXP(-1*(dE0_A_1/ (1 + ((16.5/zMid_A_1) ^n_A_1)))/(0.00198717*298))</f>
        <v>0.87171277066500363</v>
      </c>
      <c r="I28">
        <f t="shared" si="0"/>
        <v>7.8057515448970102E-4</v>
      </c>
      <c r="J28">
        <f>Paq_A_2* EXP(-1*(dE0_A_2/ (1 + ((16.5/(-1*zMid_A_2)) ^n_A_2)))/(0.00198717*298))</f>
        <v>0.82933383360977342</v>
      </c>
      <c r="K28">
        <f t="shared" si="1"/>
        <v>3.9623876325171184E-5</v>
      </c>
      <c r="M28">
        <v>2</v>
      </c>
      <c r="N28">
        <f>Paq_A_1* EXP(-1*(dE0_A_1/ (1 + ((2/zMid_A_1) ^n_A_1)))/(0.00198717*298))</f>
        <v>1.4944454372058631</v>
      </c>
      <c r="O28">
        <f>Paq_A_2* EXP(-1*(dE0_A_2/ (1 + ((2/(-1*zMid_A_2)) ^n_A_2)))/(0.00198717*298))</f>
        <v>1.4383525560647339</v>
      </c>
    </row>
    <row r="29" spans="4:15" x14ac:dyDescent="0.25">
      <c r="D29" s="31">
        <v>18</v>
      </c>
      <c r="E29">
        <v>13.929358265481683</v>
      </c>
      <c r="F29">
        <v>221.14244125881021</v>
      </c>
      <c r="G29">
        <v>0.84340000000000004</v>
      </c>
      <c r="H29">
        <f>Paq_A_1* EXP(-1*(dE0_A_1/ (1 + ((18/zMid_A_1) ^n_A_1)))/(0.00198717*298))</f>
        <v>0.86851236043762869</v>
      </c>
      <c r="I29">
        <f t="shared" si="0"/>
        <v>1.6236893391527812E-4</v>
      </c>
      <c r="J29">
        <f>Paq_A_2* EXP(-1*(dE0_A_2/ (1 + ((18/(-1*zMid_A_2)) ^n_A_2)))/(0.00198717*298))</f>
        <v>0.82079583769467701</v>
      </c>
      <c r="K29">
        <f t="shared" si="1"/>
        <v>1.3920345164135495E-4</v>
      </c>
      <c r="M29">
        <v>3</v>
      </c>
      <c r="N29">
        <f>Paq_A_1* EXP(-1*(dE0_A_1/ (1 + ((3/zMid_A_1) ^n_A_1)))/(0.00198717*298))</f>
        <v>1.4188609500789153</v>
      </c>
      <c r="O29">
        <f>Paq_A_2* EXP(-1*(dE0_A_2/ (1 + ((3/(-1*zMid_A_2)) ^n_A_2)))/(0.00198717*298))</f>
        <v>1.3331538223922823</v>
      </c>
    </row>
    <row r="30" spans="4:15" x14ac:dyDescent="0.25">
      <c r="D30" s="32">
        <v>19.5</v>
      </c>
      <c r="E30">
        <v>13.522848720235388</v>
      </c>
      <c r="F30">
        <v>203.08284087537984</v>
      </c>
      <c r="G30">
        <v>0.89159999999999995</v>
      </c>
      <c r="H30">
        <f>Paq_A_1* EXP(-1*(dE0_A_1/ (1 + ((19.5/zMid_A_1) ^n_A_1)))/(0.00198717*298))</f>
        <v>0.8662491200373359</v>
      </c>
      <c r="I30">
        <f t="shared" si="0"/>
        <v>1.5693207669271024E-4</v>
      </c>
      <c r="J30">
        <f>Paq_A_2* EXP(-1*(dE0_A_2/ (1 + ((19.5/(-1*zMid_A_2)) ^n_A_2)))/(0.00198717*298))</f>
        <v>0.81403937649857461</v>
      </c>
      <c r="K30">
        <f t="shared" si="1"/>
        <v>1.5621977072310903E-3</v>
      </c>
      <c r="M30">
        <v>4</v>
      </c>
      <c r="N30">
        <f>Paq_A_1* EXP(-1*(dE0_A_1/ (1 + ((4/zMid_A_1) ^n_A_1)))/(0.00198717*298))</f>
        <v>1.3062225464273645</v>
      </c>
      <c r="O30">
        <f>Paq_A_2* EXP(-1*(dE0_A_2/ (1 + ((4/(-1*zMid_A_2)) ^n_A_2)))/(0.00198717*298))</f>
        <v>1.2299831672715595</v>
      </c>
    </row>
    <row r="31" spans="4:15" x14ac:dyDescent="0.25">
      <c r="D31" s="33">
        <v>21</v>
      </c>
      <c r="E31">
        <v>14.292371252337292</v>
      </c>
      <c r="F31">
        <v>202.23586360890673</v>
      </c>
      <c r="G31">
        <v>0.94630000000000003</v>
      </c>
      <c r="H31">
        <f>Paq_A_1* EXP(-1*(dE0_A_1/ (1 + ((21/zMid_A_1) ^n_A_1)))/(0.00198717*298))</f>
        <v>0.86460787881804113</v>
      </c>
      <c r="I31">
        <f t="shared" si="0"/>
        <v>1.5373967572194765E-3</v>
      </c>
      <c r="J31">
        <f>Paq_A_2* EXP(-1*(dE0_A_2/ (1 + ((21/(-1*zMid_A_2)) ^n_A_2)))/(0.00198717*298))</f>
        <v>0.80860971966802053</v>
      </c>
      <c r="K31">
        <f t="shared" si="1"/>
        <v>4.6635080854873093E-3</v>
      </c>
      <c r="M31">
        <v>5</v>
      </c>
      <c r="N31">
        <f>Paq_A_1* EXP(-1*(dE0_A_1/ (1 + ((5/zMid_A_1) ^n_A_1)))/(0.00198717*298))</f>
        <v>1.1892456129116258</v>
      </c>
      <c r="O31">
        <f>Paq_A_2* EXP(-1*(dE0_A_2/ (1 + ((5/(-1*zMid_A_2)) ^n_A_2)))/(0.00198717*298))</f>
        <v>1.1414035368342521</v>
      </c>
    </row>
    <row r="32" spans="4:15" x14ac:dyDescent="0.25">
      <c r="D32" s="34">
        <v>22.5</v>
      </c>
      <c r="E32">
        <v>13.191350503184996</v>
      </c>
      <c r="F32">
        <v>185.59265872251723</v>
      </c>
      <c r="G32">
        <v>0.95169999999999999</v>
      </c>
      <c r="H32">
        <f>Paq_A_1* EXP(-1*(dE0_A_1/ (1 + ((22.5/zMid_A_1) ^n_A_1)))/(0.00198717*298))</f>
        <v>0.86339128098328422</v>
      </c>
      <c r="I32">
        <f t="shared" si="0"/>
        <v>1.7886480046786497E-3</v>
      </c>
      <c r="J32">
        <f>Paq_A_2* EXP(-1*(dE0_A_2/ (1 + ((22.5/(-1*zMid_A_2)) ^n_A_2)))/(0.00198717*298))</f>
        <v>0.80418617553394833</v>
      </c>
      <c r="K32">
        <f t="shared" si="1"/>
        <v>5.3499666588152318E-3</v>
      </c>
      <c r="M32">
        <v>6</v>
      </c>
      <c r="N32">
        <f>Paq_A_1* EXP(-1*(dE0_A_1/ (1 + ((6/zMid_A_1) ^n_A_1)))/(0.00198717*298))</f>
        <v>1.0929643977649908</v>
      </c>
      <c r="O32">
        <f>Paq_A_2* EXP(-1*(dE0_A_2/ (1 + ((6/(-1*zMid_A_2)) ^n_A_2)))/(0.00198717*298))</f>
        <v>1.0701750033440844</v>
      </c>
    </row>
    <row r="33" spans="7:15" x14ac:dyDescent="0.25">
      <c r="M33">
        <v>7</v>
      </c>
      <c r="N33">
        <f>Paq_A_1* EXP(-1*(dE0_A_1/ (1 + ((7/zMid_A_1) ^n_A_1)))/(0.00198717*298))</f>
        <v>1.0231587030265066</v>
      </c>
      <c r="O33">
        <f>Paq_A_2* EXP(-1*(dE0_A_2/ (1 + ((7/(-1*zMid_A_2)) ^n_A_2)))/(0.00198717*298))</f>
        <v>1.0145010357415214</v>
      </c>
    </row>
    <row r="34" spans="7:15" x14ac:dyDescent="0.25">
      <c r="G34" t="s">
        <v>18</v>
      </c>
      <c r="H34" s="1" t="s">
        <v>20</v>
      </c>
      <c r="I34">
        <f>SQRT(AVERAGE(I$17:I$32))</f>
        <v>2.4919488990001841E-2</v>
      </c>
      <c r="M34">
        <v>8</v>
      </c>
      <c r="N34">
        <f>Paq_A_1* EXP(-1*(dE0_A_1/ (1 + ((8/zMid_A_1) ^n_A_1)))/(0.00198717*298))</f>
        <v>0.97523276624320032</v>
      </c>
      <c r="O34">
        <f>Paq_A_2* EXP(-1*(dE0_A_2/ (1 + ((8/(-1*zMid_A_2)) ^n_A_2)))/(0.00198717*298))</f>
        <v>0.97133550911749256</v>
      </c>
    </row>
    <row r="35" spans="7:15" x14ac:dyDescent="0.25">
      <c r="G35" t="s">
        <v>19</v>
      </c>
      <c r="J35" s="1" t="s">
        <v>20</v>
      </c>
      <c r="K35">
        <f>SQRT(AVERAGE(K$2:K$17))</f>
        <v>3.4380113473766516E-2</v>
      </c>
      <c r="M35">
        <v>9</v>
      </c>
      <c r="N35">
        <f>Paq_A_1* EXP(-1*(dE0_A_1/ (1 + ((9/zMid_A_1) ^n_A_1)))/(0.00198717*298))</f>
        <v>0.94276144528024663</v>
      </c>
      <c r="O35">
        <f>Paq_A_2* EXP(-1*(dE0_A_2/ (1 + ((9/(-1*zMid_A_2)) ^n_A_2)))/(0.00198717*298))</f>
        <v>0.93778047082086158</v>
      </c>
    </row>
    <row r="36" spans="7:15" x14ac:dyDescent="0.25">
      <c r="M36">
        <v>10</v>
      </c>
      <c r="N36">
        <f>Paq_A_1* EXP(-1*(dE0_A_1/ (1 + ((10/zMid_A_1) ^n_A_1)))/(0.00198717*298))</f>
        <v>0.92059917566007987</v>
      </c>
      <c r="O36">
        <f>Paq_A_2* EXP(-1*(dE0_A_2/ (1 + ((10/(-1*zMid_A_2)) ^n_A_2)))/(0.00198717*298))</f>
        <v>0.91148739744587925</v>
      </c>
    </row>
    <row r="37" spans="7:15" x14ac:dyDescent="0.25">
      <c r="M37">
        <v>11</v>
      </c>
      <c r="N37">
        <f>Paq_A_1* EXP(-1*(dE0_A_1/ (1 + ((11/zMid_A_1) ^n_A_1)))/(0.00198717*298))</f>
        <v>0.90522268069375023</v>
      </c>
      <c r="O37">
        <f>Paq_A_2* EXP(-1*(dE0_A_2/ (1 + ((11/(-1*zMid_A_2)) ^n_A_2)))/(0.00198717*298))</f>
        <v>0.89066928305394222</v>
      </c>
    </row>
    <row r="38" spans="7:15" x14ac:dyDescent="0.25">
      <c r="M38">
        <v>12</v>
      </c>
      <c r="N38">
        <f>Paq_A_1* EXP(-1*(dE0_A_1/ (1 + ((12/zMid_A_1) ^n_A_1)))/(0.00198717*298))</f>
        <v>0.89434232298542538</v>
      </c>
      <c r="O38">
        <f>Paq_A_2* EXP(-1*(dE0_A_2/ (1 + ((12/(-1*zMid_A_2)) ^n_A_2)))/(0.00198717*298))</f>
        <v>0.87399972126739622</v>
      </c>
    </row>
    <row r="39" spans="7:15" x14ac:dyDescent="0.25">
      <c r="M39">
        <v>13</v>
      </c>
      <c r="N39">
        <f>Paq_A_1* EXP(-1*(dE0_A_1/ (1 + ((13/zMid_A_1) ^n_A_1)))/(0.00198717*298))</f>
        <v>0.88648686026512657</v>
      </c>
      <c r="O39">
        <f>Paq_A_2* EXP(-1*(dE0_A_2/ (1 + ((13/(-1*zMid_A_2)) ^n_A_2)))/(0.00198717*298))</f>
        <v>0.86050097675276616</v>
      </c>
    </row>
    <row r="40" spans="7:15" x14ac:dyDescent="0.25">
      <c r="M40">
        <v>14</v>
      </c>
      <c r="N40">
        <f>Paq_A_1* EXP(-1*(dE0_A_1/ (1 + ((14/zMid_A_1) ^n_A_1)))/(0.00198717*298))</f>
        <v>0.8807046569101743</v>
      </c>
      <c r="O40">
        <f>Paq_A_2* EXP(-1*(dE0_A_2/ (1 + ((14/(-1*zMid_A_2)) ^n_A_2)))/(0.00198717*298))</f>
        <v>0.84945081431239222</v>
      </c>
    </row>
    <row r="41" spans="7:15" x14ac:dyDescent="0.25">
      <c r="M41">
        <v>15</v>
      </c>
      <c r="N41">
        <f>Paq_A_1* EXP(-1*(dE0_A_1/ (1 + ((15/zMid_A_1) ^n_A_1)))/(0.00198717*298))</f>
        <v>0.87637119636817362</v>
      </c>
      <c r="O41">
        <f>Paq_A_2* EXP(-1*(dE0_A_2/ (1 + ((15/(-1*zMid_A_2)) ^n_A_2)))/(0.00198717*298))</f>
        <v>0.84031212559609203</v>
      </c>
    </row>
    <row r="42" spans="7:15" x14ac:dyDescent="0.25">
      <c r="M42">
        <v>16</v>
      </c>
      <c r="N42">
        <f>Paq_A_1* EXP(-1*(dE0_A_1/ (1 + ((16/zMid_A_1) ^n_A_1)))/(0.00198717*298))</f>
        <v>0.87306934516599621</v>
      </c>
      <c r="O42">
        <f>Paq_A_2* EXP(-1*(dE0_A_2/ (1 + ((16/(-1*zMid_A_2)) ^n_A_2)))/(0.00198717*298))</f>
        <v>0.83268184450584437</v>
      </c>
    </row>
    <row r="43" spans="7:15" x14ac:dyDescent="0.25">
      <c r="M43">
        <v>17</v>
      </c>
      <c r="N43">
        <f>Paq_A_1* EXP(-1*(dE0_A_1/ (1 + ((17/zMid_A_1) ^n_A_1)))/(0.00198717*298))</f>
        <v>0.87051528672242517</v>
      </c>
      <c r="O43">
        <f>Paq_A_2* EXP(-1*(dE0_A_2/ (1 + ((17/(-1*zMid_A_2)) ^n_A_2)))/(0.00198717*298))</f>
        <v>0.82625442820599448</v>
      </c>
    </row>
    <row r="44" spans="7:15" x14ac:dyDescent="0.25">
      <c r="M44">
        <v>18</v>
      </c>
      <c r="N44">
        <f>Paq_A_1* EXP(-1*(dE0_A_1/ (1 + ((18/zMid_A_1) ^n_A_1)))/(0.00198717*298))</f>
        <v>0.86851236043762869</v>
      </c>
      <c r="O44">
        <f>Paq_A_2* EXP(-1*(dE0_A_2/ (1 + ((18/(-1*zMid_A_2)) ^n_A_2)))/(0.00198717*298))</f>
        <v>0.82079583769467701</v>
      </c>
    </row>
    <row r="45" spans="7:15" x14ac:dyDescent="0.25">
      <c r="M45">
        <v>19</v>
      </c>
      <c r="N45">
        <f>Paq_A_1* EXP(-1*(dE0_A_1/ (1 + ((19/zMid_A_1) ^n_A_1)))/(0.00198717*298))</f>
        <v>0.86692190125657609</v>
      </c>
      <c r="O45">
        <f>Paq_A_2* EXP(-1*(dE0_A_2/ (1 + ((19/(-1*zMid_A_2)) ^n_A_2)))/(0.00198717*298))</f>
        <v>0.81612494392410528</v>
      </c>
    </row>
    <row r="46" spans="7:15" x14ac:dyDescent="0.25">
      <c r="M46">
        <v>20</v>
      </c>
      <c r="N46">
        <f>Paq_A_1* EXP(-1*(dE0_A_1/ (1 + ((20/zMid_A_1) ^n_A_1)))/(0.00198717*298))</f>
        <v>0.86564451970890977</v>
      </c>
      <c r="O46">
        <f>Paq_A_2* EXP(-1*(dE0_A_2/ (1 + ((20/(-1*zMid_A_2)) ^n_A_2)))/(0.00198717*298))</f>
        <v>0.81210015509574374</v>
      </c>
    </row>
    <row r="47" spans="7:15" x14ac:dyDescent="0.25">
      <c r="M47">
        <v>21</v>
      </c>
      <c r="N47">
        <f>Paq_A_1* EXP(-1*(dE0_A_1/ (1 + ((21/zMid_A_1) ^n_A_1)))/(0.00198717*298))</f>
        <v>0.86460787881804113</v>
      </c>
      <c r="O47">
        <f>Paq_A_2* EXP(-1*(dE0_A_2/ (1 + ((21/(-1*zMid_A_2)) ^n_A_2)))/(0.00198717*298))</f>
        <v>0.80860971966802053</v>
      </c>
    </row>
    <row r="48" spans="7:15" x14ac:dyDescent="0.25">
      <c r="M48">
        <v>22</v>
      </c>
      <c r="N48">
        <f>Paq_A_1* EXP(-1*(dE0_A_1/ (1 + ((22/zMid_A_1) ^n_A_1)))/(0.00198717*298))</f>
        <v>0.86375857692200075</v>
      </c>
      <c r="O48">
        <f>Paq_A_2* EXP(-1*(dE0_A_2/ (1 + ((22/(-1*zMid_A_2)) ^n_A_2)))/(0.00198717*298))</f>
        <v>0.80556463030273562</v>
      </c>
    </row>
    <row r="49" spans="13:15" x14ac:dyDescent="0.25">
      <c r="M49">
        <v>23</v>
      </c>
      <c r="N49">
        <f>Paq_A_1* EXP(-1*(dE0_A_1/ (1 + ((23/zMid_A_1) ^n_A_1)))/(0.00198717*298))</f>
        <v>0.86305666796431846</v>
      </c>
      <c r="O49">
        <f>Paq_A_2* EXP(-1*(dE0_A_2/ (1 + ((23/(-1*zMid_A_2)) ^n_A_2)))/(0.00198717*298))</f>
        <v>0.80289338162511481</v>
      </c>
    </row>
    <row r="50" spans="13:15" x14ac:dyDescent="0.25">
      <c r="M50">
        <v>24</v>
      </c>
      <c r="N50">
        <f>Paq_A_1* EXP(-1*(dE0_A_1/ (1 + ((24/zMid_A_1) ^n_A_1)))/(0.00198717*298))</f>
        <v>0.86247190382524985</v>
      </c>
      <c r="O50">
        <f>Paq_A_2* EXP(-1*(dE0_A_2/ (1 + ((24/(-1*zMid_A_2)) ^n_A_2)))/(0.00198717*298))</f>
        <v>0.80053806042710984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50"/>
  <sheetViews>
    <sheetView topLeftCell="A40" workbookViewId="0"/>
  </sheetViews>
  <sheetFormatPr defaultRowHeight="15" x14ac:dyDescent="0.25"/>
  <cols>
    <col min="1" max="1" width="6" bestFit="1" customWidth="1"/>
    <col min="2" max="2" width="12.7109375" bestFit="1" customWidth="1"/>
    <col min="4" max="4" width="10.42578125" bestFit="1" customWidth="1"/>
    <col min="5" max="6" width="12" bestFit="1" customWidth="1"/>
    <col min="7" max="7" width="16.140625" bestFit="1" customWidth="1"/>
    <col min="8" max="11" width="12" bestFit="1" customWidth="1"/>
    <col min="13" max="13" width="3.7109375" bestFit="1" customWidth="1"/>
    <col min="14" max="15" width="12" bestFit="1" customWidth="1"/>
  </cols>
  <sheetData>
    <row r="1" spans="1:15" ht="18" x14ac:dyDescent="0.35">
      <c r="A1" s="1" t="s">
        <v>0</v>
      </c>
      <c r="B1">
        <v>4425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M1" s="1" t="s">
        <v>21</v>
      </c>
      <c r="N1" s="1" t="s">
        <v>22</v>
      </c>
      <c r="O1" s="1" t="s">
        <v>23</v>
      </c>
    </row>
    <row r="2" spans="1:15" ht="18" x14ac:dyDescent="0.35">
      <c r="A2" s="1" t="s">
        <v>1</v>
      </c>
      <c r="B2">
        <v>173.81716894440365</v>
      </c>
      <c r="D2" s="4">
        <v>-22.5</v>
      </c>
      <c r="E2">
        <v>2.0773552300039291</v>
      </c>
      <c r="F2">
        <v>37.146305786227806</v>
      </c>
      <c r="G2">
        <v>1.4237</v>
      </c>
      <c r="H2">
        <f>Paq_Q_1* EXP(-1*(dE0_Q_1/ (1 + ((22.5/zMid_Q_1) ^n_Q_1)))/(0.00198717*298))</f>
        <v>1.1200497610277251</v>
      </c>
      <c r="I2">
        <f t="shared" ref="I2:I32" si="0">IF(ISERROR((LOG(H2)-LOG(G2))^2),0,(LOG(H2)-LOG(G2))^2)</f>
        <v>1.0853715622956995E-2</v>
      </c>
      <c r="J2">
        <f>Paq_Q_2* EXP(-1*(dE0_Q_2/ (1 + ((22.5/(-1*zMid_Q_2)) ^n_Q_2)))/(0.00198717*298))</f>
        <v>1.3857719191436255</v>
      </c>
      <c r="K2">
        <f t="shared" ref="K2:K32" si="1">IF(ISERROR((LOG(J2)-LOG(G2))^2),0,(LOG(J2)-LOG(G2))^2)</f>
        <v>1.3751615805494578E-4</v>
      </c>
      <c r="M2">
        <v>-24</v>
      </c>
      <c r="N2">
        <f>Paq_Q_1* EXP(-1*(dE0_Q_1/ (1 + ((24/zMid_Q_1) ^n_Q_1)))/(0.00198717*298))</f>
        <v>1.1200497624275032</v>
      </c>
      <c r="O2">
        <f>Paq_Q_2* EXP(-1*(dE0_Q_2/ (1 + ((24/(-1*zMid_Q_2)) ^n_Q_2)))/(0.00198717*298))</f>
        <v>1.4229011638156226</v>
      </c>
    </row>
    <row r="3" spans="1:15" x14ac:dyDescent="0.25">
      <c r="D3" s="5">
        <v>-21</v>
      </c>
      <c r="E3">
        <v>2.8695670303281253</v>
      </c>
      <c r="F3">
        <v>53.383067205069459</v>
      </c>
      <c r="G3">
        <v>1.3685</v>
      </c>
      <c r="H3">
        <f>Paq_Q_1* EXP(-1*(dE0_Q_1/ (1 + ((21/zMid_Q_1) ^n_Q_1)))/(0.00198717*298))</f>
        <v>1.1200497540867331</v>
      </c>
      <c r="I3">
        <f t="shared" si="0"/>
        <v>7.5703027442883125E-3</v>
      </c>
      <c r="J3">
        <f>Paq_Q_2* EXP(-1*(dE0_Q_2/ (1 + ((21/(-1*zMid_Q_2)) ^n_Q_2)))/(0.00198717*298))</f>
        <v>1.3452848515276137</v>
      </c>
      <c r="K3">
        <f t="shared" si="1"/>
        <v>5.5213071256848649E-5</v>
      </c>
      <c r="M3">
        <v>-23</v>
      </c>
      <c r="N3">
        <f>Paq_Q_1* EXP(-1*(dE0_Q_1/ (1 + ((23/zMid_Q_1) ^n_Q_1)))/(0.00198717*298))</f>
        <v>1.1200497617438157</v>
      </c>
      <c r="O3">
        <f>Paq_Q_2* EXP(-1*(dE0_Q_2/ (1 + ((23/(-1*zMid_Q_2)) ^n_Q_2)))/(0.00198717*298))</f>
        <v>1.3985124574809318</v>
      </c>
    </row>
    <row r="4" spans="1:15" ht="18" x14ac:dyDescent="0.35">
      <c r="A4" s="2" t="s">
        <v>2</v>
      </c>
      <c r="B4">
        <v>1.1200497628447852</v>
      </c>
      <c r="D4" s="6">
        <v>-19.5</v>
      </c>
      <c r="E4">
        <v>5.2994236666651737</v>
      </c>
      <c r="F4">
        <v>104.67349192897072</v>
      </c>
      <c r="G4">
        <v>1.2888999999999999</v>
      </c>
      <c r="H4">
        <f>Paq_Q_1* EXP(-1*(dE0_Q_1/ (1 + ((19.5/zMid_Q_1) ^n_Q_1)))/(0.00198717*298))</f>
        <v>1.1200497154112092</v>
      </c>
      <c r="I4">
        <f t="shared" si="0"/>
        <v>3.7187950124859172E-3</v>
      </c>
      <c r="J4">
        <f>Paq_Q_2* EXP(-1*(dE0_Q_2/ (1 + ((19.5/(-1*zMid_Q_2)) ^n_Q_2)))/(0.00198717*298))</f>
        <v>1.3012937197484049</v>
      </c>
      <c r="K4">
        <f t="shared" si="1"/>
        <v>1.7273251389309121E-5</v>
      </c>
      <c r="M4">
        <v>-22</v>
      </c>
      <c r="N4">
        <f>Paq_Q_1* EXP(-1*(dE0_Q_1/ (1 + ((22/zMid_Q_1) ^n_Q_1)))/(0.00198717*298))</f>
        <v>1.1200497598119179</v>
      </c>
      <c r="O4">
        <f>Paq_Q_2* EXP(-1*(dE0_Q_2/ (1 + ((22/(-1*zMid_Q_2)) ^n_Q_2)))/(0.00198717*298))</f>
        <v>1.3726578782331802</v>
      </c>
    </row>
    <row r="5" spans="1:15" ht="18" x14ac:dyDescent="0.35">
      <c r="A5" s="2" t="s">
        <v>3</v>
      </c>
      <c r="B5">
        <v>0.25368489195831795</v>
      </c>
      <c r="D5" s="7">
        <v>-18</v>
      </c>
      <c r="E5">
        <v>8.3962068110913108</v>
      </c>
      <c r="F5">
        <v>171.11905245556184</v>
      </c>
      <c r="G5">
        <v>1.2491000000000001</v>
      </c>
      <c r="H5">
        <f>Paq_Q_1* EXP(-1*(dE0_Q_1/ (1 + ((18/zMid_Q_1) ^n_Q_1)))/(0.00198717*298))</f>
        <v>1.1200494687288003</v>
      </c>
      <c r="I5">
        <f t="shared" si="0"/>
        <v>2.2429699762360781E-3</v>
      </c>
      <c r="J5">
        <f>Paq_Q_2* EXP(-1*(dE0_Q_2/ (1 + ((18/(-1*zMid_Q_2)) ^n_Q_2)))/(0.00198717*298))</f>
        <v>1.2537373624145103</v>
      </c>
      <c r="K5">
        <f t="shared" si="1"/>
        <v>2.5900397204706194E-6</v>
      </c>
      <c r="M5">
        <v>-21</v>
      </c>
      <c r="N5">
        <f>Paq_Q_1* EXP(-1*(dE0_Q_1/ (1 + ((21/zMid_Q_1) ^n_Q_1)))/(0.00198717*298))</f>
        <v>1.1200497540867331</v>
      </c>
      <c r="O5">
        <f>Paq_Q_2* EXP(-1*(dE0_Q_2/ (1 + ((21/(-1*zMid_Q_2)) ^n_Q_2)))/(0.00198717*298))</f>
        <v>1.3452848515276137</v>
      </c>
    </row>
    <row r="6" spans="1:15" ht="18" x14ac:dyDescent="0.35">
      <c r="A6" s="2" t="s">
        <v>4</v>
      </c>
      <c r="B6">
        <v>9.6104242932163899</v>
      </c>
      <c r="D6" s="8">
        <v>-16.5</v>
      </c>
      <c r="E6">
        <v>9.9011643363379616</v>
      </c>
      <c r="F6">
        <v>239.24085021505925</v>
      </c>
      <c r="G6">
        <v>1.0536000000000001</v>
      </c>
      <c r="H6">
        <f>Paq_Q_1* EXP(-1*(dE0_Q_1/ (1 + ((16.5/zMid_Q_1) ^n_Q_1)))/(0.00198717*298))</f>
        <v>1.120047625176313</v>
      </c>
      <c r="I6">
        <f t="shared" si="0"/>
        <v>7.0547225073435706E-4</v>
      </c>
      <c r="J6">
        <f>Paq_Q_2* EXP(-1*(dE0_Q_2/ (1 + ((16.5/(-1*zMid_Q_2)) ^n_Q_2)))/(0.00198717*298))</f>
        <v>1.2026844005604072</v>
      </c>
      <c r="K6">
        <f t="shared" si="1"/>
        <v>3.3034809233289135E-3</v>
      </c>
      <c r="M6">
        <v>-20</v>
      </c>
      <c r="N6">
        <f>Paq_Q_1* EXP(-1*(dE0_Q_1/ (1 + ((20/zMid_Q_1) ^n_Q_1)))/(0.00198717*298))</f>
        <v>1.1200497362107877</v>
      </c>
      <c r="O6">
        <f>Paq_Q_2* EXP(-1*(dE0_Q_2/ (1 + ((20/(-1*zMid_Q_2)) ^n_Q_2)))/(0.00198717*298))</f>
        <v>1.3163527390844414</v>
      </c>
    </row>
    <row r="7" spans="1:15" x14ac:dyDescent="0.25">
      <c r="A7" s="2" t="s">
        <v>5</v>
      </c>
      <c r="B7">
        <v>22.795886611723009</v>
      </c>
      <c r="D7" s="9">
        <v>-15</v>
      </c>
      <c r="E7">
        <v>13.673418720434077</v>
      </c>
      <c r="F7">
        <v>301.1099037843893</v>
      </c>
      <c r="G7">
        <v>1.1559999999999999</v>
      </c>
      <c r="H7">
        <f>Paq_Q_1* EXP(-1*(dE0_Q_1/ (1 + ((15/zMid_Q_1) ^n_Q_1)))/(0.00198717*298))</f>
        <v>1.1200309910832624</v>
      </c>
      <c r="I7">
        <f t="shared" si="0"/>
        <v>1.8845233874078093E-4</v>
      </c>
      <c r="J7">
        <f>Paq_Q_2* EXP(-1*(dE0_Q_2/ (1 + ((15/(-1*zMid_Q_2)) ^n_Q_2)))/(0.00198717*298))</f>
        <v>1.1483890068623244</v>
      </c>
      <c r="K7">
        <f t="shared" si="1"/>
        <v>8.2300570092181139E-6</v>
      </c>
      <c r="M7">
        <v>-19</v>
      </c>
      <c r="N7">
        <f>Paq_Q_1* EXP(-1*(dE0_Q_1/ (1 + ((19/zMid_Q_1) ^n_Q_1)))/(0.00198717*298))</f>
        <v>1.1200496770923505</v>
      </c>
      <c r="O7">
        <f>Paq_Q_2* EXP(-1*(dE0_Q_2/ (1 + ((19/(-1*zMid_Q_2)) ^n_Q_2)))/(0.00198717*298))</f>
        <v>1.2858375082830218</v>
      </c>
    </row>
    <row r="8" spans="1:15" x14ac:dyDescent="0.25">
      <c r="D8" s="10">
        <v>-13.5</v>
      </c>
      <c r="E8">
        <v>16.371088873624423</v>
      </c>
      <c r="F8">
        <v>325.144691447757</v>
      </c>
      <c r="G8">
        <v>1.2818000000000001</v>
      </c>
      <c r="H8">
        <f>Paq_Q_1* EXP(-1*(dE0_Q_1/ (1 + ((13.5/zMid_Q_1) ^n_Q_1)))/(0.00198717*298))</f>
        <v>1.119842567278019</v>
      </c>
      <c r="I8">
        <f t="shared" si="0"/>
        <v>3.4413822321585565E-3</v>
      </c>
      <c r="J8">
        <f>Paq_Q_2* EXP(-1*(dE0_Q_2/ (1 + ((13.5/(-1*zMid_Q_2)) ^n_Q_2)))/(0.00198717*298))</f>
        <v>1.0913555451046801</v>
      </c>
      <c r="K8">
        <f t="shared" si="1"/>
        <v>4.8795824113475276E-3</v>
      </c>
      <c r="M8">
        <v>-18</v>
      </c>
      <c r="N8">
        <f>Paq_Q_1* EXP(-1*(dE0_Q_1/ (1 + ((18/zMid_Q_1) ^n_Q_1)))/(0.00198717*298))</f>
        <v>1.1200494687288003</v>
      </c>
      <c r="O8">
        <f>Paq_Q_2* EXP(-1*(dE0_Q_2/ (1 + ((18/(-1*zMid_Q_2)) ^n_Q_2)))/(0.00198717*298))</f>
        <v>1.2537373624145103</v>
      </c>
    </row>
    <row r="9" spans="1:15" ht="18" x14ac:dyDescent="0.35">
      <c r="A9" s="3" t="s">
        <v>6</v>
      </c>
      <c r="B9">
        <v>1.8967319607173876</v>
      </c>
      <c r="D9" s="11">
        <v>-12</v>
      </c>
      <c r="E9">
        <v>13.863789933115045</v>
      </c>
      <c r="F9">
        <v>335.09215104301728</v>
      </c>
      <c r="G9">
        <v>1.0532999999999999</v>
      </c>
      <c r="H9">
        <f>Paq_Q_1* EXP(-1*(dE0_Q_1/ (1 + ((12/zMid_Q_1) ^n_Q_1)))/(0.00198717*298))</f>
        <v>1.1170343384796217</v>
      </c>
      <c r="I9">
        <f t="shared" si="0"/>
        <v>6.5098663199754847E-4</v>
      </c>
      <c r="J9">
        <f>Paq_Q_2* EXP(-1*(dE0_Q_2/ (1 + ((12/(-1*zMid_Q_2)) ^n_Q_2)))/(0.00198717*298))</f>
        <v>1.0324057272276932</v>
      </c>
      <c r="K9">
        <f t="shared" si="1"/>
        <v>7.5719218741399774E-5</v>
      </c>
      <c r="M9">
        <v>-17</v>
      </c>
      <c r="N9">
        <f>Paq_Q_1* EXP(-1*(dE0_Q_1/ (1 + ((17/zMid_Q_1) ^n_Q_1)))/(0.00198717*298))</f>
        <v>1.1200486804308811</v>
      </c>
      <c r="O9">
        <f>Paq_Q_2* EXP(-1*(dE0_Q_2/ (1 + ((17/(-1*zMid_Q_2)) ^n_Q_2)))/(0.00198717*298))</f>
        <v>1.2200793753339074</v>
      </c>
    </row>
    <row r="10" spans="1:15" ht="18" x14ac:dyDescent="0.35">
      <c r="A10" s="3" t="s">
        <v>7</v>
      </c>
      <c r="B10">
        <v>0.58865915917819067</v>
      </c>
      <c r="D10" s="12">
        <v>-10.5</v>
      </c>
      <c r="E10">
        <v>10.880288589593171</v>
      </c>
      <c r="F10">
        <v>329.71261028763035</v>
      </c>
      <c r="G10">
        <v>0.84009999999999996</v>
      </c>
      <c r="H10">
        <f>Paq_Q_1* EXP(-1*(dE0_Q_1/ (1 + ((10.5/zMid_Q_1) ^n_Q_1)))/(0.00198717*298))</f>
        <v>1.0651477834821801</v>
      </c>
      <c r="I10">
        <f t="shared" si="0"/>
        <v>1.0625256172516879E-2</v>
      </c>
      <c r="J10">
        <f>Paq_Q_2* EXP(-1*(dE0_Q_2/ (1 + ((10.5/(-1*zMid_Q_2)) ^n_Q_2)))/(0.00198717*298))</f>
        <v>0.97273617035480331</v>
      </c>
      <c r="K10">
        <f t="shared" si="1"/>
        <v>4.0531151245788268E-3</v>
      </c>
      <c r="M10">
        <v>-16</v>
      </c>
      <c r="N10">
        <f>Paq_Q_1* EXP(-1*(dE0_Q_1/ (1 + ((16/zMid_Q_1) ^n_Q_1)))/(0.00198717*298))</f>
        <v>1.1200454518120972</v>
      </c>
      <c r="O10">
        <f>Paq_Q_2* EXP(-1*(dE0_Q_2/ (1 + ((16/(-1*zMid_Q_2)) ^n_Q_2)))/(0.00198717*298))</f>
        <v>1.1849271000902009</v>
      </c>
    </row>
    <row r="11" spans="1:15" ht="18" x14ac:dyDescent="0.35">
      <c r="A11" s="3" t="s">
        <v>8</v>
      </c>
      <c r="B11">
        <v>-15.147176867280535</v>
      </c>
      <c r="D11" s="13">
        <v>-9</v>
      </c>
      <c r="E11">
        <v>10.338591986162664</v>
      </c>
      <c r="F11">
        <v>284.46716551243782</v>
      </c>
      <c r="G11">
        <v>0.92520000000000002</v>
      </c>
      <c r="H11">
        <f>Paq_Q_1* EXP(-1*(dE0_Q_1/ (1 + ((9/zMid_Q_1) ^n_Q_1)))/(0.00198717*298))</f>
        <v>0.78929755438322402</v>
      </c>
      <c r="I11">
        <f t="shared" si="0"/>
        <v>4.7602916641574398E-3</v>
      </c>
      <c r="J11">
        <f>Paq_Q_2* EXP(-1*(dE0_Q_2/ (1 + ((9/(-1*zMid_Q_2)) ^n_Q_2)))/(0.00198717*298))</f>
        <v>0.91394808409778594</v>
      </c>
      <c r="K11">
        <f t="shared" si="1"/>
        <v>2.8239630385946736E-5</v>
      </c>
      <c r="M11">
        <v>-15</v>
      </c>
      <c r="N11">
        <f>Paq_Q_1* EXP(-1*(dE0_Q_1/ (1 + ((15/zMid_Q_1) ^n_Q_1)))/(0.00198717*298))</f>
        <v>1.1200309910832624</v>
      </c>
      <c r="O11">
        <f>Paq_Q_2* EXP(-1*(dE0_Q_2/ (1 + ((15/(-1*zMid_Q_2)) ^n_Q_2)))/(0.00198717*298))</f>
        <v>1.1483890068623244</v>
      </c>
    </row>
    <row r="12" spans="1:15" x14ac:dyDescent="0.25">
      <c r="A12" s="3" t="s">
        <v>9</v>
      </c>
      <c r="B12">
        <v>1.9544290522624213</v>
      </c>
      <c r="D12" s="14">
        <v>-7.5</v>
      </c>
      <c r="E12">
        <v>8.1466276395167458</v>
      </c>
      <c r="F12">
        <v>233.0137027127592</v>
      </c>
      <c r="G12">
        <v>0.8901</v>
      </c>
      <c r="H12">
        <f>Paq_Q_1* EXP(-1*(dE0_Q_1/ (1 + ((7.5/zMid_Q_1) ^n_Q_1)))/(0.00198717*298))</f>
        <v>0.73086799814998138</v>
      </c>
      <c r="I12">
        <f t="shared" si="0"/>
        <v>7.3273351404714851E-3</v>
      </c>
      <c r="J12">
        <f>Paq_Q_2* EXP(-1*(dE0_Q_2/ (1 + ((7.5/(-1*zMid_Q_2)) ^n_Q_2)))/(0.00198717*298))</f>
        <v>0.85802729055174187</v>
      </c>
      <c r="K12">
        <f t="shared" si="1"/>
        <v>2.5401027265575164E-4</v>
      </c>
      <c r="M12">
        <v>-14</v>
      </c>
      <c r="N12">
        <f>Paq_Q_1* EXP(-1*(dE0_Q_1/ (1 + ((14/zMid_Q_1) ^n_Q_1)))/(0.00198717*298))</f>
        <v>1.1199593012013285</v>
      </c>
      <c r="O12">
        <f>Paq_Q_2* EXP(-1*(dE0_Q_2/ (1 + ((14/(-1*zMid_Q_2)) ^n_Q_2)))/(0.00198717*298))</f>
        <v>1.1106274437737298</v>
      </c>
    </row>
    <row r="13" spans="1:15" x14ac:dyDescent="0.25">
      <c r="D13" s="15">
        <v>-6</v>
      </c>
      <c r="E13">
        <v>7.4310676509615661</v>
      </c>
      <c r="F13">
        <v>229.72199232624777</v>
      </c>
      <c r="G13">
        <v>0.82350000000000001</v>
      </c>
      <c r="H13">
        <f>Paq_Q_1* EXP(-1*(dE0_Q_1/ (1 + ((6/zMid_Q_1) ^n_Q_1)))/(0.00198717*298))</f>
        <v>0.72978045690536486</v>
      </c>
      <c r="I13">
        <f t="shared" si="0"/>
        <v>2.7532451392047121E-3</v>
      </c>
      <c r="J13">
        <f>Paq_Q_2* EXP(-1*(dE0_Q_2/ (1 + ((6/(-1*zMid_Q_2)) ^n_Q_2)))/(0.00198717*298))</f>
        <v>0.80725643859250118</v>
      </c>
      <c r="K13">
        <f t="shared" si="1"/>
        <v>7.4858590691309837E-5</v>
      </c>
      <c r="M13">
        <v>-13</v>
      </c>
      <c r="N13">
        <f>Paq_Q_1* EXP(-1*(dE0_Q_1/ (1 + ((13/zMid_Q_1) ^n_Q_1)))/(0.00198717*298))</f>
        <v>1.1195603176607136</v>
      </c>
      <c r="O13">
        <f>Paq_Q_2* EXP(-1*(dE0_Q_2/ (1 + ((13/(-1*zMid_Q_2)) ^n_Q_2)))/(0.00198717*298))</f>
        <v>1.0718676033501975</v>
      </c>
    </row>
    <row r="14" spans="1:15" x14ac:dyDescent="0.25">
      <c r="D14" s="16">
        <v>-4.5</v>
      </c>
      <c r="E14">
        <v>7.9344032718304867</v>
      </c>
      <c r="F14">
        <v>238.06457551464311</v>
      </c>
      <c r="G14">
        <v>0.84850000000000003</v>
      </c>
      <c r="H14">
        <f>Paq_Q_1* EXP(-1*(dE0_Q_1/ (1 + ((4.5/zMid_Q_1) ^n_Q_1)))/(0.00198717*298))</f>
        <v>0.72977368724059388</v>
      </c>
      <c r="I14">
        <f t="shared" si="0"/>
        <v>4.2854889853233217E-3</v>
      </c>
      <c r="J14">
        <f>Paq_Q_2* EXP(-1*(dE0_Q_2/ (1 + ((4.5/(-1*zMid_Q_2)) ^n_Q_2)))/(0.00198717*298))</f>
        <v>0.76405597284703208</v>
      </c>
      <c r="K14">
        <f t="shared" si="1"/>
        <v>2.0726778247113073E-3</v>
      </c>
      <c r="M14">
        <v>-12</v>
      </c>
      <c r="N14">
        <f>Paq_Q_1* EXP(-1*(dE0_Q_1/ (1 + ((12/zMid_Q_1) ^n_Q_1)))/(0.00198717*298))</f>
        <v>1.1170343384796217</v>
      </c>
      <c r="O14">
        <f>Paq_Q_2* EXP(-1*(dE0_Q_2/ (1 + ((12/(-1*zMid_Q_2)) ^n_Q_2)))/(0.00198717*298))</f>
        <v>1.0324057272276932</v>
      </c>
    </row>
    <row r="15" spans="1:15" x14ac:dyDescent="0.25">
      <c r="D15" s="17">
        <v>-3</v>
      </c>
      <c r="E15">
        <v>5.3167641130124528</v>
      </c>
      <c r="F15">
        <v>209.69845561618712</v>
      </c>
      <c r="G15">
        <v>0.64549999999999996</v>
      </c>
      <c r="H15">
        <f>Paq_Q_1* EXP(-1*(dE0_Q_1/ (1 + ((3/zMid_Q_1) ^n_Q_1)))/(0.00198717*298))</f>
        <v>0.72977367762314582</v>
      </c>
      <c r="I15">
        <f t="shared" si="0"/>
        <v>2.8400317258776456E-3</v>
      </c>
      <c r="J15">
        <f>Paq_Q_2* EXP(-1*(dE0_Q_2/ (1 + ((3/(-1*zMid_Q_2)) ^n_Q_2)))/(0.00198717*298))</f>
        <v>0.73077541195691842</v>
      </c>
      <c r="K15">
        <f t="shared" si="1"/>
        <v>2.9038820374322166E-3</v>
      </c>
      <c r="M15">
        <v>-11</v>
      </c>
      <c r="N15">
        <f>Paq_Q_1* EXP(-1*(dE0_Q_1/ (1 + ((11/zMid_Q_1) ^n_Q_1)))/(0.00198717*298))</f>
        <v>1.0991342237205428</v>
      </c>
      <c r="O15">
        <f>Paq_Q_2* EXP(-1*(dE0_Q_2/ (1 + ((11/(-1*zMid_Q_2)) ^n_Q_2)))/(0.00198717*298))</f>
        <v>0.99261551997967634</v>
      </c>
    </row>
    <row r="16" spans="1:15" x14ac:dyDescent="0.25">
      <c r="D16" s="18">
        <v>-1.5</v>
      </c>
      <c r="E16">
        <v>4.659108742044884</v>
      </c>
      <c r="F16">
        <v>193.12505159558162</v>
      </c>
      <c r="G16">
        <v>0.61419999999999997</v>
      </c>
      <c r="H16">
        <f>Paq_Q_1* EXP(-1*(dE0_Q_1/ (1 + ((1.5/zMid_Q_1) ^n_Q_1)))/(0.00198717*298))</f>
        <v>0.72977367762221479</v>
      </c>
      <c r="I16">
        <f t="shared" si="0"/>
        <v>5.606772171004395E-3</v>
      </c>
      <c r="J16">
        <f>Paq_Q_2* EXP(-1*(dE0_Q_2/ (1 + ((1.5/(-1*zMid_Q_2)) ^n_Q_2)))/(0.00198717*298))</f>
        <v>0.70948726269085072</v>
      </c>
      <c r="K16">
        <f t="shared" si="1"/>
        <v>3.9231170358977035E-3</v>
      </c>
      <c r="M16">
        <v>-10</v>
      </c>
      <c r="N16">
        <f>Paq_Q_1* EXP(-1*(dE0_Q_1/ (1 + ((10/zMid_Q_1) ^n_Q_1)))/(0.00198717*298))</f>
        <v>0.99010782959281074</v>
      </c>
      <c r="O16">
        <f>Paq_Q_2* EXP(-1*(dE0_Q_2/ (1 + ((10/(-1*zMid_Q_2)) ^n_Q_2)))/(0.00198717*298))</f>
        <v>0.95295152153586571</v>
      </c>
    </row>
    <row r="17" spans="4:15" x14ac:dyDescent="0.25">
      <c r="D17" s="19">
        <v>0</v>
      </c>
      <c r="E17">
        <v>6.3549425258701744</v>
      </c>
      <c r="F17">
        <v>197.31337553026106</v>
      </c>
      <c r="G17">
        <v>0.81989999999999996</v>
      </c>
      <c r="H17">
        <f>Paq_Q_1* EXP(-1*(dE0_Q_1/ (1 + ((0/zMid_Q_1) ^n_Q_1)))/(0.00198717*298))</f>
        <v>0.72977367762221479</v>
      </c>
      <c r="I17">
        <f t="shared" si="0"/>
        <v>2.5575971529271072E-3</v>
      </c>
      <c r="J17">
        <f>Paq_Q_2* EXP(-1*(dE0_Q_2/ (1 + ((0/(-1*zMid_Q_2)) ^n_Q_2)))/(0.00198717*298))</f>
        <v>0.70192574027954269</v>
      </c>
      <c r="K17">
        <f t="shared" si="1"/>
        <v>4.552162809142145E-3</v>
      </c>
      <c r="M17">
        <v>-9</v>
      </c>
      <c r="N17">
        <f>Paq_Q_1* EXP(-1*(dE0_Q_1/ (1 + ((9/zMid_Q_1) ^n_Q_1)))/(0.00198717*298))</f>
        <v>0.78929755438322402</v>
      </c>
      <c r="O17">
        <f>Paq_Q_2* EXP(-1*(dE0_Q_2/ (1 + ((9/(-1*zMid_Q_2)) ^n_Q_2)))/(0.00198717*298))</f>
        <v>0.91394808409778594</v>
      </c>
    </row>
    <row r="18" spans="4:15" x14ac:dyDescent="0.25">
      <c r="D18" s="20">
        <v>1.5</v>
      </c>
      <c r="E18">
        <v>7.1261150068641843</v>
      </c>
      <c r="F18">
        <v>211.87289009819162</v>
      </c>
      <c r="G18">
        <v>0.85619999999999996</v>
      </c>
      <c r="H18">
        <f>Paq_Q_1* EXP(-1*(dE0_Q_1/ (1 + ((1.5/zMid_Q_1) ^n_Q_1)))/(0.00198717*298))</f>
        <v>0.72977367762221479</v>
      </c>
      <c r="I18">
        <f t="shared" si="0"/>
        <v>4.8145597735462353E-3</v>
      </c>
      <c r="J18">
        <f>Paq_Q_2* EXP(-1*(dE0_Q_2/ (1 + ((1.5/(-1*zMid_Q_2)) ^n_Q_2)))/(0.00198717*298))</f>
        <v>0.70948726269085072</v>
      </c>
      <c r="K18">
        <f t="shared" si="1"/>
        <v>6.6635581955148838E-3</v>
      </c>
      <c r="M18">
        <v>-8</v>
      </c>
      <c r="N18">
        <f>Paq_Q_1* EXP(-1*(dE0_Q_1/ (1 + ((8/zMid_Q_1) ^n_Q_1)))/(0.00198717*298))</f>
        <v>0.73449532880547552</v>
      </c>
      <c r="O18">
        <f>Paq_Q_2* EXP(-1*(dE0_Q_2/ (1 + ((8/(-1*zMid_Q_2)) ^n_Q_2)))/(0.00198717*298))</f>
        <v>0.87621270787222061</v>
      </c>
    </row>
    <row r="19" spans="4:15" x14ac:dyDescent="0.25">
      <c r="D19" s="21">
        <v>3</v>
      </c>
      <c r="E19">
        <v>6.7152395888629899</v>
      </c>
      <c r="F19">
        <v>212.60048258233337</v>
      </c>
      <c r="G19">
        <v>0.80410000000000004</v>
      </c>
      <c r="H19">
        <f>Paq_Q_1* EXP(-1*(dE0_Q_1/ (1 + ((3/zMid_Q_1) ^n_Q_1)))/(0.00198717*298))</f>
        <v>0.72977367762314582</v>
      </c>
      <c r="I19">
        <f t="shared" si="0"/>
        <v>1.7742517194835686E-3</v>
      </c>
      <c r="J19">
        <f>Paq_Q_2* EXP(-1*(dE0_Q_2/ (1 + ((3/(-1*zMid_Q_2)) ^n_Q_2)))/(0.00198717*298))</f>
        <v>0.73077541195691842</v>
      </c>
      <c r="K19">
        <f t="shared" si="1"/>
        <v>1.7244199448384772E-3</v>
      </c>
      <c r="M19">
        <v>-7</v>
      </c>
      <c r="N19">
        <f>Paq_Q_1* EXP(-1*(dE0_Q_1/ (1 + ((7/zMid_Q_1) ^n_Q_1)))/(0.00198717*298))</f>
        <v>0.73000121573012566</v>
      </c>
      <c r="O19">
        <f>Paq_Q_2* EXP(-1*(dE0_Q_2/ (1 + ((7/(-1*zMid_Q_2)) ^n_Q_2)))/(0.00198717*298))</f>
        <v>0.84041289669147601</v>
      </c>
    </row>
    <row r="20" spans="4:15" x14ac:dyDescent="0.25">
      <c r="D20" s="22">
        <v>4.5</v>
      </c>
      <c r="E20">
        <v>5.3985014475787558</v>
      </c>
      <c r="F20">
        <v>207.82615645104704</v>
      </c>
      <c r="G20">
        <v>0.6613</v>
      </c>
      <c r="H20">
        <f>Paq_Q_1* EXP(-1*(dE0_Q_1/ (1 + ((4.5/zMid_Q_1) ^n_Q_1)))/(0.00198717*298))</f>
        <v>0.72977368724059388</v>
      </c>
      <c r="I20">
        <f t="shared" si="0"/>
        <v>1.8309565143913708E-3</v>
      </c>
      <c r="J20">
        <f>Paq_Q_2* EXP(-1*(dE0_Q_2/ (1 + ((4.5/(-1*zMid_Q_2)) ^n_Q_2)))/(0.00198717*298))</f>
        <v>0.76405597284703208</v>
      </c>
      <c r="K20">
        <f t="shared" si="1"/>
        <v>3.9346329181196267E-3</v>
      </c>
      <c r="M20">
        <v>-6</v>
      </c>
      <c r="N20">
        <f>Paq_Q_1* EXP(-1*(dE0_Q_1/ (1 + ((6/zMid_Q_1) ^n_Q_1)))/(0.00198717*298))</f>
        <v>0.72978045690536486</v>
      </c>
      <c r="O20">
        <f>Paq_Q_2* EXP(-1*(dE0_Q_2/ (1 + ((6/(-1*zMid_Q_2)) ^n_Q_2)))/(0.00198717*298))</f>
        <v>0.80725643859250118</v>
      </c>
    </row>
    <row r="21" spans="4:15" x14ac:dyDescent="0.25">
      <c r="D21" s="23">
        <v>6</v>
      </c>
      <c r="E21">
        <v>5.0360216729014633</v>
      </c>
      <c r="F21">
        <v>218.70380004479716</v>
      </c>
      <c r="G21">
        <v>0.58620000000000005</v>
      </c>
      <c r="H21">
        <f>Paq_Q_1* EXP(-1*(dE0_Q_1/ (1 + ((6/zMid_Q_1) ^n_Q_1)))/(0.00198717*298))</f>
        <v>0.72978045690536486</v>
      </c>
      <c r="I21">
        <f t="shared" si="0"/>
        <v>9.0528402738839202E-3</v>
      </c>
      <c r="J21">
        <f>Paq_Q_2* EXP(-1*(dE0_Q_2/ (1 + ((6/(-1*zMid_Q_2)) ^n_Q_2)))/(0.00198717*298))</f>
        <v>0.80725643859250118</v>
      </c>
      <c r="K21">
        <f t="shared" si="1"/>
        <v>1.931146674584084E-2</v>
      </c>
      <c r="M21">
        <v>-5</v>
      </c>
      <c r="N21">
        <f>Paq_Q_1* EXP(-1*(dE0_Q_1/ (1 + ((5/zMid_Q_1) ^n_Q_1)))/(0.00198717*298))</f>
        <v>0.72977378383684732</v>
      </c>
      <c r="O21">
        <f>Paq_Q_2* EXP(-1*(dE0_Q_2/ (1 + ((5/(-1*zMid_Q_2)) ^n_Q_2)))/(0.00198717*298))</f>
        <v>0.77746604818446197</v>
      </c>
    </row>
    <row r="22" spans="4:15" x14ac:dyDescent="0.25">
      <c r="D22" s="24">
        <v>7.5</v>
      </c>
      <c r="E22">
        <v>5.6978110335535064</v>
      </c>
      <c r="F22">
        <v>210.91142211418727</v>
      </c>
      <c r="G22">
        <v>0.68769999999999998</v>
      </c>
      <c r="H22">
        <f>Paq_Q_1* EXP(-1*(dE0_Q_1/ (1 + ((7.5/zMid_Q_1) ^n_Q_1)))/(0.00198717*298))</f>
        <v>0.73086799814998138</v>
      </c>
      <c r="I22">
        <f t="shared" si="0"/>
        <v>6.9906947019080195E-4</v>
      </c>
      <c r="J22">
        <f>Paq_Q_2* EXP(-1*(dE0_Q_2/ (1 + ((7.5/(-1*zMid_Q_2)) ^n_Q_2)))/(0.00198717*298))</f>
        <v>0.85802729055174187</v>
      </c>
      <c r="K22">
        <f t="shared" si="1"/>
        <v>9.2356091970553517E-3</v>
      </c>
      <c r="M22">
        <v>-4</v>
      </c>
      <c r="N22">
        <f>Paq_Q_1* EXP(-1*(dE0_Q_1/ (1 + ((4/zMid_Q_1) ^n_Q_1)))/(0.00198717*298))</f>
        <v>0.72977367827841266</v>
      </c>
      <c r="O22">
        <f>Paq_Q_2* EXP(-1*(dE0_Q_2/ (1 + ((4/(-1*zMid_Q_2)) ^n_Q_2)))/(0.00198717*298))</f>
        <v>0.75175048214379492</v>
      </c>
    </row>
    <row r="23" spans="4:15" x14ac:dyDescent="0.25">
      <c r="D23" s="25">
        <v>9</v>
      </c>
      <c r="E23">
        <v>6.6791165306845288</v>
      </c>
      <c r="F23">
        <v>213.79921748310556</v>
      </c>
      <c r="G23">
        <v>0.79530000000000001</v>
      </c>
      <c r="H23">
        <f>Paq_Q_1* EXP(-1*(dE0_Q_1/ (1 + ((9/zMid_Q_1) ^n_Q_1)))/(0.00198717*298))</f>
        <v>0.78929755438322402</v>
      </c>
      <c r="I23">
        <f t="shared" si="0"/>
        <v>1.0825582490673417E-5</v>
      </c>
      <c r="J23">
        <f>Paq_Q_2* EXP(-1*(dE0_Q_2/ (1 + ((9/(-1*zMid_Q_2)) ^n_Q_2)))/(0.00198717*298))</f>
        <v>0.91394808409778594</v>
      </c>
      <c r="K23">
        <f t="shared" si="1"/>
        <v>3.6470178432932003E-3</v>
      </c>
      <c r="M23">
        <v>-3</v>
      </c>
      <c r="N23">
        <f>Paq_Q_1* EXP(-1*(dE0_Q_1/ (1 + ((3/zMid_Q_1) ^n_Q_1)))/(0.00198717*298))</f>
        <v>0.72977367762314582</v>
      </c>
      <c r="O23">
        <f>Paq_Q_2* EXP(-1*(dE0_Q_2/ (1 + ((3/(-1*zMid_Q_2)) ^n_Q_2)))/(0.00198717*298))</f>
        <v>0.73077541195691842</v>
      </c>
    </row>
    <row r="24" spans="4:15" x14ac:dyDescent="0.25">
      <c r="D24" s="26">
        <v>10.5</v>
      </c>
      <c r="E24">
        <v>9.0855782477368034</v>
      </c>
      <c r="F24">
        <v>220.63045274559784</v>
      </c>
      <c r="G24">
        <v>1.0484</v>
      </c>
      <c r="H24">
        <f>Paq_Q_1* EXP(-1*(dE0_Q_1/ (1 + ((10.5/zMid_Q_1) ^n_Q_1)))/(0.00198717*298))</f>
        <v>1.0651477834821801</v>
      </c>
      <c r="I24">
        <f t="shared" si="0"/>
        <v>4.737370239839255E-5</v>
      </c>
      <c r="J24">
        <f>Paq_Q_2* EXP(-1*(dE0_Q_2/ (1 + ((10.5/(-1*zMid_Q_2)) ^n_Q_2)))/(0.00198717*298))</f>
        <v>0.97273617035480331</v>
      </c>
      <c r="K24">
        <f t="shared" si="1"/>
        <v>1.0583275907978501E-3</v>
      </c>
      <c r="M24">
        <v>-2</v>
      </c>
      <c r="N24">
        <f>Paq_Q_1* EXP(-1*(dE0_Q_1/ (1 + ((2/zMid_Q_1) ^n_Q_1)))/(0.00198717*298))</f>
        <v>0.7297736776222149</v>
      </c>
      <c r="O24">
        <f>Paq_Q_2* EXP(-1*(dE0_Q_2/ (1 + ((2/(-1*zMid_Q_2)) ^n_Q_2)))/(0.00198717*298))</f>
        <v>0.71513875527617865</v>
      </c>
    </row>
    <row r="25" spans="4:15" x14ac:dyDescent="0.25">
      <c r="D25" s="27">
        <v>12</v>
      </c>
      <c r="E25">
        <v>11.036522186864236</v>
      </c>
      <c r="F25">
        <v>225.0124392487848</v>
      </c>
      <c r="G25">
        <v>1.2486999999999999</v>
      </c>
      <c r="H25">
        <f>Paq_Q_1* EXP(-1*(dE0_Q_1/ (1 + ((12/zMid_Q_1) ^n_Q_1)))/(0.00198717*298))</f>
        <v>1.1170343384796217</v>
      </c>
      <c r="I25">
        <f t="shared" si="0"/>
        <v>2.3417457752347025E-3</v>
      </c>
      <c r="J25">
        <f>Paq_Q_2* EXP(-1*(dE0_Q_2/ (1 + ((12/(-1*zMid_Q_2)) ^n_Q_2)))/(0.00198717*298))</f>
        <v>1.0324057272276932</v>
      </c>
      <c r="K25">
        <f t="shared" si="1"/>
        <v>6.8240331911032419E-3</v>
      </c>
      <c r="M25">
        <v>-1</v>
      </c>
      <c r="N25">
        <f>Paq_Q_1* EXP(-1*(dE0_Q_1/ (1 + ((1/zMid_Q_1) ^n_Q_1)))/(0.00198717*298))</f>
        <v>0.72977367762221479</v>
      </c>
      <c r="O25">
        <f>Paq_Q_2* EXP(-1*(dE0_Q_2/ (1 + ((1/(-1*zMid_Q_2)) ^n_Q_2)))/(0.00198717*298))</f>
        <v>0.7053593593659665</v>
      </c>
    </row>
    <row r="26" spans="4:15" x14ac:dyDescent="0.25">
      <c r="D26" s="28">
        <v>13.5</v>
      </c>
      <c r="E26">
        <v>10.181977602003675</v>
      </c>
      <c r="F26">
        <v>218.45557134306293</v>
      </c>
      <c r="G26">
        <v>1.1866000000000001</v>
      </c>
      <c r="H26">
        <f>Paq_Q_1* EXP(-1*(dE0_Q_1/ (1 + ((13.5/zMid_Q_1) ^n_Q_1)))/(0.00198717*298))</f>
        <v>1.119842567278019</v>
      </c>
      <c r="I26">
        <f t="shared" si="0"/>
        <v>6.3239032835183567E-4</v>
      </c>
      <c r="J26">
        <f>Paq_Q_2* EXP(-1*(dE0_Q_2/ (1 + ((13.5/(-1*zMid_Q_2)) ^n_Q_2)))/(0.00198717*298))</f>
        <v>1.0913555451046801</v>
      </c>
      <c r="K26">
        <f t="shared" si="1"/>
        <v>1.3204563919352688E-3</v>
      </c>
      <c r="M26">
        <v>0</v>
      </c>
      <c r="N26">
        <f>Paq_Q_1* EXP(-1*(dE0_Q_1/ (1 + ((0/zMid_Q_1) ^n_Q_1)))/(0.00198717*298))</f>
        <v>0.72977367762221479</v>
      </c>
      <c r="O26">
        <f>Paq_Q_2* EXP(-1*(dE0_Q_2/ (1 + ((0/(-1*zMid_Q_2)) ^n_Q_2)))/(0.00198717*298))</f>
        <v>0.70192574027954269</v>
      </c>
    </row>
    <row r="27" spans="4:15" x14ac:dyDescent="0.25">
      <c r="D27" s="29">
        <v>15</v>
      </c>
      <c r="E27">
        <v>10.510554239832667</v>
      </c>
      <c r="F27">
        <v>224.03276726794545</v>
      </c>
      <c r="G27">
        <v>1.1943999999999999</v>
      </c>
      <c r="H27">
        <f>Paq_Q_1* EXP(-1*(dE0_Q_1/ (1 + ((15/zMid_Q_1) ^n_Q_1)))/(0.00198717*298))</f>
        <v>1.1200309910832624</v>
      </c>
      <c r="I27">
        <f t="shared" si="0"/>
        <v>7.7951272036496072E-4</v>
      </c>
      <c r="J27">
        <f>Paq_Q_2* EXP(-1*(dE0_Q_2/ (1 + ((15/(-1*zMid_Q_2)) ^n_Q_2)))/(0.00198717*298))</f>
        <v>1.1483890068623244</v>
      </c>
      <c r="K27">
        <f t="shared" si="1"/>
        <v>2.910698124640152E-4</v>
      </c>
      <c r="M27">
        <v>1</v>
      </c>
      <c r="N27">
        <f>Paq_Q_1* EXP(-1*(dE0_Q_1/ (1 + ((1/zMid_Q_1) ^n_Q_1)))/(0.00198717*298))</f>
        <v>0.72977367762221479</v>
      </c>
      <c r="O27">
        <f>Paq_Q_2* EXP(-1*(dE0_Q_2/ (1 + ((1/(-1*zMid_Q_2)) ^n_Q_2)))/(0.00198717*298))</f>
        <v>0.7053593593659665</v>
      </c>
    </row>
    <row r="28" spans="4:15" x14ac:dyDescent="0.25">
      <c r="D28" s="30">
        <v>16.5</v>
      </c>
      <c r="E28">
        <v>12.024049509536926</v>
      </c>
      <c r="F28">
        <v>233.75708221892813</v>
      </c>
      <c r="G28">
        <v>1.3095000000000001</v>
      </c>
      <c r="H28">
        <f>Paq_Q_1* EXP(-1*(dE0_Q_1/ (1 + ((16.5/zMid_Q_1) ^n_Q_1)))/(0.00198717*298))</f>
        <v>1.120047625176313</v>
      </c>
      <c r="I28">
        <f t="shared" si="0"/>
        <v>4.6062029535254862E-3</v>
      </c>
      <c r="J28">
        <f>Paq_Q_2* EXP(-1*(dE0_Q_2/ (1 + ((16.5/(-1*zMid_Q_2)) ^n_Q_2)))/(0.00198717*298))</f>
        <v>1.2026844005604072</v>
      </c>
      <c r="K28">
        <f t="shared" si="1"/>
        <v>1.3655851657899489E-3</v>
      </c>
      <c r="M28">
        <v>2</v>
      </c>
      <c r="N28">
        <f>Paq_Q_1* EXP(-1*(dE0_Q_1/ (1 + ((2/zMid_Q_1) ^n_Q_1)))/(0.00198717*298))</f>
        <v>0.7297736776222149</v>
      </c>
      <c r="O28">
        <f>Paq_Q_2* EXP(-1*(dE0_Q_2/ (1 + ((2/(-1*zMid_Q_2)) ^n_Q_2)))/(0.00198717*298))</f>
        <v>0.71513875527617865</v>
      </c>
    </row>
    <row r="29" spans="4:15" x14ac:dyDescent="0.25">
      <c r="D29" s="31">
        <v>18</v>
      </c>
      <c r="E29">
        <v>11.630409712559468</v>
      </c>
      <c r="F29">
        <v>221.14244125881021</v>
      </c>
      <c r="G29">
        <v>1.3389</v>
      </c>
      <c r="H29">
        <f>Paq_Q_1* EXP(-1*(dE0_Q_1/ (1 + ((18/zMid_Q_1) ^n_Q_1)))/(0.00198717*298))</f>
        <v>1.1200494687288003</v>
      </c>
      <c r="I29">
        <f t="shared" si="0"/>
        <v>6.0079453816514038E-3</v>
      </c>
      <c r="J29">
        <f>Paq_Q_2* EXP(-1*(dE0_Q_2/ (1 + ((18/(-1*zMid_Q_2)) ^n_Q_2)))/(0.00198717*298))</f>
        <v>1.2537373624145103</v>
      </c>
      <c r="K29">
        <f t="shared" si="1"/>
        <v>8.1462139889586574E-4</v>
      </c>
      <c r="M29">
        <v>3</v>
      </c>
      <c r="N29">
        <f>Paq_Q_1* EXP(-1*(dE0_Q_1/ (1 + ((3/zMid_Q_1) ^n_Q_1)))/(0.00198717*298))</f>
        <v>0.72977367762314582</v>
      </c>
      <c r="O29">
        <f>Paq_Q_2* EXP(-1*(dE0_Q_2/ (1 + ((3/(-1*zMid_Q_2)) ^n_Q_2)))/(0.00198717*298))</f>
        <v>0.73077541195691842</v>
      </c>
    </row>
    <row r="30" spans="4:15" x14ac:dyDescent="0.25">
      <c r="D30" s="32">
        <v>19.5</v>
      </c>
      <c r="E30">
        <v>8.5731718629809421</v>
      </c>
      <c r="F30">
        <v>203.08284087537984</v>
      </c>
      <c r="G30">
        <v>1.0747</v>
      </c>
      <c r="H30">
        <f>Paq_Q_1* EXP(-1*(dE0_Q_1/ (1 + ((19.5/zMid_Q_1) ^n_Q_1)))/(0.00198717*298))</f>
        <v>1.1200497154112092</v>
      </c>
      <c r="I30">
        <f t="shared" si="0"/>
        <v>3.2220433660596384E-4</v>
      </c>
      <c r="J30">
        <f>Paq_Q_2* EXP(-1*(dE0_Q_2/ (1 + ((19.5/(-1*zMid_Q_2)) ^n_Q_2)))/(0.00198717*298))</f>
        <v>1.3012937197484049</v>
      </c>
      <c r="K30">
        <f t="shared" si="1"/>
        <v>6.9036298589289832E-3</v>
      </c>
      <c r="M30">
        <v>4</v>
      </c>
      <c r="N30">
        <f>Paq_Q_1* EXP(-1*(dE0_Q_1/ (1 + ((4/zMid_Q_1) ^n_Q_1)))/(0.00198717*298))</f>
        <v>0.72977367827841266</v>
      </c>
      <c r="O30">
        <f>Paq_Q_2* EXP(-1*(dE0_Q_2/ (1 + ((4/(-1*zMid_Q_2)) ^n_Q_2)))/(0.00198717*298))</f>
        <v>0.75175048214379492</v>
      </c>
    </row>
    <row r="31" spans="4:15" x14ac:dyDescent="0.25">
      <c r="D31" s="33">
        <v>21</v>
      </c>
      <c r="E31">
        <v>6.8557421095847424</v>
      </c>
      <c r="F31">
        <v>202.23586360890673</v>
      </c>
      <c r="G31">
        <v>0.86299999999999999</v>
      </c>
      <c r="H31">
        <f>Paq_Q_1* EXP(-1*(dE0_Q_1/ (1 + ((21/zMid_Q_1) ^n_Q_1)))/(0.00198717*298))</f>
        <v>1.1200497540867331</v>
      </c>
      <c r="I31">
        <f t="shared" si="0"/>
        <v>1.2820244676625915E-2</v>
      </c>
      <c r="J31">
        <f>Paq_Q_2* EXP(-1*(dE0_Q_2/ (1 + ((21/(-1*zMid_Q_2)) ^n_Q_2)))/(0.00198717*298))</f>
        <v>1.3452848515276137</v>
      </c>
      <c r="K31">
        <f t="shared" si="1"/>
        <v>3.7173172710551199E-2</v>
      </c>
      <c r="M31">
        <v>5</v>
      </c>
      <c r="N31">
        <f>Paq_Q_1* EXP(-1*(dE0_Q_1/ (1 + ((5/zMid_Q_1) ^n_Q_1)))/(0.00198717*298))</f>
        <v>0.72977378383684732</v>
      </c>
      <c r="O31">
        <f>Paq_Q_2* EXP(-1*(dE0_Q_2/ (1 + ((5/(-1*zMid_Q_2)) ^n_Q_2)))/(0.00198717*298))</f>
        <v>0.77746604818446197</v>
      </c>
    </row>
    <row r="32" spans="4:15" x14ac:dyDescent="0.25">
      <c r="D32" s="34">
        <v>22.5</v>
      </c>
      <c r="E32">
        <v>6.3419622053243208</v>
      </c>
      <c r="F32">
        <v>185.59265872251723</v>
      </c>
      <c r="G32">
        <v>0.86990000000000001</v>
      </c>
      <c r="H32">
        <f>Paq_Q_1* EXP(-1*(dE0_Q_1/ (1 + ((22.5/zMid_Q_1) ^n_Q_1)))/(0.00198717*298))</f>
        <v>1.1200497610277251</v>
      </c>
      <c r="I32">
        <f t="shared" si="0"/>
        <v>1.2049010943675546E-2</v>
      </c>
      <c r="J32">
        <f>Paq_Q_2* EXP(-1*(dE0_Q_2/ (1 + ((22.5/(-1*zMid_Q_2)) ^n_Q_2)))/(0.00198717*298))</f>
        <v>1.3857719191436255</v>
      </c>
      <c r="K32">
        <f t="shared" si="1"/>
        <v>4.0893909509817236E-2</v>
      </c>
      <c r="M32">
        <v>6</v>
      </c>
      <c r="N32">
        <f>Paq_Q_1* EXP(-1*(dE0_Q_1/ (1 + ((6/zMid_Q_1) ^n_Q_1)))/(0.00198717*298))</f>
        <v>0.72978045690536486</v>
      </c>
      <c r="O32">
        <f>Paq_Q_2* EXP(-1*(dE0_Q_2/ (1 + ((6/(-1*zMid_Q_2)) ^n_Q_2)))/(0.00198717*298))</f>
        <v>0.80725643859250118</v>
      </c>
    </row>
    <row r="33" spans="7:15" x14ac:dyDescent="0.25">
      <c r="M33">
        <v>7</v>
      </c>
      <c r="N33">
        <f>Paq_Q_1* EXP(-1*(dE0_Q_1/ (1 + ((7/zMid_Q_1) ^n_Q_1)))/(0.00198717*298))</f>
        <v>0.73000121573012566</v>
      </c>
      <c r="O33">
        <f>Paq_Q_2* EXP(-1*(dE0_Q_2/ (1 + ((7/(-1*zMid_Q_2)) ^n_Q_2)))/(0.00198717*298))</f>
        <v>0.84041289669147601</v>
      </c>
    </row>
    <row r="34" spans="7:15" x14ac:dyDescent="0.25">
      <c r="G34" t="s">
        <v>18</v>
      </c>
      <c r="H34" s="1" t="s">
        <v>20</v>
      </c>
      <c r="I34">
        <f>SQRT(AVERAGE(I$17:I$32))</f>
        <v>6.1413929255375303E-2</v>
      </c>
      <c r="M34">
        <v>8</v>
      </c>
      <c r="N34">
        <f>Paq_Q_1* EXP(-1*(dE0_Q_1/ (1 + ((8/zMid_Q_1) ^n_Q_1)))/(0.00198717*298))</f>
        <v>0.73449532880547552</v>
      </c>
      <c r="O34">
        <f>Paq_Q_2* EXP(-1*(dE0_Q_2/ (1 + ((8/(-1*zMid_Q_2)) ^n_Q_2)))/(0.00198717*298))</f>
        <v>0.87621270787222061</v>
      </c>
    </row>
    <row r="35" spans="7:15" x14ac:dyDescent="0.25">
      <c r="G35" t="s">
        <v>19</v>
      </c>
      <c r="J35" s="1" t="s">
        <v>20</v>
      </c>
      <c r="K35">
        <f>SQRT(AVERAGE(K$2:K$17))</f>
        <v>4.0575291477960941E-2</v>
      </c>
      <c r="M35">
        <v>9</v>
      </c>
      <c r="N35">
        <f>Paq_Q_1* EXP(-1*(dE0_Q_1/ (1 + ((9/zMid_Q_1) ^n_Q_1)))/(0.00198717*298))</f>
        <v>0.78929755438322402</v>
      </c>
      <c r="O35">
        <f>Paq_Q_2* EXP(-1*(dE0_Q_2/ (1 + ((9/(-1*zMid_Q_2)) ^n_Q_2)))/(0.00198717*298))</f>
        <v>0.91394808409778594</v>
      </c>
    </row>
    <row r="36" spans="7:15" x14ac:dyDescent="0.25">
      <c r="M36">
        <v>10</v>
      </c>
      <c r="N36">
        <f>Paq_Q_1* EXP(-1*(dE0_Q_1/ (1 + ((10/zMid_Q_1) ^n_Q_1)))/(0.00198717*298))</f>
        <v>0.99010782959281074</v>
      </c>
      <c r="O36">
        <f>Paq_Q_2* EXP(-1*(dE0_Q_2/ (1 + ((10/(-1*zMid_Q_2)) ^n_Q_2)))/(0.00198717*298))</f>
        <v>0.95295152153586571</v>
      </c>
    </row>
    <row r="37" spans="7:15" x14ac:dyDescent="0.25">
      <c r="M37">
        <v>11</v>
      </c>
      <c r="N37">
        <f>Paq_Q_1* EXP(-1*(dE0_Q_1/ (1 + ((11/zMid_Q_1) ^n_Q_1)))/(0.00198717*298))</f>
        <v>1.0991342237205428</v>
      </c>
      <c r="O37">
        <f>Paq_Q_2* EXP(-1*(dE0_Q_2/ (1 + ((11/(-1*zMid_Q_2)) ^n_Q_2)))/(0.00198717*298))</f>
        <v>0.99261551997967634</v>
      </c>
    </row>
    <row r="38" spans="7:15" x14ac:dyDescent="0.25">
      <c r="M38">
        <v>12</v>
      </c>
      <c r="N38">
        <f>Paq_Q_1* EXP(-1*(dE0_Q_1/ (1 + ((12/zMid_Q_1) ^n_Q_1)))/(0.00198717*298))</f>
        <v>1.1170343384796217</v>
      </c>
      <c r="O38">
        <f>Paq_Q_2* EXP(-1*(dE0_Q_2/ (1 + ((12/(-1*zMid_Q_2)) ^n_Q_2)))/(0.00198717*298))</f>
        <v>1.0324057272276932</v>
      </c>
    </row>
    <row r="39" spans="7:15" x14ac:dyDescent="0.25">
      <c r="M39">
        <v>13</v>
      </c>
      <c r="N39">
        <f>Paq_Q_1* EXP(-1*(dE0_Q_1/ (1 + ((13/zMid_Q_1) ^n_Q_1)))/(0.00198717*298))</f>
        <v>1.1195603176607136</v>
      </c>
      <c r="O39">
        <f>Paq_Q_2* EXP(-1*(dE0_Q_2/ (1 + ((13/(-1*zMid_Q_2)) ^n_Q_2)))/(0.00198717*298))</f>
        <v>1.0718676033501975</v>
      </c>
    </row>
    <row r="40" spans="7:15" x14ac:dyDescent="0.25">
      <c r="M40">
        <v>14</v>
      </c>
      <c r="N40">
        <f>Paq_Q_1* EXP(-1*(dE0_Q_1/ (1 + ((14/zMid_Q_1) ^n_Q_1)))/(0.00198717*298))</f>
        <v>1.1199593012013285</v>
      </c>
      <c r="O40">
        <f>Paq_Q_2* EXP(-1*(dE0_Q_2/ (1 + ((14/(-1*zMid_Q_2)) ^n_Q_2)))/(0.00198717*298))</f>
        <v>1.1106274437737298</v>
      </c>
    </row>
    <row r="41" spans="7:15" x14ac:dyDescent="0.25">
      <c r="M41">
        <v>15</v>
      </c>
      <c r="N41">
        <f>Paq_Q_1* EXP(-1*(dE0_Q_1/ (1 + ((15/zMid_Q_1) ^n_Q_1)))/(0.00198717*298))</f>
        <v>1.1200309910832624</v>
      </c>
      <c r="O41">
        <f>Paq_Q_2* EXP(-1*(dE0_Q_2/ (1 + ((15/(-1*zMid_Q_2)) ^n_Q_2)))/(0.00198717*298))</f>
        <v>1.1483890068623244</v>
      </c>
    </row>
    <row r="42" spans="7:15" x14ac:dyDescent="0.25">
      <c r="M42">
        <v>16</v>
      </c>
      <c r="N42">
        <f>Paq_Q_1* EXP(-1*(dE0_Q_1/ (1 + ((16/zMid_Q_1) ^n_Q_1)))/(0.00198717*298))</f>
        <v>1.1200454518120972</v>
      </c>
      <c r="O42">
        <f>Paq_Q_2* EXP(-1*(dE0_Q_2/ (1 + ((16/(-1*zMid_Q_2)) ^n_Q_2)))/(0.00198717*298))</f>
        <v>1.1849271000902009</v>
      </c>
    </row>
    <row r="43" spans="7:15" x14ac:dyDescent="0.25">
      <c r="M43">
        <v>17</v>
      </c>
      <c r="N43">
        <f>Paq_Q_1* EXP(-1*(dE0_Q_1/ (1 + ((17/zMid_Q_1) ^n_Q_1)))/(0.00198717*298))</f>
        <v>1.1200486804308811</v>
      </c>
      <c r="O43">
        <f>Paq_Q_2* EXP(-1*(dE0_Q_2/ (1 + ((17/(-1*zMid_Q_2)) ^n_Q_2)))/(0.00198717*298))</f>
        <v>1.2200793753339074</v>
      </c>
    </row>
    <row r="44" spans="7:15" x14ac:dyDescent="0.25">
      <c r="M44">
        <v>18</v>
      </c>
      <c r="N44">
        <f>Paq_Q_1* EXP(-1*(dE0_Q_1/ (1 + ((18/zMid_Q_1) ^n_Q_1)))/(0.00198717*298))</f>
        <v>1.1200494687288003</v>
      </c>
      <c r="O44">
        <f>Paq_Q_2* EXP(-1*(dE0_Q_2/ (1 + ((18/(-1*zMid_Q_2)) ^n_Q_2)))/(0.00198717*298))</f>
        <v>1.2537373624145103</v>
      </c>
    </row>
    <row r="45" spans="7:15" x14ac:dyDescent="0.25">
      <c r="M45">
        <v>19</v>
      </c>
      <c r="N45">
        <f>Paq_Q_1* EXP(-1*(dE0_Q_1/ (1 + ((19/zMid_Q_1) ^n_Q_1)))/(0.00198717*298))</f>
        <v>1.1200496770923505</v>
      </c>
      <c r="O45">
        <f>Paq_Q_2* EXP(-1*(dE0_Q_2/ (1 + ((19/(-1*zMid_Q_2)) ^n_Q_2)))/(0.00198717*298))</f>
        <v>1.2858375082830218</v>
      </c>
    </row>
    <row r="46" spans="7:15" x14ac:dyDescent="0.25">
      <c r="M46">
        <v>20</v>
      </c>
      <c r="N46">
        <f>Paq_Q_1* EXP(-1*(dE0_Q_1/ (1 + ((20/zMid_Q_1) ^n_Q_1)))/(0.00198717*298))</f>
        <v>1.1200497362107877</v>
      </c>
      <c r="O46">
        <f>Paq_Q_2* EXP(-1*(dE0_Q_2/ (1 + ((20/(-1*zMid_Q_2)) ^n_Q_2)))/(0.00198717*298))</f>
        <v>1.3163527390844414</v>
      </c>
    </row>
    <row r="47" spans="7:15" x14ac:dyDescent="0.25">
      <c r="M47">
        <v>21</v>
      </c>
      <c r="N47">
        <f>Paq_Q_1* EXP(-1*(dE0_Q_1/ (1 + ((21/zMid_Q_1) ^n_Q_1)))/(0.00198717*298))</f>
        <v>1.1200497540867331</v>
      </c>
      <c r="O47">
        <f>Paq_Q_2* EXP(-1*(dE0_Q_2/ (1 + ((21/(-1*zMid_Q_2)) ^n_Q_2)))/(0.00198717*298))</f>
        <v>1.3452848515276137</v>
      </c>
    </row>
    <row r="48" spans="7:15" x14ac:dyDescent="0.25">
      <c r="M48">
        <v>22</v>
      </c>
      <c r="N48">
        <f>Paq_Q_1* EXP(-1*(dE0_Q_1/ (1 + ((22/zMid_Q_1) ^n_Q_1)))/(0.00198717*298))</f>
        <v>1.1200497598119179</v>
      </c>
      <c r="O48">
        <f>Paq_Q_2* EXP(-1*(dE0_Q_2/ (1 + ((22/(-1*zMid_Q_2)) ^n_Q_2)))/(0.00198717*298))</f>
        <v>1.3726578782331802</v>
      </c>
    </row>
    <row r="49" spans="13:15" x14ac:dyDescent="0.25">
      <c r="M49">
        <v>23</v>
      </c>
      <c r="N49">
        <f>Paq_Q_1* EXP(-1*(dE0_Q_1/ (1 + ((23/zMid_Q_1) ^n_Q_1)))/(0.00198717*298))</f>
        <v>1.1200497617438157</v>
      </c>
      <c r="O49">
        <f>Paq_Q_2* EXP(-1*(dE0_Q_2/ (1 + ((23/(-1*zMid_Q_2)) ^n_Q_2)))/(0.00198717*298))</f>
        <v>1.3985124574809318</v>
      </c>
    </row>
    <row r="50" spans="13:15" x14ac:dyDescent="0.25">
      <c r="M50">
        <v>24</v>
      </c>
      <c r="N50">
        <f>Paq_Q_1* EXP(-1*(dE0_Q_1/ (1 + ((24/zMid_Q_1) ^n_Q_1)))/(0.00198717*298))</f>
        <v>1.1200497624275032</v>
      </c>
      <c r="O50">
        <f>Paq_Q_2* EXP(-1*(dE0_Q_2/ (1 + ((24/(-1*zMid_Q_2)) ^n_Q_2)))/(0.00198717*298))</f>
        <v>1.4229011638156226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50"/>
  <sheetViews>
    <sheetView topLeftCell="A37" workbookViewId="0"/>
  </sheetViews>
  <sheetFormatPr defaultRowHeight="15" x14ac:dyDescent="0.25"/>
  <cols>
    <col min="1" max="1" width="6" bestFit="1" customWidth="1"/>
    <col min="2" max="2" width="12" bestFit="1" customWidth="1"/>
    <col min="4" max="4" width="10.42578125" bestFit="1" customWidth="1"/>
    <col min="5" max="6" width="12" bestFit="1" customWidth="1"/>
    <col min="7" max="7" width="16.140625" bestFit="1" customWidth="1"/>
    <col min="8" max="11" width="12" bestFit="1" customWidth="1"/>
    <col min="13" max="13" width="3.7109375" bestFit="1" customWidth="1"/>
    <col min="14" max="15" width="12" bestFit="1" customWidth="1"/>
  </cols>
  <sheetData>
    <row r="1" spans="1:15" ht="18" x14ac:dyDescent="0.35">
      <c r="A1" s="1" t="s">
        <v>0</v>
      </c>
      <c r="B1">
        <v>4425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M1" s="1" t="s">
        <v>21</v>
      </c>
      <c r="N1" s="1" t="s">
        <v>22</v>
      </c>
      <c r="O1" s="1" t="s">
        <v>23</v>
      </c>
    </row>
    <row r="2" spans="1:15" ht="18" x14ac:dyDescent="0.35">
      <c r="A2" s="1" t="s">
        <v>1</v>
      </c>
      <c r="B2">
        <v>209.07299356768274</v>
      </c>
      <c r="D2" s="4">
        <v>-22.5</v>
      </c>
      <c r="E2">
        <v>1.9473965005487679</v>
      </c>
      <c r="F2">
        <v>37.146305786227806</v>
      </c>
      <c r="G2">
        <v>1.1095999999999999</v>
      </c>
      <c r="H2">
        <f>Paq_R_1* EXP(-1*(dE0_R_1/ (1 + ((22.5/zMid_R_1) ^n_R_1)))/(0.00198717*298))</f>
        <v>1.240091039572657</v>
      </c>
      <c r="I2">
        <f t="shared" ref="I2:I32" si="0">IF(ISERROR((LOG(H2)-LOG(G2))^2),0,(LOG(H2)-LOG(G2))^2)</f>
        <v>2.331646092863072E-3</v>
      </c>
      <c r="J2">
        <f>Paq_R_2* EXP(-1*(dE0_R_2/ (1 + ((22.5/(-1*zMid_R_2)) ^n_R_2)))/(0.00198717*298))</f>
        <v>1.0006822336132664</v>
      </c>
      <c r="K2">
        <f t="shared" ref="K2:K32" si="1">IF(ISERROR((LOG(J2)-LOG(G2))^2),0,(LOG(J2)-LOG(G2))^2)</f>
        <v>2.0133401243546396E-3</v>
      </c>
      <c r="M2">
        <v>-24</v>
      </c>
      <c r="N2">
        <f>Paq_R_1* EXP(-1*(dE0_R_1/ (1 + ((24/zMid_R_1) ^n_R_1)))/(0.00198717*298))</f>
        <v>1.2400925238191147</v>
      </c>
      <c r="O2">
        <f>Paq_R_2* EXP(-1*(dE0_R_2/ (1 + ((24/(-1*zMid_R_2)) ^n_R_2)))/(0.00198717*298))</f>
        <v>1.000682233613424</v>
      </c>
    </row>
    <row r="3" spans="1:15" x14ac:dyDescent="0.25">
      <c r="D3" s="5">
        <v>-21</v>
      </c>
      <c r="E3">
        <v>2.6118356706012325</v>
      </c>
      <c r="F3">
        <v>53.383067205069459</v>
      </c>
      <c r="G3">
        <v>1.0355000000000001</v>
      </c>
      <c r="H3">
        <f>Paq_R_1* EXP(-1*(dE0_R_1/ (1 + ((21/zMid_R_1) ^n_R_1)))/(0.00198717*298))</f>
        <v>1.2400860427208873</v>
      </c>
      <c r="I3">
        <f t="shared" si="0"/>
        <v>6.1311587713720143E-3</v>
      </c>
      <c r="J3">
        <f>Paq_R_2* EXP(-1*(dE0_R_2/ (1 + ((21/(-1*zMid_R_2)) ^n_R_2)))/(0.00198717*298))</f>
        <v>1.0006822336119914</v>
      </c>
      <c r="K3">
        <f t="shared" si="1"/>
        <v>2.2063875993309895E-4</v>
      </c>
      <c r="M3">
        <v>-23</v>
      </c>
      <c r="N3">
        <f>Paq_R_1* EXP(-1*(dE0_R_1/ (1 + ((23/zMid_R_1) ^n_R_1)))/(0.00198717*298))</f>
        <v>1.2400917350627414</v>
      </c>
      <c r="O3">
        <f>Paq_R_2* EXP(-1*(dE0_R_2/ (1 + ((23/(-1*zMid_R_2)) ^n_R_2)))/(0.00198717*298))</f>
        <v>1.0006822336133554</v>
      </c>
    </row>
    <row r="4" spans="1:15" ht="18" x14ac:dyDescent="0.35">
      <c r="A4" s="2" t="s">
        <v>2</v>
      </c>
      <c r="B4">
        <v>1.2400932621130873</v>
      </c>
      <c r="D4" s="6">
        <v>-19.5</v>
      </c>
      <c r="E4">
        <v>4.7577654282850093</v>
      </c>
      <c r="F4">
        <v>104.67349192897072</v>
      </c>
      <c r="G4">
        <v>0.96199999999999997</v>
      </c>
      <c r="H4">
        <f>Paq_R_1* EXP(-1*(dE0_R_1/ (1 + ((19.5/zMid_R_1) ^n_R_1)))/(0.00198717*298))</f>
        <v>1.2400676719160884</v>
      </c>
      <c r="I4">
        <f t="shared" si="0"/>
        <v>1.21595420877819E-2</v>
      </c>
      <c r="J4">
        <f>Paq_R_2* EXP(-1*(dE0_R_2/ (1 + ((19.5/(-1*zMid_R_2)) ^n_R_2)))/(0.00198717*298))</f>
        <v>1.0006822335999703</v>
      </c>
      <c r="K4">
        <f t="shared" si="1"/>
        <v>2.9313265507922392E-4</v>
      </c>
      <c r="M4">
        <v>-22</v>
      </c>
      <c r="N4">
        <f>Paq_R_1* EXP(-1*(dE0_R_1/ (1 + ((22/zMid_R_1) ^n_R_1)))/(0.00198717*298))</f>
        <v>1.2400899999262125</v>
      </c>
      <c r="O4">
        <f>Paq_R_2* EXP(-1*(dE0_R_2/ (1 + ((22/(-1*zMid_R_2)) ^n_R_2)))/(0.00198717*298))</f>
        <v>1.0006822336130892</v>
      </c>
    </row>
    <row r="5" spans="1:15" ht="18" x14ac:dyDescent="0.35">
      <c r="A5" s="2" t="s">
        <v>3</v>
      </c>
      <c r="B5">
        <v>0.29094037131512929</v>
      </c>
      <c r="D5" s="7">
        <v>-18</v>
      </c>
      <c r="E5">
        <v>8.0807543498241632</v>
      </c>
      <c r="F5">
        <v>171.11905245556184</v>
      </c>
      <c r="G5">
        <v>0.99950000000000006</v>
      </c>
      <c r="H5">
        <f>Paq_R_1* EXP(-1*(dE0_R_1/ (1 + ((18/zMid_R_1) ^n_R_1)))/(0.00198717*298))</f>
        <v>1.2399928909649032</v>
      </c>
      <c r="I5">
        <f t="shared" si="0"/>
        <v>8.767774815122982E-3</v>
      </c>
      <c r="J5">
        <f>Paq_R_2* EXP(-1*(dE0_R_2/ (1 + ((18/(-1*zMid_R_2)) ^n_R_2)))/(0.00198717*298))</f>
        <v>1.0006822334646635</v>
      </c>
      <c r="K5">
        <f t="shared" si="1"/>
        <v>2.6357006354884356E-7</v>
      </c>
      <c r="M5">
        <v>-21</v>
      </c>
      <c r="N5">
        <f>Paq_R_1* EXP(-1*(dE0_R_1/ (1 + ((21/zMid_R_1) ^n_R_1)))/(0.00198717*298))</f>
        <v>1.2400860427208873</v>
      </c>
      <c r="O5">
        <f>Paq_R_2* EXP(-1*(dE0_R_2/ (1 + ((21/(-1*zMid_R_2)) ^n_R_2)))/(0.00198717*298))</f>
        <v>1.0006822336119914</v>
      </c>
    </row>
    <row r="6" spans="1:15" ht="18" x14ac:dyDescent="0.35">
      <c r="A6" s="2" t="s">
        <v>4</v>
      </c>
      <c r="B6">
        <v>10.80758327384282</v>
      </c>
      <c r="D6" s="8">
        <v>-16.5</v>
      </c>
      <c r="E6">
        <v>10.547581488332259</v>
      </c>
      <c r="F6">
        <v>239.24085021505925</v>
      </c>
      <c r="G6">
        <v>0.93310000000000004</v>
      </c>
      <c r="H6">
        <f>Paq_R_1* EXP(-1*(dE0_R_1/ (1 + ((16.5/zMid_R_1) ^n_R_1)))/(0.00198717*298))</f>
        <v>1.2396500760648397</v>
      </c>
      <c r="I6">
        <f t="shared" si="0"/>
        <v>1.5220384385066192E-2</v>
      </c>
      <c r="J6">
        <f>Paq_R_2* EXP(-1*(dE0_R_2/ (1 + ((16.5/(-1*zMid_R_2)) ^n_R_2)))/(0.00198717*298))</f>
        <v>1.0006822315893942</v>
      </c>
      <c r="K6">
        <f t="shared" si="1"/>
        <v>9.2221536104613992E-4</v>
      </c>
      <c r="M6">
        <v>-20</v>
      </c>
      <c r="N6">
        <f>Paq_R_1* EXP(-1*(dE0_R_1/ (1 + ((20/zMid_R_1) ^n_R_1)))/(0.00198717*298))</f>
        <v>1.2400766538898123</v>
      </c>
      <c r="O6">
        <f>Paq_R_2* EXP(-1*(dE0_R_2/ (1 + ((20/(-1*zMid_R_2)) ^n_R_2)))/(0.00198717*298))</f>
        <v>1.0006822336071435</v>
      </c>
    </row>
    <row r="7" spans="1:15" x14ac:dyDescent="0.25">
      <c r="A7" s="2" t="s">
        <v>5</v>
      </c>
      <c r="B7">
        <v>17.076113483715098</v>
      </c>
      <c r="D7" s="9">
        <v>-15</v>
      </c>
      <c r="E7">
        <v>12.374662083050339</v>
      </c>
      <c r="F7">
        <v>301.1099037843893</v>
      </c>
      <c r="G7">
        <v>0.86980000000000002</v>
      </c>
      <c r="H7">
        <f>Paq_R_1* EXP(-1*(dE0_R_1/ (1 + ((15/zMid_R_1) ^n_R_1)))/(0.00198717*298))</f>
        <v>1.2378452162973985</v>
      </c>
      <c r="I7">
        <f t="shared" si="0"/>
        <v>2.3484624413054524E-2</v>
      </c>
      <c r="J7">
        <f>Paq_R_2* EXP(-1*(dE0_R_2/ (1 + ((15/(-1*zMid_R_2)) ^n_R_2)))/(0.00198717*298))</f>
        <v>1.000682198294879</v>
      </c>
      <c r="K7">
        <f t="shared" si="1"/>
        <v>3.705981200208906E-3</v>
      </c>
      <c r="M7">
        <v>-19</v>
      </c>
      <c r="N7">
        <f>Paq_R_1* EXP(-1*(dE0_R_1/ (1 + ((19/zMid_R_1) ^n_R_1)))/(0.00198717*298))</f>
        <v>1.2400533874745852</v>
      </c>
      <c r="O7">
        <f>Paq_R_2* EXP(-1*(dE0_R_2/ (1 + ((19/(-1*zMid_R_2)) ^n_R_2)))/(0.00198717*298))</f>
        <v>1.0006822335840651</v>
      </c>
    </row>
    <row r="8" spans="1:15" x14ac:dyDescent="0.25">
      <c r="D8" s="10">
        <v>-13.5</v>
      </c>
      <c r="E8">
        <v>15.215605527275246</v>
      </c>
      <c r="F8">
        <v>325.144691447757</v>
      </c>
      <c r="G8">
        <v>0.99039999999999995</v>
      </c>
      <c r="H8">
        <f>Paq_R_1* EXP(-1*(dE0_R_1/ (1 + ((13.5/zMid_R_1) ^n_R_1)))/(0.00198717*298))</f>
        <v>1.226812992189511</v>
      </c>
      <c r="I8">
        <f t="shared" si="0"/>
        <v>8.6429997365748117E-3</v>
      </c>
      <c r="J8">
        <f>Paq_R_2* EXP(-1*(dE0_R_2/ (1 + ((13.5/(-1*zMid_R_2)) ^n_R_2)))/(0.00198717*298))</f>
        <v>1.0006814004573037</v>
      </c>
      <c r="K8">
        <f t="shared" si="1"/>
        <v>2.011698320698375E-5</v>
      </c>
      <c r="M8">
        <v>-18</v>
      </c>
      <c r="N8">
        <f>Paq_R_1* EXP(-1*(dE0_R_1/ (1 + ((18/zMid_R_1) ^n_R_1)))/(0.00198717*298))</f>
        <v>1.2399928909649032</v>
      </c>
      <c r="O8">
        <f>Paq_R_2* EXP(-1*(dE0_R_2/ (1 + ((18/(-1*zMid_R_2)) ^n_R_2)))/(0.00198717*298))</f>
        <v>1.0006822334646635</v>
      </c>
    </row>
    <row r="9" spans="1:15" ht="18" x14ac:dyDescent="0.35">
      <c r="A9" s="3" t="s">
        <v>6</v>
      </c>
      <c r="B9">
        <v>1.0006822336134507</v>
      </c>
      <c r="D9" s="11">
        <v>-12</v>
      </c>
      <c r="E9">
        <v>17.379503597535468</v>
      </c>
      <c r="F9">
        <v>335.09215104301728</v>
      </c>
      <c r="G9">
        <v>1.0976999999999999</v>
      </c>
      <c r="H9">
        <f>Paq_R_1* EXP(-1*(dE0_R_1/ (1 + ((12/zMid_R_1) ^n_R_1)))/(0.00198717*298))</f>
        <v>1.1557192658694502</v>
      </c>
      <c r="I9">
        <f t="shared" si="0"/>
        <v>5.0035824002452023E-4</v>
      </c>
      <c r="J9">
        <f>Paq_R_2* EXP(-1*(dE0_R_2/ (1 + ((12/(-1*zMid_R_2)) ^n_R_2)))/(0.00198717*298))</f>
        <v>1.0006537068846959</v>
      </c>
      <c r="K9">
        <f t="shared" si="1"/>
        <v>1.616028395660404E-3</v>
      </c>
      <c r="M9">
        <v>-17</v>
      </c>
      <c r="N9">
        <f>Paq_R_1* EXP(-1*(dE0_R_1/ (1 + ((17/zMid_R_1) ^n_R_1)))/(0.00198717*298))</f>
        <v>1.2398269739590333</v>
      </c>
      <c r="O9">
        <f>Paq_R_2* EXP(-1*(dE0_R_2/ (1 + ((17/(-1*zMid_R_2)) ^n_R_2)))/(0.00198717*298))</f>
        <v>1.0006822327868927</v>
      </c>
    </row>
    <row r="10" spans="1:15" ht="18" x14ac:dyDescent="0.35">
      <c r="A10" s="3" t="s">
        <v>7</v>
      </c>
      <c r="B10">
        <v>0.16142402522362562</v>
      </c>
      <c r="D10" s="12">
        <v>-10.5</v>
      </c>
      <c r="E10">
        <v>16.066543417242592</v>
      </c>
      <c r="F10">
        <v>329.71261028763035</v>
      </c>
      <c r="G10">
        <v>1.0313000000000001</v>
      </c>
      <c r="H10">
        <f>Paq_R_1* EXP(-1*(dE0_R_1/ (1 + ((10.5/zMid_R_1) ^n_R_1)))/(0.00198717*298))</f>
        <v>0.91408930524818977</v>
      </c>
      <c r="I10">
        <f t="shared" si="0"/>
        <v>2.7453816828155943E-3</v>
      </c>
      <c r="J10">
        <f>Paq_R_2* EXP(-1*(dE0_R_2/ (1 + ((10.5/(-1*zMid_R_2)) ^n_R_2)))/(0.00198717*298))</f>
        <v>0.99912542115180047</v>
      </c>
      <c r="K10">
        <f t="shared" si="1"/>
        <v>1.8947546472323452E-4</v>
      </c>
      <c r="M10">
        <v>-16</v>
      </c>
      <c r="N10">
        <f>Paq_R_1* EXP(-1*(dE0_R_1/ (1 + ((16/zMid_R_1) ^n_R_1)))/(0.00198717*298))</f>
        <v>1.2393441985551812</v>
      </c>
      <c r="O10">
        <f>Paq_R_2* EXP(-1*(dE0_R_2/ (1 + ((16/(-1*zMid_R_2)) ^n_R_2)))/(0.00198717*298))</f>
        <v>1.0006822285184824</v>
      </c>
    </row>
    <row r="11" spans="1:15" ht="18" x14ac:dyDescent="0.35">
      <c r="A11" s="3" t="s">
        <v>8</v>
      </c>
      <c r="B11">
        <v>-8.840922759999577</v>
      </c>
      <c r="D11" s="13">
        <v>-9</v>
      </c>
      <c r="E11">
        <v>12.150465649965074</v>
      </c>
      <c r="F11">
        <v>284.46716551243782</v>
      </c>
      <c r="G11">
        <v>0.90400000000000003</v>
      </c>
      <c r="H11">
        <f>Paq_R_1* EXP(-1*(dE0_R_1/ (1 + ((9/zMid_R_1) ^n_R_1)))/(0.00198717*298))</f>
        <v>0.77456889312223687</v>
      </c>
      <c r="I11">
        <f t="shared" si="0"/>
        <v>4.5035345116842445E-3</v>
      </c>
      <c r="J11">
        <f>Paq_R_2* EXP(-1*(dE0_R_2/ (1 + ((9/(-1*zMid_R_2)) ^n_R_2)))/(0.00198717*298))</f>
        <v>0.90483637294725905</v>
      </c>
      <c r="K11">
        <f t="shared" si="1"/>
        <v>1.6129840205005093E-7</v>
      </c>
      <c r="M11">
        <v>-15</v>
      </c>
      <c r="N11">
        <f>Paq_R_1* EXP(-1*(dE0_R_1/ (1 + ((15/zMid_R_1) ^n_R_1)))/(0.00198717*298))</f>
        <v>1.2378452162973985</v>
      </c>
      <c r="O11">
        <f>Paq_R_2* EXP(-1*(dE0_R_2/ (1 + ((15/(-1*zMid_R_2)) ^n_R_2)))/(0.00198717*298))</f>
        <v>1.000682198294879</v>
      </c>
    </row>
    <row r="12" spans="1:15" x14ac:dyDescent="0.25">
      <c r="A12" s="3" t="s">
        <v>9</v>
      </c>
      <c r="B12">
        <v>30</v>
      </c>
      <c r="D12" s="14">
        <v>-7.5</v>
      </c>
      <c r="E12">
        <v>8.434448472645478</v>
      </c>
      <c r="F12">
        <v>233.0137027127592</v>
      </c>
      <c r="G12">
        <v>0.7661</v>
      </c>
      <c r="H12">
        <f>Paq_R_1* EXP(-1*(dE0_R_1/ (1 + ((7.5/zMid_R_1) ^n_R_1)))/(0.00198717*298))</f>
        <v>0.75944851296262872</v>
      </c>
      <c r="I12">
        <f t="shared" si="0"/>
        <v>1.4342325355985606E-5</v>
      </c>
      <c r="J12">
        <f>Paq_R_2* EXP(-1*(dE0_R_2/ (1 + ((7.5/(-1*zMid_R_2)) ^n_R_2)))/(0.00198717*298))</f>
        <v>0.76340575214052731</v>
      </c>
      <c r="K12">
        <f t="shared" si="1"/>
        <v>2.3410051875962358E-6</v>
      </c>
      <c r="M12">
        <v>-14</v>
      </c>
      <c r="N12">
        <f>Paq_R_1* EXP(-1*(dE0_R_1/ (1 + ((14/zMid_R_1) ^n_R_1)))/(0.00198717*298))</f>
        <v>1.2328656525920845</v>
      </c>
      <c r="O12">
        <f>Paq_R_2* EXP(-1*(dE0_R_2/ (1 + ((14/(-1*zMid_R_2)) ^n_R_2)))/(0.00198717*298))</f>
        <v>1.0006819537801543</v>
      </c>
    </row>
    <row r="13" spans="1:15" x14ac:dyDescent="0.25">
      <c r="D13" s="15">
        <v>-6</v>
      </c>
      <c r="E13">
        <v>8.924536920595413</v>
      </c>
      <c r="F13">
        <v>229.72199232624777</v>
      </c>
      <c r="G13">
        <v>0.82220000000000004</v>
      </c>
      <c r="H13">
        <f>Paq_R_1* EXP(-1*(dE0_R_1/ (1 + ((6/zMid_R_1) ^n_R_1)))/(0.00198717*298))</f>
        <v>0.75873789229726307</v>
      </c>
      <c r="I13">
        <f t="shared" si="0"/>
        <v>1.2170119697171122E-3</v>
      </c>
      <c r="J13">
        <f>Paq_R_2* EXP(-1*(dE0_R_2/ (1 + ((6/(-1*zMid_R_2)) ^n_R_2)))/(0.00198717*298))</f>
        <v>0.76192287333527209</v>
      </c>
      <c r="K13">
        <f t="shared" si="1"/>
        <v>1.0933908378545287E-3</v>
      </c>
      <c r="M13">
        <v>-13</v>
      </c>
      <c r="N13">
        <f>Paq_R_1* EXP(-1*(dE0_R_1/ (1 + ((13/zMid_R_1) ^n_R_1)))/(0.00198717*298))</f>
        <v>1.2154022434740479</v>
      </c>
      <c r="O13">
        <f>Paq_R_2* EXP(-1*(dE0_R_2/ (1 + ((13/(-1*zMid_R_2)) ^n_R_2)))/(0.00198717*298))</f>
        <v>1.0006796487612268</v>
      </c>
    </row>
    <row r="14" spans="1:15" x14ac:dyDescent="0.25">
      <c r="D14" s="16">
        <v>-4.5</v>
      </c>
      <c r="E14">
        <v>8.8330869148963203</v>
      </c>
      <c r="F14">
        <v>238.06457551464311</v>
      </c>
      <c r="G14">
        <v>0.7853</v>
      </c>
      <c r="H14">
        <f>Paq_R_1* EXP(-1*(dE0_R_1/ (1 + ((4.5/zMid_R_1) ^n_R_1)))/(0.00198717*298))</f>
        <v>0.75872189864459016</v>
      </c>
      <c r="I14">
        <f t="shared" si="0"/>
        <v>2.2359156194027072E-4</v>
      </c>
      <c r="J14">
        <f>Paq_R_2* EXP(-1*(dE0_R_2/ (1 + ((4.5/(-1*zMid_R_2)) ^n_R_2)))/(0.00198717*298))</f>
        <v>0.76192102425586827</v>
      </c>
      <c r="K14">
        <f t="shared" si="1"/>
        <v>1.7228242283629723E-4</v>
      </c>
      <c r="M14">
        <v>-12</v>
      </c>
      <c r="N14">
        <f>Paq_R_1* EXP(-1*(dE0_R_1/ (1 + ((12/zMid_R_1) ^n_R_1)))/(0.00198717*298))</f>
        <v>1.1557192658694502</v>
      </c>
      <c r="O14">
        <f>Paq_R_2* EXP(-1*(dE0_R_2/ (1 + ((12/(-1*zMid_R_2)) ^n_R_2)))/(0.00198717*298))</f>
        <v>1.0006537068846959</v>
      </c>
    </row>
    <row r="15" spans="1:15" x14ac:dyDescent="0.25">
      <c r="D15" s="17">
        <v>-3</v>
      </c>
      <c r="E15">
        <v>6.6205709046885985</v>
      </c>
      <c r="F15">
        <v>209.69845561618712</v>
      </c>
      <c r="G15">
        <v>0.66820000000000002</v>
      </c>
      <c r="H15">
        <f>Paq_R_1* EXP(-1*(dE0_R_1/ (1 + ((3/zMid_R_1) ^n_R_1)))/(0.00198717*298))</f>
        <v>0.75872178026636228</v>
      </c>
      <c r="I15">
        <f t="shared" si="0"/>
        <v>3.044399807107529E-3</v>
      </c>
      <c r="J15">
        <f>Paq_R_2* EXP(-1*(dE0_R_2/ (1 + ((3/(-1*zMid_R_2)) ^n_R_2)))/(0.00198717*298))</f>
        <v>0.76192102392559602</v>
      </c>
      <c r="K15">
        <f t="shared" si="1"/>
        <v>3.249397422990445E-3</v>
      </c>
      <c r="M15">
        <v>-11</v>
      </c>
      <c r="N15">
        <f>Paq_R_1* EXP(-1*(dE0_R_1/ (1 + ((11/zMid_R_1) ^n_R_1)))/(0.00198717*298))</f>
        <v>1.0062886852481894</v>
      </c>
      <c r="O15">
        <f>Paq_R_2* EXP(-1*(dE0_R_2/ (1 + ((11/(-1*zMid_R_2)) ^n_R_2)))/(0.00198717*298))</f>
        <v>1.0002947451008899</v>
      </c>
    </row>
    <row r="16" spans="1:15" x14ac:dyDescent="0.25">
      <c r="D16" s="18">
        <v>-1.5</v>
      </c>
      <c r="E16">
        <v>6.7093709349804227</v>
      </c>
      <c r="F16">
        <v>193.12505159558162</v>
      </c>
      <c r="G16">
        <v>0.73529999999999995</v>
      </c>
      <c r="H16">
        <f>Paq_R_1* EXP(-1*(dE0_R_1/ (1 + ((1.5/zMid_R_1) ^n_R_1)))/(0.00198717*298))</f>
        <v>0.75872178014975067</v>
      </c>
      <c r="I16">
        <f t="shared" si="0"/>
        <v>1.8544952336616133E-4</v>
      </c>
      <c r="J16">
        <f>Paq_R_2* EXP(-1*(dE0_R_2/ (1 + ((1.5/(-1*zMid_R_2)) ^n_R_2)))/(0.00198717*298))</f>
        <v>0.76192102392559435</v>
      </c>
      <c r="K16">
        <f t="shared" si="1"/>
        <v>2.3856011520116495E-4</v>
      </c>
      <c r="M16">
        <v>-10</v>
      </c>
      <c r="N16">
        <f>Paq_R_1* EXP(-1*(dE0_R_1/ (1 + ((10/zMid_R_1) ^n_R_1)))/(0.00198717*298))</f>
        <v>0.84109719939329752</v>
      </c>
      <c r="O16">
        <f>Paq_R_2* EXP(-1*(dE0_R_2/ (1 + ((10/(-1*zMid_R_2)) ^n_R_2)))/(0.00198717*298))</f>
        <v>0.9940956970145437</v>
      </c>
    </row>
    <row r="17" spans="4:15" x14ac:dyDescent="0.25">
      <c r="D17" s="19">
        <v>0</v>
      </c>
      <c r="E17">
        <v>7.5204735946806078</v>
      </c>
      <c r="F17">
        <v>197.31337553026106</v>
      </c>
      <c r="G17">
        <v>0.80669999999999997</v>
      </c>
      <c r="H17">
        <f>Paq_R_1* EXP(-1*(dE0_R_1/ (1 + ((0/zMid_R_1) ^n_R_1)))/(0.00198717*298))</f>
        <v>0.75872178014974978</v>
      </c>
      <c r="I17">
        <f t="shared" si="0"/>
        <v>7.09130572811676E-4</v>
      </c>
      <c r="J17">
        <f>Paq_R_2* EXP(-1*(dE0_R_2/ (1 + ((0/(-1*zMid_R_2)) ^n_R_2)))/(0.00198717*298))</f>
        <v>0.76192102392559435</v>
      </c>
      <c r="K17">
        <f t="shared" si="1"/>
        <v>6.1514414361946677E-4</v>
      </c>
      <c r="M17">
        <v>-9</v>
      </c>
      <c r="N17">
        <f>Paq_R_1* EXP(-1*(dE0_R_1/ (1 + ((9/zMid_R_1) ^n_R_1)))/(0.00198717*298))</f>
        <v>0.77456889312223687</v>
      </c>
      <c r="O17">
        <f>Paq_R_2* EXP(-1*(dE0_R_2/ (1 + ((9/(-1*zMid_R_2)) ^n_R_2)))/(0.00198717*298))</f>
        <v>0.90483637294725905</v>
      </c>
    </row>
    <row r="18" spans="4:15" x14ac:dyDescent="0.25">
      <c r="D18" s="20">
        <v>1.5</v>
      </c>
      <c r="E18">
        <v>8.6154574895104226</v>
      </c>
      <c r="F18">
        <v>211.87289009819162</v>
      </c>
      <c r="G18">
        <v>0.86060000000000003</v>
      </c>
      <c r="H18">
        <f>Paq_R_1* EXP(-1*(dE0_R_1/ (1 + ((1.5/zMid_R_1) ^n_R_1)))/(0.00198717*298))</f>
        <v>0.75872178014975067</v>
      </c>
      <c r="I18">
        <f t="shared" si="0"/>
        <v>2.9941460320888858E-3</v>
      </c>
      <c r="J18">
        <f>Paq_R_2* EXP(-1*(dE0_R_2/ (1 + ((1.5/(-1*zMid_R_2)) ^n_R_2)))/(0.00198717*298))</f>
        <v>0.76192102392559435</v>
      </c>
      <c r="K18">
        <f t="shared" si="1"/>
        <v>2.7974985421030277E-3</v>
      </c>
      <c r="M18">
        <v>-8</v>
      </c>
      <c r="N18">
        <f>Paq_R_1* EXP(-1*(dE0_R_1/ (1 + ((8/zMid_R_1) ^n_R_1)))/(0.00198717*298))</f>
        <v>0.76090307331433116</v>
      </c>
      <c r="O18">
        <f>Paq_R_2* EXP(-1*(dE0_R_2/ (1 + ((8/(-1*zMid_R_2)) ^n_R_2)))/(0.00198717*298))</f>
        <v>0.77184945457542731</v>
      </c>
    </row>
    <row r="19" spans="4:15" x14ac:dyDescent="0.25">
      <c r="D19" s="21">
        <v>3</v>
      </c>
      <c r="E19">
        <v>8.3739155323228278</v>
      </c>
      <c r="F19">
        <v>212.60048258233337</v>
      </c>
      <c r="G19">
        <v>0.83360000000000001</v>
      </c>
      <c r="H19">
        <f>Paq_R_1* EXP(-1*(dE0_R_1/ (1 + ((3/zMid_R_1) ^n_R_1)))/(0.00198717*298))</f>
        <v>0.75872178026636228</v>
      </c>
      <c r="I19">
        <f t="shared" si="0"/>
        <v>1.6707782657553712E-3</v>
      </c>
      <c r="J19">
        <f>Paq_R_2* EXP(-1*(dE0_R_2/ (1 + ((3/(-1*zMid_R_2)) ^n_R_2)))/(0.00198717*298))</f>
        <v>0.76192102392559602</v>
      </c>
      <c r="K19">
        <f t="shared" si="1"/>
        <v>1.5247266702099189E-3</v>
      </c>
      <c r="M19">
        <v>-7</v>
      </c>
      <c r="N19">
        <f>Paq_R_1* EXP(-1*(dE0_R_1/ (1 + ((7/zMid_R_1) ^n_R_1)))/(0.00198717*298))</f>
        <v>0.75894573562969736</v>
      </c>
      <c r="O19">
        <f>Paq_R_2* EXP(-1*(dE0_R_2/ (1 + ((7/(-1*zMid_R_2)) ^n_R_2)))/(0.00198717*298))</f>
        <v>0.7621094321041274</v>
      </c>
    </row>
    <row r="20" spans="4:15" x14ac:dyDescent="0.25">
      <c r="D20" s="22">
        <v>4.5</v>
      </c>
      <c r="E20">
        <v>7.7201523165143078</v>
      </c>
      <c r="F20">
        <v>207.82615645104704</v>
      </c>
      <c r="G20">
        <v>0.78620000000000001</v>
      </c>
      <c r="H20">
        <f>Paq_R_1* EXP(-1*(dE0_R_1/ (1 + ((4.5/zMid_R_1) ^n_R_1)))/(0.00198717*298))</f>
        <v>0.75872189864459016</v>
      </c>
      <c r="I20">
        <f t="shared" si="0"/>
        <v>2.3871549039089135E-4</v>
      </c>
      <c r="J20">
        <f>Paq_R_2* EXP(-1*(dE0_R_2/ (1 + ((4.5/(-1*zMid_R_2)) ^n_R_2)))/(0.00198717*298))</f>
        <v>0.76192102425586827</v>
      </c>
      <c r="K20">
        <f t="shared" si="1"/>
        <v>1.8558836137290118E-4</v>
      </c>
      <c r="M20">
        <v>-6</v>
      </c>
      <c r="N20">
        <f>Paq_R_1* EXP(-1*(dE0_R_1/ (1 + ((6/zMid_R_1) ^n_R_1)))/(0.00198717*298))</f>
        <v>0.75873789229726307</v>
      </c>
      <c r="O20">
        <f>Paq_R_2* EXP(-1*(dE0_R_2/ (1 + ((6/(-1*zMid_R_2)) ^n_R_2)))/(0.00198717*298))</f>
        <v>0.76192287333527209</v>
      </c>
    </row>
    <row r="21" spans="4:15" x14ac:dyDescent="0.25">
      <c r="D21" s="23">
        <v>6</v>
      </c>
      <c r="E21">
        <v>7.2811889332136177</v>
      </c>
      <c r="F21">
        <v>218.70380004479716</v>
      </c>
      <c r="G21">
        <v>0.7046</v>
      </c>
      <c r="H21">
        <f>Paq_R_1* EXP(-1*(dE0_R_1/ (1 + ((6/zMid_R_1) ^n_R_1)))/(0.00198717*298))</f>
        <v>0.75873789229726307</v>
      </c>
      <c r="I21">
        <f t="shared" si="0"/>
        <v>1.0335668785117957E-3</v>
      </c>
      <c r="J21">
        <f>Paq_R_2* EXP(-1*(dE0_R_2/ (1 + ((6/(-1*zMid_R_2)) ^n_R_2)))/(0.00198717*298))</f>
        <v>0.76192287333527209</v>
      </c>
      <c r="K21">
        <f t="shared" si="1"/>
        <v>1.1538503423838809E-3</v>
      </c>
      <c r="M21">
        <v>-5</v>
      </c>
      <c r="N21">
        <f>Paq_R_1* EXP(-1*(dE0_R_1/ (1 + ((5/zMid_R_1) ^n_R_1)))/(0.00198717*298))</f>
        <v>0.75872249639048484</v>
      </c>
      <c r="O21">
        <f>Paq_R_2* EXP(-1*(dE0_R_2/ (1 + ((5/(-1*zMid_R_2)) ^n_R_2)))/(0.00198717*298))</f>
        <v>0.76192103171669945</v>
      </c>
    </row>
    <row r="22" spans="4:15" x14ac:dyDescent="0.25">
      <c r="D22" s="24">
        <v>7.5</v>
      </c>
      <c r="E22">
        <v>6.0850378773694782</v>
      </c>
      <c r="F22">
        <v>210.91142211418727</v>
      </c>
      <c r="G22">
        <v>0.61060000000000003</v>
      </c>
      <c r="H22">
        <f>Paq_R_1* EXP(-1*(dE0_R_1/ (1 + ((7.5/zMid_R_1) ^n_R_1)))/(0.00198717*298))</f>
        <v>0.75944851296262872</v>
      </c>
      <c r="I22">
        <f t="shared" si="0"/>
        <v>8.9759586646440404E-3</v>
      </c>
      <c r="J22">
        <f>Paq_R_2* EXP(-1*(dE0_R_2/ (1 + ((7.5/(-1*zMid_R_2)) ^n_R_2)))/(0.00198717*298))</f>
        <v>0.76340575214052731</v>
      </c>
      <c r="K22">
        <f t="shared" si="1"/>
        <v>9.4087338343454441E-3</v>
      </c>
      <c r="M22">
        <v>-4</v>
      </c>
      <c r="N22">
        <f>Paq_R_1* EXP(-1*(dE0_R_1/ (1 + ((4/zMid_R_1) ^n_R_1)))/(0.00198717*298))</f>
        <v>0.75872179600646594</v>
      </c>
      <c r="O22">
        <f>Paq_R_2* EXP(-1*(dE0_R_2/ (1 + ((4/(-1*zMid_R_2)) ^n_R_2)))/(0.00198717*298))</f>
        <v>0.76192102393523919</v>
      </c>
    </row>
    <row r="23" spans="4:15" x14ac:dyDescent="0.25">
      <c r="D23" s="25">
        <v>9</v>
      </c>
      <c r="E23">
        <v>7.5108318484050631</v>
      </c>
      <c r="F23">
        <v>213.79921748310556</v>
      </c>
      <c r="G23">
        <v>0.74350000000000005</v>
      </c>
      <c r="H23">
        <f>Paq_R_1* EXP(-1*(dE0_R_1/ (1 + ((9/zMid_R_1) ^n_R_1)))/(0.00198717*298))</f>
        <v>0.77456889312223687</v>
      </c>
      <c r="I23">
        <f t="shared" si="0"/>
        <v>3.1609564186763854E-4</v>
      </c>
      <c r="J23">
        <f>Paq_R_2* EXP(-1*(dE0_R_2/ (1 + ((9/(-1*zMid_R_2)) ^n_R_2)))/(0.00198717*298))</f>
        <v>0.90483637294725905</v>
      </c>
      <c r="K23">
        <f t="shared" si="1"/>
        <v>7.2742267136063883E-3</v>
      </c>
      <c r="M23">
        <v>-3</v>
      </c>
      <c r="N23">
        <f>Paq_R_1* EXP(-1*(dE0_R_1/ (1 + ((3/zMid_R_1) ^n_R_1)))/(0.00198717*298))</f>
        <v>0.75872178026636228</v>
      </c>
      <c r="O23">
        <f>Paq_R_2* EXP(-1*(dE0_R_2/ (1 + ((3/(-1*zMid_R_2)) ^n_R_2)))/(0.00198717*298))</f>
        <v>0.76192102392559602</v>
      </c>
    </row>
    <row r="24" spans="4:15" x14ac:dyDescent="0.25">
      <c r="D24" s="26">
        <v>10.5</v>
      </c>
      <c r="E24">
        <v>9.8630711757594245</v>
      </c>
      <c r="F24">
        <v>220.63045274559784</v>
      </c>
      <c r="G24">
        <v>0.94620000000000004</v>
      </c>
      <c r="H24">
        <f>Paq_R_1* EXP(-1*(dE0_R_1/ (1 + ((10.5/zMid_R_1) ^n_R_1)))/(0.00198717*298))</f>
        <v>0.91408930524818977</v>
      </c>
      <c r="I24">
        <f t="shared" si="0"/>
        <v>2.2482951055981175E-4</v>
      </c>
      <c r="J24">
        <f>Paq_R_2* EXP(-1*(dE0_R_2/ (1 + ((10.5/(-1*zMid_R_2)) ^n_R_2)))/(0.00198717*298))</f>
        <v>0.99912542115180047</v>
      </c>
      <c r="K24">
        <f t="shared" si="1"/>
        <v>5.5871085738785767E-4</v>
      </c>
      <c r="M24">
        <v>-2</v>
      </c>
      <c r="N24">
        <f>Paq_R_1* EXP(-1*(dE0_R_1/ (1 + ((2/zMid_R_1) ^n_R_1)))/(0.00198717*298))</f>
        <v>0.75872178014986447</v>
      </c>
      <c r="O24">
        <f>Paq_R_2* EXP(-1*(dE0_R_2/ (1 + ((2/(-1*zMid_R_2)) ^n_R_2)))/(0.00198717*298))</f>
        <v>0.76192102392559435</v>
      </c>
    </row>
    <row r="25" spans="4:15" x14ac:dyDescent="0.25">
      <c r="D25" s="27">
        <v>12</v>
      </c>
      <c r="E25">
        <v>11.430762341788874</v>
      </c>
      <c r="F25">
        <v>225.0124392487848</v>
      </c>
      <c r="G25">
        <v>1.0751999999999999</v>
      </c>
      <c r="H25">
        <f>Paq_R_1* EXP(-1*(dE0_R_1/ (1 + ((12/zMid_R_1) ^n_R_1)))/(0.00198717*298))</f>
        <v>1.1557192658694502</v>
      </c>
      <c r="I25">
        <f t="shared" si="0"/>
        <v>9.8364387398448155E-4</v>
      </c>
      <c r="J25">
        <f>Paq_R_2* EXP(-1*(dE0_R_2/ (1 + ((12/(-1*zMid_R_2)) ^n_R_2)))/(0.00198717*298))</f>
        <v>1.0006537068846959</v>
      </c>
      <c r="K25">
        <f t="shared" si="1"/>
        <v>9.7377993311953881E-4</v>
      </c>
      <c r="M25">
        <v>-1</v>
      </c>
      <c r="N25">
        <f>Paq_R_1* EXP(-1*(dE0_R_1/ (1 + ((1/zMid_R_1) ^n_R_1)))/(0.00198717*298))</f>
        <v>0.75872178014974978</v>
      </c>
      <c r="O25">
        <f>Paq_R_2* EXP(-1*(dE0_R_2/ (1 + ((1/(-1*zMid_R_2)) ^n_R_2)))/(0.00198717*298))</f>
        <v>0.76192102392559435</v>
      </c>
    </row>
    <row r="26" spans="4:15" x14ac:dyDescent="0.25">
      <c r="D26" s="28">
        <v>13.5</v>
      </c>
      <c r="E26">
        <v>14.026519074218406</v>
      </c>
      <c r="F26">
        <v>218.45557134306293</v>
      </c>
      <c r="G26">
        <v>1.3589</v>
      </c>
      <c r="H26">
        <f>Paq_R_1* EXP(-1*(dE0_R_1/ (1 + ((13.5/zMid_R_1) ^n_R_1)))/(0.00198717*298))</f>
        <v>1.226812992189511</v>
      </c>
      <c r="I26">
        <f t="shared" si="0"/>
        <v>1.9721710088008858E-3</v>
      </c>
      <c r="J26">
        <f>Paq_R_2* EXP(-1*(dE0_R_2/ (1 + ((13.5/(-1*zMid_R_2)) ^n_R_2)))/(0.00198717*298))</f>
        <v>1.0006814004573037</v>
      </c>
      <c r="K26">
        <f t="shared" si="1"/>
        <v>1.7660196210463705E-2</v>
      </c>
      <c r="M26">
        <v>0</v>
      </c>
      <c r="N26">
        <f>Paq_R_1* EXP(-1*(dE0_R_1/ (1 + ((0/zMid_R_1) ^n_R_1)))/(0.00198717*298))</f>
        <v>0.75872178014974978</v>
      </c>
      <c r="O26">
        <f>Paq_R_2* EXP(-1*(dE0_R_2/ (1 + ((0/(-1*zMid_R_2)) ^n_R_2)))/(0.00198717*298))</f>
        <v>0.76192102392559435</v>
      </c>
    </row>
    <row r="27" spans="4:15" x14ac:dyDescent="0.25">
      <c r="D27" s="29">
        <v>15</v>
      </c>
      <c r="E27">
        <v>15.134752862861525</v>
      </c>
      <c r="F27">
        <v>224.03276726794545</v>
      </c>
      <c r="G27">
        <v>1.4298</v>
      </c>
      <c r="H27">
        <f>Paq_R_1* EXP(-1*(dE0_R_1/ (1 + ((15/zMid_R_1) ^n_R_1)))/(0.00198717*298))</f>
        <v>1.2378452162973985</v>
      </c>
      <c r="I27">
        <f t="shared" si="0"/>
        <v>3.9198806293572076E-3</v>
      </c>
      <c r="J27">
        <f>Paq_R_2* EXP(-1*(dE0_R_2/ (1 + ((15/(-1*zMid_R_2)) ^n_R_2)))/(0.00198717*298))</f>
        <v>1.000682198294879</v>
      </c>
      <c r="K27">
        <f t="shared" si="1"/>
        <v>2.4018527260387602E-2</v>
      </c>
      <c r="M27">
        <v>1</v>
      </c>
      <c r="N27">
        <f>Paq_R_1* EXP(-1*(dE0_R_1/ (1 + ((1/zMid_R_1) ^n_R_1)))/(0.00198717*298))</f>
        <v>0.75872178014974978</v>
      </c>
      <c r="O27">
        <f>Paq_R_2* EXP(-1*(dE0_R_2/ (1 + ((1/(-1*zMid_R_2)) ^n_R_2)))/(0.00198717*298))</f>
        <v>0.76192102392559435</v>
      </c>
    </row>
    <row r="28" spans="4:15" x14ac:dyDescent="0.25">
      <c r="D28" s="30">
        <v>16.5</v>
      </c>
      <c r="E28">
        <v>15.360379818965674</v>
      </c>
      <c r="F28">
        <v>233.75708221892813</v>
      </c>
      <c r="G28">
        <v>1.3908</v>
      </c>
      <c r="H28">
        <f>Paq_R_1* EXP(-1*(dE0_R_1/ (1 + ((16.5/zMid_R_1) ^n_R_1)))/(0.00198717*298))</f>
        <v>1.2396500760648397</v>
      </c>
      <c r="I28">
        <f t="shared" si="0"/>
        <v>2.4965582477711303E-3</v>
      </c>
      <c r="J28">
        <f>Paq_R_2* EXP(-1*(dE0_R_2/ (1 + ((16.5/(-1*zMid_R_2)) ^n_R_2)))/(0.00198717*298))</f>
        <v>1.0006822315893942</v>
      </c>
      <c r="K28">
        <f t="shared" si="1"/>
        <v>2.0439990167863666E-2</v>
      </c>
      <c r="M28">
        <v>2</v>
      </c>
      <c r="N28">
        <f>Paq_R_1* EXP(-1*(dE0_R_1/ (1 + ((2/zMid_R_1) ^n_R_1)))/(0.00198717*298))</f>
        <v>0.75872178014986447</v>
      </c>
      <c r="O28">
        <f>Paq_R_2* EXP(-1*(dE0_R_2/ (1 + ((2/(-1*zMid_R_2)) ^n_R_2)))/(0.00198717*298))</f>
        <v>0.76192102392559435</v>
      </c>
    </row>
    <row r="29" spans="4:15" x14ac:dyDescent="0.25">
      <c r="D29" s="31">
        <v>18</v>
      </c>
      <c r="E29">
        <v>14.684790743315503</v>
      </c>
      <c r="F29">
        <v>221.14244125881021</v>
      </c>
      <c r="G29">
        <v>1.4054</v>
      </c>
      <c r="H29">
        <f>Paq_R_1* EXP(-1*(dE0_R_1/ (1 + ((18/zMid_R_1) ^n_R_1)))/(0.00198717*298))</f>
        <v>1.2399928909649032</v>
      </c>
      <c r="I29">
        <f t="shared" si="0"/>
        <v>2.9572663943710806E-3</v>
      </c>
      <c r="J29">
        <f>Paq_R_2* EXP(-1*(dE0_R_2/ (1 + ((18/(-1*zMid_R_2)) ^n_R_2)))/(0.00198717*298))</f>
        <v>1.0006822334646635</v>
      </c>
      <c r="K29">
        <f t="shared" si="1"/>
        <v>2.1757359212879836E-2</v>
      </c>
      <c r="M29">
        <v>3</v>
      </c>
      <c r="N29">
        <f>Paq_R_1* EXP(-1*(dE0_R_1/ (1 + ((3/zMid_R_1) ^n_R_1)))/(0.00198717*298))</f>
        <v>0.75872178026636228</v>
      </c>
      <c r="O29">
        <f>Paq_R_2* EXP(-1*(dE0_R_2/ (1 + ((3/(-1*zMid_R_2)) ^n_R_2)))/(0.00198717*298))</f>
        <v>0.76192102392559602</v>
      </c>
    </row>
    <row r="30" spans="4:15" x14ac:dyDescent="0.25">
      <c r="D30" s="32">
        <v>19.5</v>
      </c>
      <c r="E30">
        <v>11.283528937239769</v>
      </c>
      <c r="F30">
        <v>203.08284087537984</v>
      </c>
      <c r="G30">
        <v>1.1758999999999999</v>
      </c>
      <c r="H30">
        <f>Paq_R_1* EXP(-1*(dE0_R_1/ (1 + ((19.5/zMid_R_1) ^n_R_1)))/(0.00198717*298))</f>
        <v>1.2400676719160884</v>
      </c>
      <c r="I30">
        <f t="shared" si="0"/>
        <v>5.3245541225967381E-4</v>
      </c>
      <c r="J30">
        <f>Paq_R_2* EXP(-1*(dE0_R_2/ (1 + ((19.5/(-1*zMid_R_2)) ^n_R_2)))/(0.00198717*298))</f>
        <v>1.0006822335999703</v>
      </c>
      <c r="K30">
        <f t="shared" si="1"/>
        <v>4.9103936601979821E-3</v>
      </c>
      <c r="M30">
        <v>4</v>
      </c>
      <c r="N30">
        <f>Paq_R_1* EXP(-1*(dE0_R_1/ (1 + ((4/zMid_R_1) ^n_R_1)))/(0.00198717*298))</f>
        <v>0.75872179600646594</v>
      </c>
      <c r="O30">
        <f>Paq_R_2* EXP(-1*(dE0_R_2/ (1 + ((4/(-1*zMid_R_2)) ^n_R_2)))/(0.00198717*298))</f>
        <v>0.76192102393523919</v>
      </c>
    </row>
    <row r="31" spans="4:15" x14ac:dyDescent="0.25">
      <c r="D31" s="33">
        <v>21</v>
      </c>
      <c r="E31">
        <v>10.365766221606231</v>
      </c>
      <c r="F31">
        <v>202.23586360890673</v>
      </c>
      <c r="G31">
        <v>1.0848</v>
      </c>
      <c r="H31">
        <f>Paq_R_1* EXP(-1*(dE0_R_1/ (1 + ((21/zMid_R_1) ^n_R_1)))/(0.00198717*298))</f>
        <v>1.2400860427208873</v>
      </c>
      <c r="I31">
        <f t="shared" si="0"/>
        <v>3.3758590188636929E-3</v>
      </c>
      <c r="J31">
        <f>Paq_R_2* EXP(-1*(dE0_R_2/ (1 + ((21/(-1*zMid_R_2)) ^n_R_2)))/(0.00198717*298))</f>
        <v>1.0006822336119914</v>
      </c>
      <c r="K31">
        <f t="shared" si="1"/>
        <v>1.2287469686372145E-3</v>
      </c>
      <c r="M31">
        <v>5</v>
      </c>
      <c r="N31">
        <f>Paq_R_1* EXP(-1*(dE0_R_1/ (1 + ((5/zMid_R_1) ^n_R_1)))/(0.00198717*298))</f>
        <v>0.75872249639048484</v>
      </c>
      <c r="O31">
        <f>Paq_R_2* EXP(-1*(dE0_R_2/ (1 + ((5/(-1*zMid_R_2)) ^n_R_2)))/(0.00198717*298))</f>
        <v>0.76192103171669945</v>
      </c>
    </row>
    <row r="32" spans="4:15" x14ac:dyDescent="0.25">
      <c r="D32" s="34">
        <v>22.5</v>
      </c>
      <c r="E32">
        <v>8.5029532644488022</v>
      </c>
      <c r="F32">
        <v>185.59265872251723</v>
      </c>
      <c r="G32">
        <v>0.96970000000000001</v>
      </c>
      <c r="H32">
        <f>Paq_R_1* EXP(-1*(dE0_R_1/ (1 + ((22.5/zMid_R_1) ^n_R_1)))/(0.00198717*298))</f>
        <v>1.240091039572657</v>
      </c>
      <c r="I32">
        <f t="shared" si="0"/>
        <v>1.1409694996517079E-2</v>
      </c>
      <c r="J32">
        <f>Paq_R_2* EXP(-1*(dE0_R_2/ (1 + ((22.5/(-1*zMid_R_2)) ^n_R_2)))/(0.00198717*298))</f>
        <v>1.0006822336132664</v>
      </c>
      <c r="K32">
        <f t="shared" si="1"/>
        <v>1.865626442410757E-4</v>
      </c>
      <c r="M32">
        <v>6</v>
      </c>
      <c r="N32">
        <f>Paq_R_1* EXP(-1*(dE0_R_1/ (1 + ((6/zMid_R_1) ^n_R_1)))/(0.00198717*298))</f>
        <v>0.75873789229726307</v>
      </c>
      <c r="O32">
        <f>Paq_R_2* EXP(-1*(dE0_R_2/ (1 + ((6/(-1*zMid_R_2)) ^n_R_2)))/(0.00198717*298))</f>
        <v>0.76192287333527209</v>
      </c>
    </row>
    <row r="33" spans="7:15" x14ac:dyDescent="0.25">
      <c r="M33">
        <v>7</v>
      </c>
      <c r="N33">
        <f>Paq_R_1* EXP(-1*(dE0_R_1/ (1 + ((7/zMid_R_1) ^n_R_1)))/(0.00198717*298))</f>
        <v>0.75894573562969736</v>
      </c>
      <c r="O33">
        <f>Paq_R_2* EXP(-1*(dE0_R_2/ (1 + ((7/(-1*zMid_R_2)) ^n_R_2)))/(0.00198717*298))</f>
        <v>0.7621094321041274</v>
      </c>
    </row>
    <row r="34" spans="7:15" x14ac:dyDescent="0.25">
      <c r="G34" t="s">
        <v>18</v>
      </c>
      <c r="H34" s="1" t="s">
        <v>20</v>
      </c>
      <c r="I34">
        <f>SQRT(AVERAGE(I$17:I$32))</f>
        <v>5.232754451443053E-2</v>
      </c>
      <c r="M34">
        <v>8</v>
      </c>
      <c r="N34">
        <f>Paq_R_1* EXP(-1*(dE0_R_1/ (1 + ((8/zMid_R_1) ^n_R_1)))/(0.00198717*298))</f>
        <v>0.76090307331433116</v>
      </c>
      <c r="O34">
        <f>Paq_R_2* EXP(-1*(dE0_R_2/ (1 + ((8/(-1*zMid_R_2)) ^n_R_2)))/(0.00198717*298))</f>
        <v>0.77184945457542731</v>
      </c>
    </row>
    <row r="35" spans="7:15" x14ac:dyDescent="0.25">
      <c r="G35" t="s">
        <v>19</v>
      </c>
      <c r="J35" s="1" t="s">
        <v>20</v>
      </c>
      <c r="K35">
        <f>SQRT(AVERAGE(K$2:K$17))</f>
        <v>2.9950448411050257E-2</v>
      </c>
      <c r="M35">
        <v>9</v>
      </c>
      <c r="N35">
        <f>Paq_R_1* EXP(-1*(dE0_R_1/ (1 + ((9/zMid_R_1) ^n_R_1)))/(0.00198717*298))</f>
        <v>0.77456889312223687</v>
      </c>
      <c r="O35">
        <f>Paq_R_2* EXP(-1*(dE0_R_2/ (1 + ((9/(-1*zMid_R_2)) ^n_R_2)))/(0.00198717*298))</f>
        <v>0.90483637294725905</v>
      </c>
    </row>
    <row r="36" spans="7:15" x14ac:dyDescent="0.25">
      <c r="M36">
        <v>10</v>
      </c>
      <c r="N36">
        <f>Paq_R_1* EXP(-1*(dE0_R_1/ (1 + ((10/zMid_R_1) ^n_R_1)))/(0.00198717*298))</f>
        <v>0.84109719939329752</v>
      </c>
      <c r="O36">
        <f>Paq_R_2* EXP(-1*(dE0_R_2/ (1 + ((10/(-1*zMid_R_2)) ^n_R_2)))/(0.00198717*298))</f>
        <v>0.9940956970145437</v>
      </c>
    </row>
    <row r="37" spans="7:15" x14ac:dyDescent="0.25">
      <c r="M37">
        <v>11</v>
      </c>
      <c r="N37">
        <f>Paq_R_1* EXP(-1*(dE0_R_1/ (1 + ((11/zMid_R_1) ^n_R_1)))/(0.00198717*298))</f>
        <v>1.0062886852481894</v>
      </c>
      <c r="O37">
        <f>Paq_R_2* EXP(-1*(dE0_R_2/ (1 + ((11/(-1*zMid_R_2)) ^n_R_2)))/(0.00198717*298))</f>
        <v>1.0002947451008899</v>
      </c>
    </row>
    <row r="38" spans="7:15" x14ac:dyDescent="0.25">
      <c r="M38">
        <v>12</v>
      </c>
      <c r="N38">
        <f>Paq_R_1* EXP(-1*(dE0_R_1/ (1 + ((12/zMid_R_1) ^n_R_1)))/(0.00198717*298))</f>
        <v>1.1557192658694502</v>
      </c>
      <c r="O38">
        <f>Paq_R_2* EXP(-1*(dE0_R_2/ (1 + ((12/(-1*zMid_R_2)) ^n_R_2)))/(0.00198717*298))</f>
        <v>1.0006537068846959</v>
      </c>
    </row>
    <row r="39" spans="7:15" x14ac:dyDescent="0.25">
      <c r="M39">
        <v>13</v>
      </c>
      <c r="N39">
        <f>Paq_R_1* EXP(-1*(dE0_R_1/ (1 + ((13/zMid_R_1) ^n_R_1)))/(0.00198717*298))</f>
        <v>1.2154022434740479</v>
      </c>
      <c r="O39">
        <f>Paq_R_2* EXP(-1*(dE0_R_2/ (1 + ((13/(-1*zMid_R_2)) ^n_R_2)))/(0.00198717*298))</f>
        <v>1.0006796487612268</v>
      </c>
    </row>
    <row r="40" spans="7:15" x14ac:dyDescent="0.25">
      <c r="M40">
        <v>14</v>
      </c>
      <c r="N40">
        <f>Paq_R_1* EXP(-1*(dE0_R_1/ (1 + ((14/zMid_R_1) ^n_R_1)))/(0.00198717*298))</f>
        <v>1.2328656525920845</v>
      </c>
      <c r="O40">
        <f>Paq_R_2* EXP(-1*(dE0_R_2/ (1 + ((14/(-1*zMid_R_2)) ^n_R_2)))/(0.00198717*298))</f>
        <v>1.0006819537801543</v>
      </c>
    </row>
    <row r="41" spans="7:15" x14ac:dyDescent="0.25">
      <c r="M41">
        <v>15</v>
      </c>
      <c r="N41">
        <f>Paq_R_1* EXP(-1*(dE0_R_1/ (1 + ((15/zMid_R_1) ^n_R_1)))/(0.00198717*298))</f>
        <v>1.2378452162973985</v>
      </c>
      <c r="O41">
        <f>Paq_R_2* EXP(-1*(dE0_R_2/ (1 + ((15/(-1*zMid_R_2)) ^n_R_2)))/(0.00198717*298))</f>
        <v>1.000682198294879</v>
      </c>
    </row>
    <row r="42" spans="7:15" x14ac:dyDescent="0.25">
      <c r="M42">
        <v>16</v>
      </c>
      <c r="N42">
        <f>Paq_R_1* EXP(-1*(dE0_R_1/ (1 + ((16/zMid_R_1) ^n_R_1)))/(0.00198717*298))</f>
        <v>1.2393441985551812</v>
      </c>
      <c r="O42">
        <f>Paq_R_2* EXP(-1*(dE0_R_2/ (1 + ((16/(-1*zMid_R_2)) ^n_R_2)))/(0.00198717*298))</f>
        <v>1.0006822285184824</v>
      </c>
    </row>
    <row r="43" spans="7:15" x14ac:dyDescent="0.25">
      <c r="M43">
        <v>17</v>
      </c>
      <c r="N43">
        <f>Paq_R_1* EXP(-1*(dE0_R_1/ (1 + ((17/zMid_R_1) ^n_R_1)))/(0.00198717*298))</f>
        <v>1.2398269739590333</v>
      </c>
      <c r="O43">
        <f>Paq_R_2* EXP(-1*(dE0_R_2/ (1 + ((17/(-1*zMid_R_2)) ^n_R_2)))/(0.00198717*298))</f>
        <v>1.0006822327868927</v>
      </c>
    </row>
    <row r="44" spans="7:15" x14ac:dyDescent="0.25">
      <c r="M44">
        <v>18</v>
      </c>
      <c r="N44">
        <f>Paq_R_1* EXP(-1*(dE0_R_1/ (1 + ((18/zMid_R_1) ^n_R_1)))/(0.00198717*298))</f>
        <v>1.2399928909649032</v>
      </c>
      <c r="O44">
        <f>Paq_R_2* EXP(-1*(dE0_R_2/ (1 + ((18/(-1*zMid_R_2)) ^n_R_2)))/(0.00198717*298))</f>
        <v>1.0006822334646635</v>
      </c>
    </row>
    <row r="45" spans="7:15" x14ac:dyDescent="0.25">
      <c r="M45">
        <v>19</v>
      </c>
      <c r="N45">
        <f>Paq_R_1* EXP(-1*(dE0_R_1/ (1 + ((19/zMid_R_1) ^n_R_1)))/(0.00198717*298))</f>
        <v>1.2400533874745852</v>
      </c>
      <c r="O45">
        <f>Paq_R_2* EXP(-1*(dE0_R_2/ (1 + ((19/(-1*zMid_R_2)) ^n_R_2)))/(0.00198717*298))</f>
        <v>1.0006822335840651</v>
      </c>
    </row>
    <row r="46" spans="7:15" x14ac:dyDescent="0.25">
      <c r="M46">
        <v>20</v>
      </c>
      <c r="N46">
        <f>Paq_R_1* EXP(-1*(dE0_R_1/ (1 + ((20/zMid_R_1) ^n_R_1)))/(0.00198717*298))</f>
        <v>1.2400766538898123</v>
      </c>
      <c r="O46">
        <f>Paq_R_2* EXP(-1*(dE0_R_2/ (1 + ((20/(-1*zMid_R_2)) ^n_R_2)))/(0.00198717*298))</f>
        <v>1.0006822336071435</v>
      </c>
    </row>
    <row r="47" spans="7:15" x14ac:dyDescent="0.25">
      <c r="M47">
        <v>21</v>
      </c>
      <c r="N47">
        <f>Paq_R_1* EXP(-1*(dE0_R_1/ (1 + ((21/zMid_R_1) ^n_R_1)))/(0.00198717*298))</f>
        <v>1.2400860427208873</v>
      </c>
      <c r="O47">
        <f>Paq_R_2* EXP(-1*(dE0_R_2/ (1 + ((21/(-1*zMid_R_2)) ^n_R_2)))/(0.00198717*298))</f>
        <v>1.0006822336119914</v>
      </c>
    </row>
    <row r="48" spans="7:15" x14ac:dyDescent="0.25">
      <c r="M48">
        <v>22</v>
      </c>
      <c r="N48">
        <f>Paq_R_1* EXP(-1*(dE0_R_1/ (1 + ((22/zMid_R_1) ^n_R_1)))/(0.00198717*298))</f>
        <v>1.2400899999262125</v>
      </c>
      <c r="O48">
        <f>Paq_R_2* EXP(-1*(dE0_R_2/ (1 + ((22/(-1*zMid_R_2)) ^n_R_2)))/(0.00198717*298))</f>
        <v>1.0006822336130892</v>
      </c>
    </row>
    <row r="49" spans="13:15" x14ac:dyDescent="0.25">
      <c r="M49">
        <v>23</v>
      </c>
      <c r="N49">
        <f>Paq_R_1* EXP(-1*(dE0_R_1/ (1 + ((23/zMid_R_1) ^n_R_1)))/(0.00198717*298))</f>
        <v>1.2400917350627414</v>
      </c>
      <c r="O49">
        <f>Paq_R_2* EXP(-1*(dE0_R_2/ (1 + ((23/(-1*zMid_R_2)) ^n_R_2)))/(0.00198717*298))</f>
        <v>1.0006822336133554</v>
      </c>
    </row>
    <row r="50" spans="13:15" x14ac:dyDescent="0.25">
      <c r="M50">
        <v>24</v>
      </c>
      <c r="N50">
        <f>Paq_R_1* EXP(-1*(dE0_R_1/ (1 + ((24/zMid_R_1) ^n_R_1)))/(0.00198717*298))</f>
        <v>1.2400925238191147</v>
      </c>
      <c r="O50">
        <f>Paq_R_2* EXP(-1*(dE0_R_2/ (1 + ((24/(-1*zMid_R_2)) ^n_R_2)))/(0.00198717*298))</f>
        <v>1.000682233613424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O50"/>
  <sheetViews>
    <sheetView topLeftCell="A37" workbookViewId="0"/>
  </sheetViews>
  <sheetFormatPr defaultRowHeight="15" x14ac:dyDescent="0.25"/>
  <cols>
    <col min="1" max="1" width="6" bestFit="1" customWidth="1"/>
    <col min="2" max="2" width="12.7109375" bestFit="1" customWidth="1"/>
    <col min="4" max="4" width="10.42578125" bestFit="1" customWidth="1"/>
    <col min="5" max="6" width="12" bestFit="1" customWidth="1"/>
    <col min="7" max="7" width="16.140625" bestFit="1" customWidth="1"/>
    <col min="8" max="11" width="12" bestFit="1" customWidth="1"/>
    <col min="13" max="13" width="3.7109375" bestFit="1" customWidth="1"/>
    <col min="14" max="15" width="12" bestFit="1" customWidth="1"/>
  </cols>
  <sheetData>
    <row r="1" spans="1:15" ht="18" x14ac:dyDescent="0.35">
      <c r="A1" s="1" t="s">
        <v>0</v>
      </c>
      <c r="B1">
        <v>4425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M1" s="1" t="s">
        <v>21</v>
      </c>
      <c r="N1" s="1" t="s">
        <v>22</v>
      </c>
      <c r="O1" s="1" t="s">
        <v>23</v>
      </c>
    </row>
    <row r="2" spans="1:15" ht="18" x14ac:dyDescent="0.35">
      <c r="A2" s="1" t="s">
        <v>1</v>
      </c>
      <c r="B2">
        <v>77.331593128344892</v>
      </c>
      <c r="D2" s="4">
        <v>-22.5</v>
      </c>
      <c r="E2">
        <v>0.44767562032820302</v>
      </c>
      <c r="F2">
        <v>37.146305786227806</v>
      </c>
      <c r="G2">
        <v>0.68959999999999999</v>
      </c>
      <c r="H2">
        <f>Paq_H_1* EXP(-1*(dE0_H_1/ (1 + ((22.5/zMid_H_1) ^n_H_1)))/(0.00198717*298))</f>
        <v>1.360443045780072</v>
      </c>
      <c r="I2">
        <f t="shared" ref="I2:I32" si="0">IF(ISERROR((LOG(H2)-LOG(G2))^2),0,(LOG(H2)-LOG(G2))^2)</f>
        <v>8.70740430900942E-2</v>
      </c>
      <c r="J2">
        <f>Paq_H_2* EXP(-1*(dE0_H_2/ (1 + ((22.5/(-1*zMid_H_2)) ^n_H_2)))/(0.00198717*298))</f>
        <v>0.95393983551151107</v>
      </c>
      <c r="K2">
        <f t="shared" ref="K2:K32" si="1">IF(ISERROR((LOG(J2)-LOG(G2))^2),0,(LOG(J2)-LOG(G2))^2)</f>
        <v>1.985949824769213E-2</v>
      </c>
      <c r="M2">
        <v>-24</v>
      </c>
      <c r="N2">
        <f>Paq_H_1* EXP(-1*(dE0_H_1/ (1 + ((24/zMid_H_1) ^n_H_1)))/(0.00198717*298))</f>
        <v>1.3610778694836765</v>
      </c>
      <c r="O2">
        <f>Paq_H_2* EXP(-1*(dE0_H_2/ (1 + ((24/(-1*zMid_H_2)) ^n_H_2)))/(0.00198717*298))</f>
        <v>0.95393983551151107</v>
      </c>
    </row>
    <row r="3" spans="1:15" x14ac:dyDescent="0.25">
      <c r="D3" s="5">
        <v>-21</v>
      </c>
      <c r="E3">
        <v>0.74320399525301162</v>
      </c>
      <c r="F3">
        <v>53.383067205069459</v>
      </c>
      <c r="G3">
        <v>0.79659999999999997</v>
      </c>
      <c r="H3">
        <f>Paq_H_1* EXP(-1*(dE0_H_1/ (1 + ((21/zMid_H_1) ^n_H_1)))/(0.00198717*298))</f>
        <v>1.3595006426312812</v>
      </c>
      <c r="I3">
        <f t="shared" si="0"/>
        <v>5.3888568777874096E-2</v>
      </c>
      <c r="J3">
        <f>Paq_H_2* EXP(-1*(dE0_H_2/ (1 + ((21/(-1*zMid_H_2)) ^n_H_2)))/(0.00198717*298))</f>
        <v>0.95393983551151107</v>
      </c>
      <c r="K3">
        <f t="shared" si="1"/>
        <v>6.1278652945886891E-3</v>
      </c>
      <c r="M3">
        <v>-23</v>
      </c>
      <c r="N3">
        <f>Paq_H_1* EXP(-1*(dE0_H_1/ (1 + ((23/zMid_H_1) ^n_H_1)))/(0.00198717*298))</f>
        <v>1.3606821801230427</v>
      </c>
      <c r="O3">
        <f>Paq_H_2* EXP(-1*(dE0_H_2/ (1 + ((23/(-1*zMid_H_2)) ^n_H_2)))/(0.00198717*298))</f>
        <v>0.95393983551151107</v>
      </c>
    </row>
    <row r="4" spans="1:15" ht="18" x14ac:dyDescent="0.35">
      <c r="A4" s="2" t="s">
        <v>2</v>
      </c>
      <c r="B4">
        <v>1.3627738734824708</v>
      </c>
      <c r="D4" s="6">
        <v>-19.5</v>
      </c>
      <c r="E4">
        <v>1.4188276593814375</v>
      </c>
      <c r="F4">
        <v>104.67349192897072</v>
      </c>
      <c r="G4">
        <v>0.77559999999999996</v>
      </c>
      <c r="H4">
        <f>Paq_H_1* EXP(-1*(dE0_H_1/ (1 + ((19.5/zMid_H_1) ^n_H_1)))/(0.00198717*298))</f>
        <v>1.358062602802798</v>
      </c>
      <c r="I4">
        <f t="shared" si="0"/>
        <v>5.9186126528479911E-2</v>
      </c>
      <c r="J4">
        <f>Paq_H_2* EXP(-1*(dE0_H_2/ (1 + ((19.5/(-1*zMid_H_2)) ^n_H_2)))/(0.00198717*298))</f>
        <v>0.95393983551151107</v>
      </c>
      <c r="K4">
        <f t="shared" si="1"/>
        <v>8.0789868440709345E-3</v>
      </c>
      <c r="M4">
        <v>-22</v>
      </c>
      <c r="N4">
        <f>Paq_H_1* EXP(-1*(dE0_H_1/ (1 + ((22/zMid_H_1) ^n_H_1)))/(0.00198717*298))</f>
        <v>1.360170340165223</v>
      </c>
      <c r="O4">
        <f>Paq_H_2* EXP(-1*(dE0_H_2/ (1 + ((22/(-1*zMid_H_2)) ^n_H_2)))/(0.00198717*298))</f>
        <v>0.95393983551151107</v>
      </c>
    </row>
    <row r="5" spans="1:15" ht="18" x14ac:dyDescent="0.35">
      <c r="A5" s="2" t="s">
        <v>3</v>
      </c>
      <c r="B5">
        <v>0.47794058434889852</v>
      </c>
      <c r="D5" s="7">
        <v>-18</v>
      </c>
      <c r="E5">
        <v>2.8592192449748812</v>
      </c>
      <c r="F5">
        <v>171.11905245556184</v>
      </c>
      <c r="G5">
        <v>0.95609999999999995</v>
      </c>
      <c r="H5">
        <f>Paq_H_1* EXP(-1*(dE0_H_1/ (1 + ((18/zMid_H_1) ^n_H_1)))/(0.00198717*298))</f>
        <v>1.3557985213176886</v>
      </c>
      <c r="I5">
        <f t="shared" si="0"/>
        <v>2.3010413631843814E-2</v>
      </c>
      <c r="J5">
        <f>Paq_H_2* EXP(-1*(dE0_H_2/ (1 + ((18/(-1*zMid_H_2)) ^n_H_2)))/(0.00198717*298))</f>
        <v>0.95393983551151107</v>
      </c>
      <c r="K5">
        <f t="shared" si="1"/>
        <v>9.6497881506661278E-7</v>
      </c>
      <c r="M5">
        <v>-21</v>
      </c>
      <c r="N5">
        <f>Paq_H_1* EXP(-1*(dE0_H_1/ (1 + ((21/zMid_H_1) ^n_H_1)))/(0.00198717*298))</f>
        <v>1.3595006426312812</v>
      </c>
      <c r="O5">
        <f>Paq_H_2* EXP(-1*(dE0_H_2/ (1 + ((21/(-1*zMid_H_2)) ^n_H_2)))/(0.00198717*298))</f>
        <v>0.95393983551151107</v>
      </c>
    </row>
    <row r="6" spans="1:15" ht="18" x14ac:dyDescent="0.35">
      <c r="A6" s="2" t="s">
        <v>4</v>
      </c>
      <c r="B6">
        <v>6.4726348463970389</v>
      </c>
      <c r="D6" s="8">
        <v>-16.5</v>
      </c>
      <c r="E6">
        <v>3.4919976291320531</v>
      </c>
      <c r="F6">
        <v>239.24085021505925</v>
      </c>
      <c r="G6">
        <v>0.83520000000000005</v>
      </c>
      <c r="H6">
        <f>Paq_H_1* EXP(-1*(dE0_H_1/ (1 + ((16.5/zMid_H_1) ^n_H_1)))/(0.00198717*298))</f>
        <v>1.3521045952461168</v>
      </c>
      <c r="I6">
        <f t="shared" si="0"/>
        <v>4.3772926018771682E-2</v>
      </c>
      <c r="J6">
        <f>Paq_H_2* EXP(-1*(dE0_H_2/ (1 + ((16.5/(-1*zMid_H_2)) ^n_H_2)))/(0.00198717*298))</f>
        <v>0.95393983551151107</v>
      </c>
      <c r="K6">
        <f t="shared" si="1"/>
        <v>3.3328105359062476E-3</v>
      </c>
      <c r="M6">
        <v>-20</v>
      </c>
      <c r="N6">
        <f>Paq_H_1* EXP(-1*(dE0_H_1/ (1 + ((20/zMid_H_1) ^n_H_1)))/(0.00198717*298))</f>
        <v>1.3586134446541644</v>
      </c>
      <c r="O6">
        <f>Paq_H_2* EXP(-1*(dE0_H_2/ (1 + ((20/(-1*zMid_H_2)) ^n_H_2)))/(0.00198717*298))</f>
        <v>0.95393983551151107</v>
      </c>
    </row>
    <row r="7" spans="1:15" x14ac:dyDescent="0.25">
      <c r="A7" s="2" t="s">
        <v>5</v>
      </c>
      <c r="B7">
        <v>4.9390787517944492</v>
      </c>
      <c r="D7" s="9">
        <v>-15</v>
      </c>
      <c r="E7">
        <v>4.530358137034594</v>
      </c>
      <c r="F7">
        <v>301.1099037843893</v>
      </c>
      <c r="G7">
        <v>0.8609</v>
      </c>
      <c r="H7">
        <f>Paq_H_1* EXP(-1*(dE0_H_1/ (1 + ((15/zMid_H_1) ^n_H_1)))/(0.00198717*298))</f>
        <v>1.3458292049547496</v>
      </c>
      <c r="I7">
        <f t="shared" si="0"/>
        <v>3.7650450735793789E-2</v>
      </c>
      <c r="J7">
        <f>Paq_H_2* EXP(-1*(dE0_H_2/ (1 + ((15/(-1*zMid_H_2)) ^n_H_2)))/(0.00198717*298))</f>
        <v>0.95393983551151029</v>
      </c>
      <c r="K7">
        <f t="shared" si="1"/>
        <v>1.9863313168188E-3</v>
      </c>
      <c r="M7">
        <v>-19</v>
      </c>
      <c r="N7">
        <f>Paq_H_1* EXP(-1*(dE0_H_1/ (1 + ((19/zMid_H_1) ^n_H_1)))/(0.00198717*298))</f>
        <v>1.3574220908666488</v>
      </c>
      <c r="O7">
        <f>Paq_H_2* EXP(-1*(dE0_H_2/ (1 + ((19/(-1*zMid_H_2)) ^n_H_2)))/(0.00198717*298))</f>
        <v>0.95393983551151107</v>
      </c>
    </row>
    <row r="8" spans="1:15" x14ac:dyDescent="0.25">
      <c r="D8" s="10">
        <v>-13.5</v>
      </c>
      <c r="E8">
        <v>7.2355524974352381</v>
      </c>
      <c r="F8">
        <v>325.144691447757</v>
      </c>
      <c r="G8">
        <v>1.2734000000000001</v>
      </c>
      <c r="H8">
        <f>Paq_H_1* EXP(-1*(dE0_H_1/ (1 + ((13.5/zMid_H_1) ^n_H_1)))/(0.00198717*298))</f>
        <v>1.3346769343445304</v>
      </c>
      <c r="I8">
        <f t="shared" si="0"/>
        <v>4.1662155970000801E-4</v>
      </c>
      <c r="J8">
        <f>Paq_H_2* EXP(-1*(dE0_H_2/ (1 + ((13.5/(-1*zMid_H_2)) ^n_H_2)))/(0.00198717*298))</f>
        <v>0.95393983551149297</v>
      </c>
      <c r="K8">
        <f t="shared" si="1"/>
        <v>1.5736162183996549E-2</v>
      </c>
      <c r="M8">
        <v>-18</v>
      </c>
      <c r="N8">
        <f>Paq_H_1* EXP(-1*(dE0_H_1/ (1 + ((18/zMid_H_1) ^n_H_1)))/(0.00198717*298))</f>
        <v>1.3557985213176886</v>
      </c>
      <c r="O8">
        <f>Paq_H_2* EXP(-1*(dE0_H_2/ (1 + ((18/(-1*zMid_H_2)) ^n_H_2)))/(0.00198717*298))</f>
        <v>0.95393983551151107</v>
      </c>
    </row>
    <row r="9" spans="1:15" ht="18" x14ac:dyDescent="0.35">
      <c r="A9" s="3" t="s">
        <v>6</v>
      </c>
      <c r="B9">
        <v>0.95393983551151107</v>
      </c>
      <c r="D9" s="11">
        <v>-12</v>
      </c>
      <c r="E9">
        <v>7.2871399447747676</v>
      </c>
      <c r="F9">
        <v>335.09215104301728</v>
      </c>
      <c r="G9">
        <v>1.2444</v>
      </c>
      <c r="H9">
        <f>Paq_H_1* EXP(-1*(dE0_H_1/ (1 + ((12/zMid_H_1) ^n_H_1)))/(0.00198717*298))</f>
        <v>1.3138911215850926</v>
      </c>
      <c r="I9">
        <f t="shared" si="0"/>
        <v>5.5693052547374402E-4</v>
      </c>
      <c r="J9">
        <f>Paq_H_2* EXP(-1*(dE0_H_2/ (1 + ((12/(-1*zMid_H_2)) ^n_H_2)))/(0.00198717*298))</f>
        <v>0.95393983551089212</v>
      </c>
      <c r="K9">
        <f t="shared" si="1"/>
        <v>1.3326166783498551E-2</v>
      </c>
      <c r="M9">
        <v>-17</v>
      </c>
      <c r="N9">
        <f>Paq_H_1* EXP(-1*(dE0_H_1/ (1 + ((17/zMid_H_1) ^n_H_1)))/(0.00198717*298))</f>
        <v>1.353550029963873</v>
      </c>
      <c r="O9">
        <f>Paq_H_2* EXP(-1*(dE0_H_2/ (1 + ((17/(-1*zMid_H_2)) ^n_H_2)))/(0.00198717*298))</f>
        <v>0.95393983551151107</v>
      </c>
    </row>
    <row r="10" spans="1:15" ht="18" x14ac:dyDescent="0.35">
      <c r="A10" s="3" t="s">
        <v>7</v>
      </c>
      <c r="B10">
        <v>0.28013942898003713</v>
      </c>
      <c r="D10" s="12">
        <v>-10.5</v>
      </c>
      <c r="E10">
        <v>5.3027876200004886</v>
      </c>
      <c r="F10">
        <v>329.71261028763035</v>
      </c>
      <c r="G10">
        <v>0.92030000000000001</v>
      </c>
      <c r="H10">
        <f>Paq_H_1* EXP(-1*(dE0_H_1/ (1 + ((10.5/zMid_H_1) ^n_H_1)))/(0.00198717*298))</f>
        <v>1.2734686584223738</v>
      </c>
      <c r="I10">
        <f t="shared" si="0"/>
        <v>1.9897596032125948E-2</v>
      </c>
      <c r="J10">
        <f>Paq_H_2* EXP(-1*(dE0_H_2/ (1 + ((10.5/(-1*zMid_H_2)) ^n_H_2)))/(0.00198717*298))</f>
        <v>0.9539398354775146</v>
      </c>
      <c r="K10">
        <f t="shared" si="1"/>
        <v>2.4309683051660096E-4</v>
      </c>
      <c r="M10">
        <v>-16</v>
      </c>
      <c r="N10">
        <f>Paq_H_1* EXP(-1*(dE0_H_1/ (1 + ((16/zMid_H_1) ^n_H_1)))/(0.00198717*298))</f>
        <v>1.3503810446955777</v>
      </c>
      <c r="O10">
        <f>Paq_H_2* EXP(-1*(dE0_H_2/ (1 + ((16/(-1*zMid_H_2)) ^n_H_2)))/(0.00198717*298))</f>
        <v>0.95393983551151096</v>
      </c>
    </row>
    <row r="11" spans="1:15" ht="18" x14ac:dyDescent="0.35">
      <c r="A11" s="3" t="s">
        <v>8</v>
      </c>
      <c r="B11">
        <v>-4.8278707412727737</v>
      </c>
      <c r="D11" s="13">
        <v>-9</v>
      </c>
      <c r="E11">
        <v>4.6011511810509997</v>
      </c>
      <c r="F11">
        <v>284.46716551243782</v>
      </c>
      <c r="G11">
        <v>0.92549999999999999</v>
      </c>
      <c r="H11">
        <f>Paq_H_1* EXP(-1*(dE0_H_1/ (1 + ((9/zMid_H_1) ^n_H_1)))/(0.00198717*298))</f>
        <v>1.1937369549348675</v>
      </c>
      <c r="I11">
        <f t="shared" si="0"/>
        <v>1.2217370683741976E-2</v>
      </c>
      <c r="J11">
        <f>Paq_H_2* EXP(-1*(dE0_H_2/ (1 + ((9/(-1*zMid_H_2)) ^n_H_2)))/(0.00198717*298))</f>
        <v>0.95393983204543831</v>
      </c>
      <c r="K11">
        <f t="shared" si="1"/>
        <v>1.7277946217266266E-4</v>
      </c>
      <c r="M11">
        <v>-15</v>
      </c>
      <c r="N11">
        <f>Paq_H_1* EXP(-1*(dE0_H_1/ (1 + ((15/zMid_H_1) ^n_H_1)))/(0.00198717*298))</f>
        <v>1.3458292049547496</v>
      </c>
      <c r="O11">
        <f>Paq_H_2* EXP(-1*(dE0_H_2/ (1 + ((15/(-1*zMid_H_2)) ^n_H_2)))/(0.00198717*298))</f>
        <v>0.95393983551151029</v>
      </c>
    </row>
    <row r="12" spans="1:15" x14ac:dyDescent="0.25">
      <c r="A12" s="3" t="s">
        <v>9</v>
      </c>
      <c r="B12">
        <v>30</v>
      </c>
      <c r="D12" s="14">
        <v>-7.5</v>
      </c>
      <c r="E12">
        <v>5.3598711897765154</v>
      </c>
      <c r="F12">
        <v>233.0137027127592</v>
      </c>
      <c r="G12">
        <v>1.3162</v>
      </c>
      <c r="H12">
        <f>Paq_H_1* EXP(-1*(dE0_H_1/ (1 + ((7.5/zMid_H_1) ^n_H_1)))/(0.00198717*298))</f>
        <v>1.0477441376211485</v>
      </c>
      <c r="I12">
        <f t="shared" si="0"/>
        <v>9.8142005344913699E-3</v>
      </c>
      <c r="J12">
        <f>Paq_H_2* EXP(-1*(dE0_H_2/ (1 + ((7.5/(-1*zMid_H_2)) ^n_H_2)))/(0.00198717*298))</f>
        <v>0.95393901274979065</v>
      </c>
      <c r="K12">
        <f t="shared" si="1"/>
        <v>1.9544396826271536E-2</v>
      </c>
      <c r="M12">
        <v>-14</v>
      </c>
      <c r="N12">
        <f>Paq_H_1* EXP(-1*(dE0_H_1/ (1 + ((14/zMid_H_1) ^n_H_1)))/(0.00198717*298))</f>
        <v>1.3391570072671668</v>
      </c>
      <c r="O12">
        <f>Paq_H_2* EXP(-1*(dE0_H_2/ (1 + ((14/(-1*zMid_H_2)) ^n_H_2)))/(0.00198717*298))</f>
        <v>0.95393983551150507</v>
      </c>
    </row>
    <row r="13" spans="1:15" x14ac:dyDescent="0.25">
      <c r="D13" s="15">
        <v>-6</v>
      </c>
      <c r="E13">
        <v>4.3803785562016122</v>
      </c>
      <c r="F13">
        <v>229.72199232624777</v>
      </c>
      <c r="G13">
        <v>1.0911</v>
      </c>
      <c r="H13">
        <f>Paq_H_1* EXP(-1*(dE0_H_1/ (1 + ((6/zMid_H_1) ^n_H_1)))/(0.00198717*298))</f>
        <v>0.84474853136787997</v>
      </c>
      <c r="I13">
        <f t="shared" si="0"/>
        <v>1.2351457300650997E-2</v>
      </c>
      <c r="J13">
        <f>Paq_H_2* EXP(-1*(dE0_H_2/ (1 + ((6/(-1*zMid_H_2)) ^n_H_2)))/(0.00198717*298))</f>
        <v>0.95327642057026429</v>
      </c>
      <c r="K13">
        <f t="shared" si="1"/>
        <v>3.439318709786724E-3</v>
      </c>
      <c r="M13">
        <v>-13</v>
      </c>
      <c r="N13">
        <f>Paq_H_1* EXP(-1*(dE0_H_1/ (1 + ((13/zMid_H_1) ^n_H_1)))/(0.00198717*298))</f>
        <v>1.3291671078351091</v>
      </c>
      <c r="O13">
        <f>Paq_H_2* EXP(-1*(dE0_H_2/ (1 + ((13/(-1*zMid_H_2)) ^n_H_2)))/(0.00198717*298))</f>
        <v>0.95393983551145489</v>
      </c>
    </row>
    <row r="14" spans="1:15" x14ac:dyDescent="0.25">
      <c r="D14" s="16">
        <v>-4.5</v>
      </c>
      <c r="E14">
        <v>2.5975257289601794</v>
      </c>
      <c r="F14">
        <v>238.06457551464311</v>
      </c>
      <c r="G14">
        <v>0.62429999999999997</v>
      </c>
      <c r="H14">
        <f>Paq_H_1* EXP(-1*(dE0_H_1/ (1 + ((4.5/zMid_H_1) ^n_H_1)))/(0.00198717*298))</f>
        <v>0.68206658626465511</v>
      </c>
      <c r="I14">
        <f t="shared" si="0"/>
        <v>1.4771292705932503E-3</v>
      </c>
      <c r="J14">
        <f>Paq_H_2* EXP(-1*(dE0_H_2/ (1 + ((4.5/(-1*zMid_H_2)) ^n_H_2)))/(0.00198717*298))</f>
        <v>0.62558832977932943</v>
      </c>
      <c r="K14">
        <f t="shared" si="1"/>
        <v>8.0156839739092138E-7</v>
      </c>
      <c r="M14">
        <v>-12</v>
      </c>
      <c r="N14">
        <f>Paq_H_1* EXP(-1*(dE0_H_1/ (1 + ((12/zMid_H_1) ^n_H_1)))/(0.00198717*298))</f>
        <v>1.3138911215850926</v>
      </c>
      <c r="O14">
        <f>Paq_H_2* EXP(-1*(dE0_H_2/ (1 + ((12/(-1*zMid_H_2)) ^n_H_2)))/(0.00198717*298))</f>
        <v>0.95393983551089212</v>
      </c>
    </row>
    <row r="15" spans="1:15" x14ac:dyDescent="0.25">
      <c r="D15" s="17">
        <v>-3</v>
      </c>
      <c r="E15">
        <v>2.4785128642984655</v>
      </c>
      <c r="F15">
        <v>209.69845561618712</v>
      </c>
      <c r="G15">
        <v>0.67630000000000001</v>
      </c>
      <c r="H15">
        <f>Paq_H_1* EXP(-1*(dE0_H_1/ (1 + ((3/zMid_H_1) ^n_H_1)))/(0.00198717*298))</f>
        <v>0.61886113641441787</v>
      </c>
      <c r="I15">
        <f t="shared" si="0"/>
        <v>1.4858077568784774E-3</v>
      </c>
      <c r="J15">
        <f>Paq_H_2* EXP(-1*(dE0_H_2/ (1 + ((3/(-1*zMid_H_2)) ^n_H_2)))/(0.00198717*298))</f>
        <v>0.5943887563473117</v>
      </c>
      <c r="K15">
        <f t="shared" si="1"/>
        <v>3.1437105411190503E-3</v>
      </c>
      <c r="M15">
        <v>-11</v>
      </c>
      <c r="N15">
        <f>Paq_H_1* EXP(-1*(dE0_H_1/ (1 + ((11/zMid_H_1) ^n_H_1)))/(0.00198717*298))</f>
        <v>1.2900913271344225</v>
      </c>
      <c r="O15">
        <f>Paq_H_2* EXP(-1*(dE0_H_2/ (1 + ((11/(-1*zMid_H_2)) ^n_H_2)))/(0.00198717*298))</f>
        <v>0.95393983550309069</v>
      </c>
    </row>
    <row r="16" spans="1:15" x14ac:dyDescent="0.25">
      <c r="D16" s="18">
        <v>-1.5</v>
      </c>
      <c r="E16">
        <v>1.796245035007519</v>
      </c>
      <c r="F16">
        <v>193.12505159558162</v>
      </c>
      <c r="G16">
        <v>0.53220000000000001</v>
      </c>
      <c r="H16">
        <f>Paq_H_1* EXP(-1*(dE0_H_1/ (1 + ((1.5/zMid_H_1) ^n_H_1)))/(0.00198717*298))</f>
        <v>0.6083653448516384</v>
      </c>
      <c r="I16">
        <f t="shared" si="0"/>
        <v>3.3744012283649905E-3</v>
      </c>
      <c r="J16">
        <f>Paq_H_2* EXP(-1*(dE0_H_2/ (1 + ((1.5/(-1*zMid_H_2)) ^n_H_2)))/(0.00198717*298))</f>
        <v>0.59438857853500338</v>
      </c>
      <c r="K16">
        <f t="shared" si="1"/>
        <v>2.3035762215450782E-3</v>
      </c>
      <c r="M16">
        <v>-10</v>
      </c>
      <c r="N16">
        <f>Paq_H_1* EXP(-1*(dE0_H_1/ (1 + ((10/zMid_H_1) ^n_H_1)))/(0.00198717*298))</f>
        <v>1.2525792803156206</v>
      </c>
      <c r="O16">
        <f>Paq_H_2* EXP(-1*(dE0_H_2/ (1 + ((10/(-1*zMid_H_2)) ^n_H_2)))/(0.00198717*298))</f>
        <v>0.95393983536458027</v>
      </c>
    </row>
    <row r="17" spans="4:15" x14ac:dyDescent="0.25">
      <c r="D17" s="19">
        <v>0</v>
      </c>
      <c r="E17">
        <v>2.0152076348635504</v>
      </c>
      <c r="F17">
        <v>197.31337553026106</v>
      </c>
      <c r="G17">
        <v>0.58440000000000003</v>
      </c>
      <c r="H17">
        <f>Paq_H_1* EXP(-1*(dE0_H_1/ (1 + ((0/zMid_H_1) ^n_H_1)))/(0.00198717*298))</f>
        <v>0.60800693738775879</v>
      </c>
      <c r="I17">
        <f t="shared" si="0"/>
        <v>2.9578246395474818E-4</v>
      </c>
      <c r="J17">
        <f>Paq_H_2* EXP(-1*(dE0_H_2/ (1 + ((0/(-1*zMid_H_2)) ^n_H_2)))/(0.00198717*298))</f>
        <v>0.59438857853500326</v>
      </c>
      <c r="K17">
        <f t="shared" si="1"/>
        <v>5.4173256380185925E-5</v>
      </c>
      <c r="M17">
        <v>-9</v>
      </c>
      <c r="N17">
        <f>Paq_H_1* EXP(-1*(dE0_H_1/ (1 + ((9/zMid_H_1) ^n_H_1)))/(0.00198717*298))</f>
        <v>1.1937369549348675</v>
      </c>
      <c r="O17">
        <f>Paq_H_2* EXP(-1*(dE0_H_2/ (1 + ((9/(-1*zMid_H_2)) ^n_H_2)))/(0.00198717*298))</f>
        <v>0.95393983204543831</v>
      </c>
    </row>
    <row r="18" spans="4:15" x14ac:dyDescent="0.25">
      <c r="D18" s="20">
        <v>1.5</v>
      </c>
      <c r="E18">
        <v>2.5478785688413708</v>
      </c>
      <c r="F18">
        <v>211.87289009819162</v>
      </c>
      <c r="G18">
        <v>0.68810000000000004</v>
      </c>
      <c r="H18">
        <f>Paq_H_1* EXP(-1*(dE0_H_1/ (1 + ((1.5/zMid_H_1) ^n_H_1)))/(0.00198717*298))</f>
        <v>0.6083653448516384</v>
      </c>
      <c r="I18">
        <f t="shared" si="0"/>
        <v>2.8608689113674424E-3</v>
      </c>
      <c r="J18">
        <f>Paq_H_2* EXP(-1*(dE0_H_2/ (1 + ((1.5/(-1*zMid_H_2)) ^n_H_2)))/(0.00198717*298))</f>
        <v>0.59438857853500338</v>
      </c>
      <c r="K18">
        <f t="shared" si="1"/>
        <v>4.0425565560680103E-3</v>
      </c>
      <c r="M18">
        <v>-8</v>
      </c>
      <c r="N18">
        <f>Paq_H_1* EXP(-1*(dE0_H_1/ (1 + ((8/zMid_H_1) ^n_H_1)))/(0.00198717*298))</f>
        <v>1.1048870726148554</v>
      </c>
      <c r="O18">
        <f>Paq_H_2* EXP(-1*(dE0_H_2/ (1 + ((8/(-1*zMid_H_2)) ^n_H_2)))/(0.00198717*298))</f>
        <v>0.95393971682176315</v>
      </c>
    </row>
    <row r="19" spans="4:15" x14ac:dyDescent="0.25">
      <c r="D19" s="21">
        <v>3</v>
      </c>
      <c r="E19">
        <v>2.0895655818325345</v>
      </c>
      <c r="F19">
        <v>212.60048258233337</v>
      </c>
      <c r="G19">
        <v>0.56240000000000001</v>
      </c>
      <c r="H19">
        <f>Paq_H_1* EXP(-1*(dE0_H_1/ (1 + ((3/zMid_H_1) ^n_H_1)))/(0.00198717*298))</f>
        <v>0.61886113641441787</v>
      </c>
      <c r="I19">
        <f t="shared" si="0"/>
        <v>1.7262278673671279E-3</v>
      </c>
      <c r="J19">
        <f>Paq_H_2* EXP(-1*(dE0_H_2/ (1 + ((3/(-1*zMid_H_2)) ^n_H_2)))/(0.00198717*298))</f>
        <v>0.5943887563473117</v>
      </c>
      <c r="K19">
        <f t="shared" si="1"/>
        <v>5.7721376970843309E-4</v>
      </c>
      <c r="M19">
        <v>-7</v>
      </c>
      <c r="N19">
        <f>Paq_H_1* EXP(-1*(dE0_H_1/ (1 + ((7/zMid_H_1) ^n_H_1)))/(0.00198717*298))</f>
        <v>0.98321821219268579</v>
      </c>
      <c r="O19">
        <f>Paq_H_2* EXP(-1*(dE0_H_2/ (1 + ((7/(-1*zMid_H_2)) ^n_H_2)))/(0.00198717*298))</f>
        <v>0.95393331676639137</v>
      </c>
    </row>
    <row r="20" spans="4:15" x14ac:dyDescent="0.25">
      <c r="D20" s="22">
        <v>4.5</v>
      </c>
      <c r="E20">
        <v>2.4850999155925733</v>
      </c>
      <c r="F20">
        <v>207.82615645104704</v>
      </c>
      <c r="G20">
        <v>0.68420000000000003</v>
      </c>
      <c r="H20">
        <f>Paq_H_1* EXP(-1*(dE0_H_1/ (1 + ((4.5/zMid_H_1) ^n_H_1)))/(0.00198717*298))</f>
        <v>0.68206658626465511</v>
      </c>
      <c r="I20">
        <f t="shared" si="0"/>
        <v>1.8395373028127725E-6</v>
      </c>
      <c r="J20">
        <f>Paq_H_2* EXP(-1*(dE0_H_2/ (1 + ((4.5/(-1*zMid_H_2)) ^n_H_2)))/(0.00198717*298))</f>
        <v>0.62558832977932943</v>
      </c>
      <c r="K20">
        <f t="shared" si="1"/>
        <v>1.5127767935605844E-3</v>
      </c>
      <c r="M20">
        <v>-6</v>
      </c>
      <c r="N20">
        <f>Paq_H_1* EXP(-1*(dE0_H_1/ (1 + ((6/zMid_H_1) ^n_H_1)))/(0.00198717*298))</f>
        <v>0.84474853136787997</v>
      </c>
      <c r="O20">
        <f>Paq_H_2* EXP(-1*(dE0_H_2/ (1 + ((6/(-1*zMid_H_2)) ^n_H_2)))/(0.00198717*298))</f>
        <v>0.95327642057026429</v>
      </c>
    </row>
    <row r="21" spans="4:15" x14ac:dyDescent="0.25">
      <c r="D21" s="23">
        <v>6</v>
      </c>
      <c r="E21">
        <v>3.2506302133791034</v>
      </c>
      <c r="F21">
        <v>218.70380004479716</v>
      </c>
      <c r="G21">
        <v>0.85050000000000003</v>
      </c>
      <c r="H21">
        <f>Paq_H_1* EXP(-1*(dE0_H_1/ (1 + ((6/zMid_H_1) ^n_H_1)))/(0.00198717*298))</f>
        <v>0.84474853136787997</v>
      </c>
      <c r="I21">
        <f t="shared" si="0"/>
        <v>8.6840577721497505E-6</v>
      </c>
      <c r="J21">
        <f>Paq_H_2* EXP(-1*(dE0_H_2/ (1 + ((6/(-1*zMid_H_2)) ^n_H_2)))/(0.00198717*298))</f>
        <v>0.95327642057026429</v>
      </c>
      <c r="K21">
        <f t="shared" si="1"/>
        <v>2.4546607372849145E-3</v>
      </c>
      <c r="M21">
        <v>-5</v>
      </c>
      <c r="N21">
        <f>Paq_H_1* EXP(-1*(dE0_H_1/ (1 + ((5/zMid_H_1) ^n_H_1)))/(0.00198717*298))</f>
        <v>0.72520692650479468</v>
      </c>
      <c r="O21">
        <f>Paq_H_2* EXP(-1*(dE0_H_2/ (1 + ((5/(-1*zMid_H_2)) ^n_H_2)))/(0.00198717*298))</f>
        <v>0.84392017280121689</v>
      </c>
    </row>
    <row r="22" spans="4:15" x14ac:dyDescent="0.25">
      <c r="D22" s="24">
        <v>7.5</v>
      </c>
      <c r="E22">
        <v>4.1241837467194644</v>
      </c>
      <c r="F22">
        <v>210.91142211418727</v>
      </c>
      <c r="G22">
        <v>1.1189</v>
      </c>
      <c r="H22">
        <f>Paq_H_1* EXP(-1*(dE0_H_1/ (1 + ((7.5/zMid_H_1) ^n_H_1)))/(0.00198717*298))</f>
        <v>1.0477441376211485</v>
      </c>
      <c r="I22">
        <f t="shared" si="0"/>
        <v>8.1430525454947056E-4</v>
      </c>
      <c r="J22">
        <f>Paq_H_2* EXP(-1*(dE0_H_2/ (1 + ((7.5/(-1*zMid_H_2)) ^n_H_2)))/(0.00198717*298))</f>
        <v>0.95393901274979065</v>
      </c>
      <c r="K22">
        <f t="shared" si="1"/>
        <v>4.7984248329930104E-3</v>
      </c>
      <c r="M22">
        <v>-4</v>
      </c>
      <c r="N22">
        <f>Paq_H_1* EXP(-1*(dE0_H_1/ (1 + ((4/zMid_H_1) ^n_H_1)))/(0.00198717*298))</f>
        <v>0.6511471454529163</v>
      </c>
      <c r="O22">
        <f>Paq_H_2* EXP(-1*(dE0_H_2/ (1 + ((4/(-1*zMid_H_2)) ^n_H_2)))/(0.00198717*298))</f>
        <v>0.59538158370929384</v>
      </c>
    </row>
    <row r="23" spans="4:15" x14ac:dyDescent="0.25">
      <c r="D23" s="25">
        <v>9</v>
      </c>
      <c r="E23">
        <v>3.9625927123616957</v>
      </c>
      <c r="F23">
        <v>213.79921748310556</v>
      </c>
      <c r="G23">
        <v>1.0605</v>
      </c>
      <c r="H23">
        <f>Paq_H_1* EXP(-1*(dE0_H_1/ (1 + ((9/zMid_H_1) ^n_H_1)))/(0.00198717*298))</f>
        <v>1.1937369549348675</v>
      </c>
      <c r="I23">
        <f t="shared" si="0"/>
        <v>2.641750891321949E-3</v>
      </c>
      <c r="J23">
        <f>Paq_H_2* EXP(-1*(dE0_H_2/ (1 + ((9/(-1*zMid_H_2)) ^n_H_2)))/(0.00198717*298))</f>
        <v>0.95393983204543831</v>
      </c>
      <c r="K23">
        <f t="shared" si="1"/>
        <v>2.1150515485364335E-3</v>
      </c>
      <c r="M23">
        <v>-3</v>
      </c>
      <c r="N23">
        <f>Paq_H_1* EXP(-1*(dE0_H_1/ (1 + ((3/zMid_H_1) ^n_H_1)))/(0.00198717*298))</f>
        <v>0.61886113641441787</v>
      </c>
      <c r="O23">
        <f>Paq_H_2* EXP(-1*(dE0_H_2/ (1 + ((3/(-1*zMid_H_2)) ^n_H_2)))/(0.00198717*298))</f>
        <v>0.5943887563473117</v>
      </c>
    </row>
    <row r="24" spans="4:15" x14ac:dyDescent="0.25">
      <c r="D24" s="26">
        <v>10.5</v>
      </c>
      <c r="E24">
        <v>4.3076521194859696</v>
      </c>
      <c r="F24">
        <v>220.63045274559784</v>
      </c>
      <c r="G24">
        <v>1.1172</v>
      </c>
      <c r="H24">
        <f>Paq_H_1* EXP(-1*(dE0_H_1/ (1 + ((10.5/zMid_H_1) ^n_H_1)))/(0.00198717*298))</f>
        <v>1.2734686584223738</v>
      </c>
      <c r="I24">
        <f t="shared" si="0"/>
        <v>3.2327564180670266E-3</v>
      </c>
      <c r="J24">
        <f>Paq_H_2* EXP(-1*(dE0_H_2/ (1 + ((10.5/(-1*zMid_H_2)) ^n_H_2)))/(0.00198717*298))</f>
        <v>0.9539398354775146</v>
      </c>
      <c r="K24">
        <f t="shared" si="1"/>
        <v>4.7073241691487806E-3</v>
      </c>
      <c r="M24">
        <v>-2</v>
      </c>
      <c r="N24">
        <f>Paq_H_1* EXP(-1*(dE0_H_1/ (1 + ((2/zMid_H_1) ^n_H_1)))/(0.00198717*298))</f>
        <v>0.60948899569996795</v>
      </c>
      <c r="O24">
        <f>Paq_H_2* EXP(-1*(dE0_H_2/ (1 + ((2/(-1*zMid_H_2)) ^n_H_2)))/(0.00198717*298))</f>
        <v>0.59438857853593063</v>
      </c>
    </row>
    <row r="25" spans="4:15" x14ac:dyDescent="0.25">
      <c r="D25" s="27">
        <v>12</v>
      </c>
      <c r="E25">
        <v>6.6684292600704058</v>
      </c>
      <c r="F25">
        <v>225.0124392487848</v>
      </c>
      <c r="G25">
        <v>1.6958</v>
      </c>
      <c r="H25">
        <f>Paq_H_1* EXP(-1*(dE0_H_1/ (1 + ((12/zMid_H_1) ^n_H_1)))/(0.00198717*298))</f>
        <v>1.3138911215850926</v>
      </c>
      <c r="I25">
        <f t="shared" si="0"/>
        <v>1.2280020288753116E-2</v>
      </c>
      <c r="J25">
        <f>Paq_H_2* EXP(-1*(dE0_H_2/ (1 + ((12/(-1*zMid_H_2)) ^n_H_2)))/(0.00198717*298))</f>
        <v>0.95393983551089212</v>
      </c>
      <c r="K25">
        <f t="shared" si="1"/>
        <v>6.2426844463489076E-2</v>
      </c>
      <c r="M25">
        <v>-1</v>
      </c>
      <c r="N25">
        <f>Paq_H_1* EXP(-1*(dE0_H_1/ (1 + ((1/zMid_H_1) ^n_H_1)))/(0.00198717*298))</f>
        <v>0.60805533368651765</v>
      </c>
      <c r="O25">
        <f>Paq_H_2* EXP(-1*(dE0_H_2/ (1 + ((1/(-1*zMid_H_2)) ^n_H_2)))/(0.00198717*298))</f>
        <v>0.59438857853500326</v>
      </c>
    </row>
    <row r="26" spans="4:15" x14ac:dyDescent="0.25">
      <c r="D26" s="28">
        <v>13.5</v>
      </c>
      <c r="E26">
        <v>6.1557170874167868</v>
      </c>
      <c r="F26">
        <v>218.45557134306293</v>
      </c>
      <c r="G26">
        <v>1.6124000000000001</v>
      </c>
      <c r="H26">
        <f>Paq_H_1* EXP(-1*(dE0_H_1/ (1 + ((13.5/zMid_H_1) ^n_H_1)))/(0.00198717*298))</f>
        <v>1.3346769343445304</v>
      </c>
      <c r="I26">
        <f t="shared" si="0"/>
        <v>6.7398573716671495E-3</v>
      </c>
      <c r="J26">
        <f>Paq_H_2* EXP(-1*(dE0_H_2/ (1 + ((13.5/(-1*zMid_H_2)) ^n_H_2)))/(0.00198717*298))</f>
        <v>0.95393983551149297</v>
      </c>
      <c r="K26">
        <f t="shared" si="1"/>
        <v>5.1962025238605283E-2</v>
      </c>
      <c r="M26">
        <v>0</v>
      </c>
      <c r="N26">
        <f>Paq_H_1* EXP(-1*(dE0_H_1/ (1 + ((0/zMid_H_1) ^n_H_1)))/(0.00198717*298))</f>
        <v>0.60800693738775879</v>
      </c>
      <c r="O26">
        <f>Paq_H_2* EXP(-1*(dE0_H_2/ (1 + ((0/(-1*zMid_H_2)) ^n_H_2)))/(0.00198717*298))</f>
        <v>0.59438857853500326</v>
      </c>
    </row>
    <row r="27" spans="4:15" x14ac:dyDescent="0.25">
      <c r="D27" s="29">
        <v>15</v>
      </c>
      <c r="E27">
        <v>4.4585850189277041</v>
      </c>
      <c r="F27">
        <v>224.03276726794545</v>
      </c>
      <c r="G27">
        <v>1.1388</v>
      </c>
      <c r="H27">
        <f>Paq_H_1* EXP(-1*(dE0_H_1/ (1 + ((15/zMid_H_1) ^n_H_1)))/(0.00198717*298))</f>
        <v>1.3458292049547496</v>
      </c>
      <c r="I27">
        <f t="shared" si="0"/>
        <v>5.2624128456753615E-3</v>
      </c>
      <c r="J27">
        <f>Paq_H_2* EXP(-1*(dE0_H_2/ (1 + ((15/(-1*zMid_H_2)) ^n_H_2)))/(0.00198717*298))</f>
        <v>0.95393983551151029</v>
      </c>
      <c r="K27">
        <f t="shared" si="1"/>
        <v>5.9176823457372405E-3</v>
      </c>
      <c r="M27">
        <v>1</v>
      </c>
      <c r="N27">
        <f>Paq_H_1* EXP(-1*(dE0_H_1/ (1 + ((1/zMid_H_1) ^n_H_1)))/(0.00198717*298))</f>
        <v>0.60805533368651765</v>
      </c>
      <c r="O27">
        <f>Paq_H_2* EXP(-1*(dE0_H_2/ (1 + ((1/(-1*zMid_H_2)) ^n_H_2)))/(0.00198717*298))</f>
        <v>0.59438857853500326</v>
      </c>
    </row>
    <row r="28" spans="4:15" x14ac:dyDescent="0.25">
      <c r="D28" s="30">
        <v>16.5</v>
      </c>
      <c r="E28">
        <v>4.5107984912331798</v>
      </c>
      <c r="F28">
        <v>233.75708221892813</v>
      </c>
      <c r="G28">
        <v>1.1042000000000001</v>
      </c>
      <c r="H28">
        <f>Paq_H_1* EXP(-1*(dE0_H_1/ (1 + ((16.5/zMid_H_1) ^n_H_1)))/(0.00198717*298))</f>
        <v>1.3521045952461168</v>
      </c>
      <c r="I28">
        <f t="shared" si="0"/>
        <v>7.737409494744503E-3</v>
      </c>
      <c r="J28">
        <f>Paq_H_2* EXP(-1*(dE0_H_2/ (1 + ((16.5/(-1*zMid_H_2)) ^n_H_2)))/(0.00198717*298))</f>
        <v>0.95393983551151107</v>
      </c>
      <c r="K28">
        <f t="shared" si="1"/>
        <v>4.0356489772943429E-3</v>
      </c>
      <c r="M28">
        <v>2</v>
      </c>
      <c r="N28">
        <f>Paq_H_1* EXP(-1*(dE0_H_1/ (1 + ((2/zMid_H_1) ^n_H_1)))/(0.00198717*298))</f>
        <v>0.60948899569996795</v>
      </c>
      <c r="O28">
        <f>Paq_H_2* EXP(-1*(dE0_H_2/ (1 + ((2/(-1*zMid_H_2)) ^n_H_2)))/(0.00198717*298))</f>
        <v>0.59438857853593063</v>
      </c>
    </row>
    <row r="29" spans="4:15" x14ac:dyDescent="0.25">
      <c r="D29" s="31">
        <v>18</v>
      </c>
      <c r="E29">
        <v>5.3225683362488567</v>
      </c>
      <c r="F29">
        <v>221.14244125881021</v>
      </c>
      <c r="G29">
        <v>1.3772</v>
      </c>
      <c r="H29">
        <f>Paq_H_1* EXP(-1*(dE0_H_1/ (1 + ((18/zMid_H_1) ^n_H_1)))/(0.00198717*298))</f>
        <v>1.3557985213176886</v>
      </c>
      <c r="I29">
        <f t="shared" si="0"/>
        <v>4.6265273830652819E-5</v>
      </c>
      <c r="J29">
        <f>Paq_H_2* EXP(-1*(dE0_H_2/ (1 + ((18/(-1*zMid_H_2)) ^n_H_2)))/(0.00198717*298))</f>
        <v>0.95393983551151107</v>
      </c>
      <c r="K29">
        <f t="shared" si="1"/>
        <v>2.5432603886705343E-2</v>
      </c>
      <c r="M29">
        <v>3</v>
      </c>
      <c r="N29">
        <f>Paq_H_1* EXP(-1*(dE0_H_1/ (1 + ((3/zMid_H_1) ^n_H_1)))/(0.00198717*298))</f>
        <v>0.61886113641441787</v>
      </c>
      <c r="O29">
        <f>Paq_H_2* EXP(-1*(dE0_H_2/ (1 + ((3/(-1*zMid_H_2)) ^n_H_2)))/(0.00198717*298))</f>
        <v>0.5943887563473117</v>
      </c>
    </row>
    <row r="30" spans="4:15" x14ac:dyDescent="0.25">
      <c r="D30" s="32">
        <v>19.5</v>
      </c>
      <c r="E30">
        <v>5.2273293590740435</v>
      </c>
      <c r="F30">
        <v>203.08284087537984</v>
      </c>
      <c r="G30">
        <v>1.4729000000000001</v>
      </c>
      <c r="H30">
        <f>Paq_H_1* EXP(-1*(dE0_H_1/ (1 + ((19.5/zMid_H_1) ^n_H_1)))/(0.00198717*298))</f>
        <v>1.358062602802798</v>
      </c>
      <c r="I30">
        <f t="shared" si="0"/>
        <v>1.2428072902052243E-3</v>
      </c>
      <c r="J30">
        <f>Paq_H_2* EXP(-1*(dE0_H_2/ (1 + ((19.5/(-1*zMid_H_2)) ^n_H_2)))/(0.00198717*298))</f>
        <v>0.95393983551151107</v>
      </c>
      <c r="K30">
        <f t="shared" si="1"/>
        <v>3.5589681741475282E-2</v>
      </c>
      <c r="M30">
        <v>4</v>
      </c>
      <c r="N30">
        <f>Paq_H_1* EXP(-1*(dE0_H_1/ (1 + ((4/zMid_H_1) ^n_H_1)))/(0.00198717*298))</f>
        <v>0.6511471454529163</v>
      </c>
      <c r="O30">
        <f>Paq_H_2* EXP(-1*(dE0_H_2/ (1 + ((4/(-1*zMid_H_2)) ^n_H_2)))/(0.00198717*298))</f>
        <v>0.59538158370929384</v>
      </c>
    </row>
    <row r="31" spans="4:15" x14ac:dyDescent="0.25">
      <c r="D31" s="33">
        <v>21</v>
      </c>
      <c r="E31">
        <v>5.167033359817168</v>
      </c>
      <c r="F31">
        <v>202.23586360890673</v>
      </c>
      <c r="G31">
        <v>1.462</v>
      </c>
      <c r="H31">
        <f>Paq_H_1* EXP(-1*(dE0_H_1/ (1 + ((21/zMid_H_1) ^n_H_1)))/(0.00198717*298))</f>
        <v>1.3595006426312812</v>
      </c>
      <c r="I31">
        <f t="shared" si="0"/>
        <v>9.9653580868979135E-4</v>
      </c>
      <c r="J31">
        <f>Paq_H_2* EXP(-1*(dE0_H_2/ (1 + ((21/(-1*zMid_H_2)) ^n_H_2)))/(0.00198717*298))</f>
        <v>0.95393983551151107</v>
      </c>
      <c r="K31">
        <f t="shared" si="1"/>
        <v>3.4382945285420644E-2</v>
      </c>
      <c r="M31">
        <v>5</v>
      </c>
      <c r="N31">
        <f>Paq_H_1* EXP(-1*(dE0_H_1/ (1 + ((5/zMid_H_1) ^n_H_1)))/(0.00198717*298))</f>
        <v>0.72520692650479468</v>
      </c>
      <c r="O31">
        <f>Paq_H_2* EXP(-1*(dE0_H_2/ (1 + ((5/(-1*zMid_H_2)) ^n_H_2)))/(0.00198717*298))</f>
        <v>0.84392017280121689</v>
      </c>
    </row>
    <row r="32" spans="4:15" x14ac:dyDescent="0.25">
      <c r="D32" s="34">
        <v>22.5</v>
      </c>
      <c r="E32">
        <v>4.162144055336455</v>
      </c>
      <c r="F32">
        <v>185.59265872251723</v>
      </c>
      <c r="G32">
        <v>1.2833000000000001</v>
      </c>
      <c r="H32">
        <f>Paq_H_1* EXP(-1*(dE0_H_1/ (1 + ((22.5/zMid_H_1) ^n_H_1)))/(0.00198717*298))</f>
        <v>1.360443045780072</v>
      </c>
      <c r="I32">
        <f t="shared" si="0"/>
        <v>6.4273256042567063E-4</v>
      </c>
      <c r="J32">
        <f>Paq_H_2* EXP(-1*(dE0_H_2/ (1 + ((22.5/(-1*zMid_H_2)) ^n_H_2)))/(0.00198717*298))</f>
        <v>0.95393983551151107</v>
      </c>
      <c r="K32">
        <f t="shared" si="1"/>
        <v>1.6591297199882081E-2</v>
      </c>
      <c r="M32">
        <v>6</v>
      </c>
      <c r="N32">
        <f>Paq_H_1* EXP(-1*(dE0_H_1/ (1 + ((6/zMid_H_1) ^n_H_1)))/(0.00198717*298))</f>
        <v>0.84474853136787997</v>
      </c>
      <c r="O32">
        <f>Paq_H_2* EXP(-1*(dE0_H_2/ (1 + ((6/(-1*zMid_H_2)) ^n_H_2)))/(0.00198717*298))</f>
        <v>0.95327642057026429</v>
      </c>
    </row>
    <row r="33" spans="7:15" x14ac:dyDescent="0.25">
      <c r="M33">
        <v>7</v>
      </c>
      <c r="N33">
        <f>Paq_H_1* EXP(-1*(dE0_H_1/ (1 + ((7/zMid_H_1) ^n_H_1)))/(0.00198717*298))</f>
        <v>0.98321821219268579</v>
      </c>
      <c r="O33">
        <f>Paq_H_2* EXP(-1*(dE0_H_2/ (1 + ((7/(-1*zMid_H_2)) ^n_H_2)))/(0.00198717*298))</f>
        <v>0.95393331676639137</v>
      </c>
    </row>
    <row r="34" spans="7:15" x14ac:dyDescent="0.25">
      <c r="G34" t="s">
        <v>18</v>
      </c>
      <c r="H34" s="1" t="s">
        <v>20</v>
      </c>
      <c r="I34">
        <f>SQRT(AVERAGE(I$17:I$32))</f>
        <v>5.3927182579668366E-2</v>
      </c>
      <c r="M34">
        <v>8</v>
      </c>
      <c r="N34">
        <f>Paq_H_1* EXP(-1*(dE0_H_1/ (1 + ((8/zMid_H_1) ^n_H_1)))/(0.00198717*298))</f>
        <v>1.1048870726148554</v>
      </c>
      <c r="O34">
        <f>Paq_H_2* EXP(-1*(dE0_H_2/ (1 + ((8/(-1*zMid_H_2)) ^n_H_2)))/(0.00198717*298))</f>
        <v>0.95393971682176315</v>
      </c>
    </row>
    <row r="35" spans="7:15" x14ac:dyDescent="0.25">
      <c r="G35" t="s">
        <v>19</v>
      </c>
      <c r="J35" s="1" t="s">
        <v>20</v>
      </c>
      <c r="K35">
        <f>SQRT(AVERAGE(K$2:K$17))</f>
        <v>7.800266005142717E-2</v>
      </c>
      <c r="M35">
        <v>9</v>
      </c>
      <c r="N35">
        <f>Paq_H_1* EXP(-1*(dE0_H_1/ (1 + ((9/zMid_H_1) ^n_H_1)))/(0.00198717*298))</f>
        <v>1.1937369549348675</v>
      </c>
      <c r="O35">
        <f>Paq_H_2* EXP(-1*(dE0_H_2/ (1 + ((9/(-1*zMid_H_2)) ^n_H_2)))/(0.00198717*298))</f>
        <v>0.95393983204543831</v>
      </c>
    </row>
    <row r="36" spans="7:15" x14ac:dyDescent="0.25">
      <c r="M36">
        <v>10</v>
      </c>
      <c r="N36">
        <f>Paq_H_1* EXP(-1*(dE0_H_1/ (1 + ((10/zMid_H_1) ^n_H_1)))/(0.00198717*298))</f>
        <v>1.2525792803156206</v>
      </c>
      <c r="O36">
        <f>Paq_H_2* EXP(-1*(dE0_H_2/ (1 + ((10/(-1*zMid_H_2)) ^n_H_2)))/(0.00198717*298))</f>
        <v>0.95393983536458027</v>
      </c>
    </row>
    <row r="37" spans="7:15" x14ac:dyDescent="0.25">
      <c r="M37">
        <v>11</v>
      </c>
      <c r="N37">
        <f>Paq_H_1* EXP(-1*(dE0_H_1/ (1 + ((11/zMid_H_1) ^n_H_1)))/(0.00198717*298))</f>
        <v>1.2900913271344225</v>
      </c>
      <c r="O37">
        <f>Paq_H_2* EXP(-1*(dE0_H_2/ (1 + ((11/(-1*zMid_H_2)) ^n_H_2)))/(0.00198717*298))</f>
        <v>0.95393983550309069</v>
      </c>
    </row>
    <row r="38" spans="7:15" x14ac:dyDescent="0.25">
      <c r="M38">
        <v>12</v>
      </c>
      <c r="N38">
        <f>Paq_H_1* EXP(-1*(dE0_H_1/ (1 + ((12/zMid_H_1) ^n_H_1)))/(0.00198717*298))</f>
        <v>1.3138911215850926</v>
      </c>
      <c r="O38">
        <f>Paq_H_2* EXP(-1*(dE0_H_2/ (1 + ((12/(-1*zMid_H_2)) ^n_H_2)))/(0.00198717*298))</f>
        <v>0.95393983551089212</v>
      </c>
    </row>
    <row r="39" spans="7:15" x14ac:dyDescent="0.25">
      <c r="M39">
        <v>13</v>
      </c>
      <c r="N39">
        <f>Paq_H_1* EXP(-1*(dE0_H_1/ (1 + ((13/zMid_H_1) ^n_H_1)))/(0.00198717*298))</f>
        <v>1.3291671078351091</v>
      </c>
      <c r="O39">
        <f>Paq_H_2* EXP(-1*(dE0_H_2/ (1 + ((13/(-1*zMid_H_2)) ^n_H_2)))/(0.00198717*298))</f>
        <v>0.95393983551145489</v>
      </c>
    </row>
    <row r="40" spans="7:15" x14ac:dyDescent="0.25">
      <c r="M40">
        <v>14</v>
      </c>
      <c r="N40">
        <f>Paq_H_1* EXP(-1*(dE0_H_1/ (1 + ((14/zMid_H_1) ^n_H_1)))/(0.00198717*298))</f>
        <v>1.3391570072671668</v>
      </c>
      <c r="O40">
        <f>Paq_H_2* EXP(-1*(dE0_H_2/ (1 + ((14/(-1*zMid_H_2)) ^n_H_2)))/(0.00198717*298))</f>
        <v>0.95393983551150507</v>
      </c>
    </row>
    <row r="41" spans="7:15" x14ac:dyDescent="0.25">
      <c r="M41">
        <v>15</v>
      </c>
      <c r="N41">
        <f>Paq_H_1* EXP(-1*(dE0_H_1/ (1 + ((15/zMid_H_1) ^n_H_1)))/(0.00198717*298))</f>
        <v>1.3458292049547496</v>
      </c>
      <c r="O41">
        <f>Paq_H_2* EXP(-1*(dE0_H_2/ (1 + ((15/(-1*zMid_H_2)) ^n_H_2)))/(0.00198717*298))</f>
        <v>0.95393983551151029</v>
      </c>
    </row>
    <row r="42" spans="7:15" x14ac:dyDescent="0.25">
      <c r="M42">
        <v>16</v>
      </c>
      <c r="N42">
        <f>Paq_H_1* EXP(-1*(dE0_H_1/ (1 + ((16/zMid_H_1) ^n_H_1)))/(0.00198717*298))</f>
        <v>1.3503810446955777</v>
      </c>
      <c r="O42">
        <f>Paq_H_2* EXP(-1*(dE0_H_2/ (1 + ((16/(-1*zMid_H_2)) ^n_H_2)))/(0.00198717*298))</f>
        <v>0.95393983551151096</v>
      </c>
    </row>
    <row r="43" spans="7:15" x14ac:dyDescent="0.25">
      <c r="M43">
        <v>17</v>
      </c>
      <c r="N43">
        <f>Paq_H_1* EXP(-1*(dE0_H_1/ (1 + ((17/zMid_H_1) ^n_H_1)))/(0.00198717*298))</f>
        <v>1.353550029963873</v>
      </c>
      <c r="O43">
        <f>Paq_H_2* EXP(-1*(dE0_H_2/ (1 + ((17/(-1*zMid_H_2)) ^n_H_2)))/(0.00198717*298))</f>
        <v>0.95393983551151107</v>
      </c>
    </row>
    <row r="44" spans="7:15" x14ac:dyDescent="0.25">
      <c r="M44">
        <v>18</v>
      </c>
      <c r="N44">
        <f>Paq_H_1* EXP(-1*(dE0_H_1/ (1 + ((18/zMid_H_1) ^n_H_1)))/(0.00198717*298))</f>
        <v>1.3557985213176886</v>
      </c>
      <c r="O44">
        <f>Paq_H_2* EXP(-1*(dE0_H_2/ (1 + ((18/(-1*zMid_H_2)) ^n_H_2)))/(0.00198717*298))</f>
        <v>0.95393983551151107</v>
      </c>
    </row>
    <row r="45" spans="7:15" x14ac:dyDescent="0.25">
      <c r="M45">
        <v>19</v>
      </c>
      <c r="N45">
        <f>Paq_H_1* EXP(-1*(dE0_H_1/ (1 + ((19/zMid_H_1) ^n_H_1)))/(0.00198717*298))</f>
        <v>1.3574220908666488</v>
      </c>
      <c r="O45">
        <f>Paq_H_2* EXP(-1*(dE0_H_2/ (1 + ((19/(-1*zMid_H_2)) ^n_H_2)))/(0.00198717*298))</f>
        <v>0.95393983551151107</v>
      </c>
    </row>
    <row r="46" spans="7:15" x14ac:dyDescent="0.25">
      <c r="M46">
        <v>20</v>
      </c>
      <c r="N46">
        <f>Paq_H_1* EXP(-1*(dE0_H_1/ (1 + ((20/zMid_H_1) ^n_H_1)))/(0.00198717*298))</f>
        <v>1.3586134446541644</v>
      </c>
      <c r="O46">
        <f>Paq_H_2* EXP(-1*(dE0_H_2/ (1 + ((20/(-1*zMid_H_2)) ^n_H_2)))/(0.00198717*298))</f>
        <v>0.95393983551151107</v>
      </c>
    </row>
    <row r="47" spans="7:15" x14ac:dyDescent="0.25">
      <c r="M47">
        <v>21</v>
      </c>
      <c r="N47">
        <f>Paq_H_1* EXP(-1*(dE0_H_1/ (1 + ((21/zMid_H_1) ^n_H_1)))/(0.00198717*298))</f>
        <v>1.3595006426312812</v>
      </c>
      <c r="O47">
        <f>Paq_H_2* EXP(-1*(dE0_H_2/ (1 + ((21/(-1*zMid_H_2)) ^n_H_2)))/(0.00198717*298))</f>
        <v>0.95393983551151107</v>
      </c>
    </row>
    <row r="48" spans="7:15" x14ac:dyDescent="0.25">
      <c r="M48">
        <v>22</v>
      </c>
      <c r="N48">
        <f>Paq_H_1* EXP(-1*(dE0_H_1/ (1 + ((22/zMid_H_1) ^n_H_1)))/(0.00198717*298))</f>
        <v>1.360170340165223</v>
      </c>
      <c r="O48">
        <f>Paq_H_2* EXP(-1*(dE0_H_2/ (1 + ((22/(-1*zMid_H_2)) ^n_H_2)))/(0.00198717*298))</f>
        <v>0.95393983551151107</v>
      </c>
    </row>
    <row r="49" spans="13:15" x14ac:dyDescent="0.25">
      <c r="M49">
        <v>23</v>
      </c>
      <c r="N49">
        <f>Paq_H_1* EXP(-1*(dE0_H_1/ (1 + ((23/zMid_H_1) ^n_H_1)))/(0.00198717*298))</f>
        <v>1.3606821801230427</v>
      </c>
      <c r="O49">
        <f>Paq_H_2* EXP(-1*(dE0_H_2/ (1 + ((23/(-1*zMid_H_2)) ^n_H_2)))/(0.00198717*298))</f>
        <v>0.95393983551151107</v>
      </c>
    </row>
    <row r="50" spans="13:15" x14ac:dyDescent="0.25">
      <c r="M50">
        <v>24</v>
      </c>
      <c r="N50">
        <f>Paq_H_1* EXP(-1*(dE0_H_1/ (1 + ((24/zMid_H_1) ^n_H_1)))/(0.00198717*298))</f>
        <v>1.3610778694836765</v>
      </c>
      <c r="O50">
        <f>Paq_H_2* EXP(-1*(dE0_H_2/ (1 + ((24/(-1*zMid_H_2)) ^n_H_2)))/(0.00198717*298))</f>
        <v>0.95393983551151107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O50"/>
  <sheetViews>
    <sheetView topLeftCell="A40" workbookViewId="0"/>
  </sheetViews>
  <sheetFormatPr defaultRowHeight="15" x14ac:dyDescent="0.25"/>
  <cols>
    <col min="1" max="1" width="6" bestFit="1" customWidth="1"/>
    <col min="2" max="2" width="12.7109375" bestFit="1" customWidth="1"/>
    <col min="4" max="4" width="10.42578125" bestFit="1" customWidth="1"/>
    <col min="5" max="6" width="12" bestFit="1" customWidth="1"/>
    <col min="7" max="7" width="16.140625" bestFit="1" customWidth="1"/>
    <col min="8" max="11" width="12" bestFit="1" customWidth="1"/>
    <col min="13" max="13" width="3.7109375" bestFit="1" customWidth="1"/>
    <col min="14" max="15" width="12" bestFit="1" customWidth="1"/>
  </cols>
  <sheetData>
    <row r="1" spans="1:15" ht="18" x14ac:dyDescent="0.35">
      <c r="A1" s="1" t="s">
        <v>0</v>
      </c>
      <c r="B1">
        <v>4425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M1" s="1" t="s">
        <v>21</v>
      </c>
      <c r="N1" s="1" t="s">
        <v>22</v>
      </c>
      <c r="O1" s="1" t="s">
        <v>23</v>
      </c>
    </row>
    <row r="2" spans="1:15" ht="18" x14ac:dyDescent="0.35">
      <c r="A2" s="1" t="s">
        <v>1</v>
      </c>
      <c r="B2">
        <v>56.897179201901551</v>
      </c>
      <c r="D2" s="4">
        <v>-22.5</v>
      </c>
      <c r="E2">
        <v>0.41178127682693388</v>
      </c>
      <c r="F2">
        <v>37.146305786227806</v>
      </c>
      <c r="G2">
        <v>0.86209999999999998</v>
      </c>
      <c r="H2">
        <f>Paq_M_1* EXP(-1*(dE0_M_1/ (1 + ((22.5/zMid_M_1) ^n_M_1)))/(0.00198717*298))</f>
        <v>0.62678335138610342</v>
      </c>
      <c r="I2">
        <f t="shared" ref="I2:I32" si="0">IF(ISERROR((LOG(H2)-LOG(G2))^2),0,(LOG(H2)-LOG(G2))^2)</f>
        <v>1.9165687001740882E-2</v>
      </c>
      <c r="J2">
        <f>Paq_M_2* EXP(-1*(dE0_M_2/ (1 + ((22.5/(-1*zMid_M_2)) ^n_M_2)))/(0.00198717*298))</f>
        <v>0.91837040188923691</v>
      </c>
      <c r="K2">
        <f t="shared" ref="K2:K32" si="1">IF(ISERROR((LOG(J2)-LOG(G2))^2),0,(LOG(J2)-LOG(G2))^2)</f>
        <v>7.5406441468676749E-4</v>
      </c>
      <c r="M2">
        <v>-24</v>
      </c>
      <c r="N2">
        <f>Paq_M_1* EXP(-1*(dE0_M_1/ (1 + ((24/zMid_M_1) ^n_M_1)))/(0.00198717*298))</f>
        <v>0.60338519224423726</v>
      </c>
      <c r="O2">
        <f>Paq_M_2* EXP(-1*(dE0_M_2/ (1 + ((24/(-1*zMid_M_2)) ^n_M_2)))/(0.00198717*298))</f>
        <v>0.91308470955718346</v>
      </c>
    </row>
    <row r="3" spans="1:15" x14ac:dyDescent="0.25">
      <c r="D3" s="5">
        <v>-21</v>
      </c>
      <c r="E3">
        <v>0.82491505861122616</v>
      </c>
      <c r="F3">
        <v>53.383067205069459</v>
      </c>
      <c r="G3">
        <v>1.2018</v>
      </c>
      <c r="H3">
        <f>Paq_M_1* EXP(-1*(dE0_M_1/ (1 + ((21/zMid_M_1) ^n_M_1)))/(0.00198717*298))</f>
        <v>0.65503517026899338</v>
      </c>
      <c r="I3">
        <f t="shared" si="0"/>
        <v>6.9467869669907548E-2</v>
      </c>
      <c r="J3">
        <f>Paq_M_2* EXP(-1*(dE0_M_2/ (1 + ((21/(-1*zMid_M_2)) ^n_M_2)))/(0.00198717*298))</f>
        <v>0.92500205610135255</v>
      </c>
      <c r="K3">
        <f t="shared" si="1"/>
        <v>1.2925302770453733E-2</v>
      </c>
      <c r="M3">
        <v>-23</v>
      </c>
      <c r="N3">
        <f>Paq_M_1* EXP(-1*(dE0_M_1/ (1 + ((23/zMid_M_1) ^n_M_1)))/(0.00198717*298))</f>
        <v>0.61848779140216692</v>
      </c>
      <c r="O3">
        <f>Paq_M_2* EXP(-1*(dE0_M_2/ (1 + ((23/(-1*zMid_M_2)) ^n_M_2)))/(0.00198717*298))</f>
        <v>0.91647712195345687</v>
      </c>
    </row>
    <row r="4" spans="1:15" ht="18" x14ac:dyDescent="0.35">
      <c r="A4" s="2" t="s">
        <v>2</v>
      </c>
      <c r="B4">
        <v>0.46938271761069905</v>
      </c>
      <c r="D4" s="6">
        <v>-19.5</v>
      </c>
      <c r="E4">
        <v>1.2167483092071596</v>
      </c>
      <c r="F4">
        <v>104.67349192897072</v>
      </c>
      <c r="G4">
        <v>0.90400000000000003</v>
      </c>
      <c r="H4">
        <f>Paq_M_1* EXP(-1*(dE0_M_1/ (1 + ((19.5/zMid_M_1) ^n_M_1)))/(0.00198717*298))</f>
        <v>0.68904329586142243</v>
      </c>
      <c r="I4">
        <f t="shared" si="0"/>
        <v>1.3905578963262074E-2</v>
      </c>
      <c r="J4">
        <f>Paq_M_2* EXP(-1*(dE0_M_2/ (1 + ((19.5/(-1*zMid_M_2)) ^n_M_2)))/(0.00198717*298))</f>
        <v>0.93343107477957932</v>
      </c>
      <c r="K4">
        <f t="shared" si="1"/>
        <v>1.9359450880661823E-4</v>
      </c>
      <c r="M4">
        <v>-22</v>
      </c>
      <c r="N4">
        <f>Paq_M_1* EXP(-1*(dE0_M_1/ (1 + ((22/zMid_M_1) ^n_M_1)))/(0.00198717*298))</f>
        <v>0.6356175673203196</v>
      </c>
      <c r="O4">
        <f>Paq_M_2* EXP(-1*(dE0_M_2/ (1 + ((22/(-1*zMid_M_2)) ^n_M_2)))/(0.00198717*298))</f>
        <v>0.9204122032678721</v>
      </c>
    </row>
    <row r="5" spans="1:15" ht="18" x14ac:dyDescent="0.35">
      <c r="A5" s="2" t="s">
        <v>3</v>
      </c>
      <c r="B5">
        <v>-0.57198357841822034</v>
      </c>
      <c r="D5" s="7">
        <v>-18</v>
      </c>
      <c r="E5">
        <v>1.6690022281524404</v>
      </c>
      <c r="F5">
        <v>171.11905245556184</v>
      </c>
      <c r="G5">
        <v>0.75849999999999995</v>
      </c>
      <c r="H5">
        <f>Paq_M_1* EXP(-1*(dE0_M_1/ (1 + ((18/zMid_M_1) ^n_M_1)))/(0.00198717*298))</f>
        <v>0.72968188527005362</v>
      </c>
      <c r="I5">
        <f t="shared" si="0"/>
        <v>2.8298036768815174E-4</v>
      </c>
      <c r="J5">
        <f>Paq_M_2* EXP(-1*(dE0_M_2/ (1 + ((18/(-1*zMid_M_2)) ^n_M_2)))/(0.00198717*298))</f>
        <v>0.94429565238854885</v>
      </c>
      <c r="K5">
        <f t="shared" si="1"/>
        <v>9.0539801852888985E-3</v>
      </c>
      <c r="M5">
        <v>-21</v>
      </c>
      <c r="N5">
        <f>Paq_M_1* EXP(-1*(dE0_M_1/ (1 + ((21/zMid_M_1) ^n_M_1)))/(0.00198717*298))</f>
        <v>0.65503517026899338</v>
      </c>
      <c r="O5">
        <f>Paq_M_2* EXP(-1*(dE0_M_2/ (1 + ((21/(-1*zMid_M_2)) ^n_M_2)))/(0.00198717*298))</f>
        <v>0.92500205610135255</v>
      </c>
    </row>
    <row r="6" spans="1:15" ht="18" x14ac:dyDescent="0.35">
      <c r="A6" s="2" t="s">
        <v>4</v>
      </c>
      <c r="B6">
        <v>17</v>
      </c>
      <c r="D6" s="8">
        <v>-16.5</v>
      </c>
      <c r="E6">
        <v>2.9123863161984365</v>
      </c>
      <c r="F6">
        <v>239.24085021505925</v>
      </c>
      <c r="G6">
        <v>0.94679999999999997</v>
      </c>
      <c r="H6">
        <f>Paq_M_1* EXP(-1*(dE0_M_1/ (1 + ((16.5/zMid_M_1) ^n_M_1)))/(0.00198717*298))</f>
        <v>0.77760511131310484</v>
      </c>
      <c r="I6">
        <f t="shared" si="0"/>
        <v>7.3101033935003773E-3</v>
      </c>
      <c r="J6">
        <f>Paq_M_2* EXP(-1*(dE0_M_2/ (1 + ((16.5/(-1*zMid_M_2)) ^n_M_2)))/(0.00198717*298))</f>
        <v>0.95850972155745195</v>
      </c>
      <c r="K6">
        <f t="shared" si="1"/>
        <v>2.8497155990044346E-5</v>
      </c>
      <c r="M6">
        <v>-20</v>
      </c>
      <c r="N6">
        <f>Paq_M_1* EXP(-1*(dE0_M_1/ (1 + ((20/zMid_M_1) ^n_M_1)))/(0.00198717*298))</f>
        <v>0.6770114908445426</v>
      </c>
      <c r="O6">
        <f>Paq_M_2* EXP(-1*(dE0_M_2/ (1 + ((20/(-1*zMid_M_2)) ^n_M_2)))/(0.00198717*298))</f>
        <v>0.93038696534199183</v>
      </c>
    </row>
    <row r="7" spans="1:15" x14ac:dyDescent="0.25">
      <c r="A7" s="2" t="s">
        <v>5</v>
      </c>
      <c r="B7">
        <v>3.0331444891437171</v>
      </c>
      <c r="D7" s="9">
        <v>-15</v>
      </c>
      <c r="E7">
        <v>4.2294232466467951</v>
      </c>
      <c r="F7">
        <v>301.1099037843893</v>
      </c>
      <c r="G7">
        <v>1.0924</v>
      </c>
      <c r="H7">
        <f>Paq_M_1* EXP(-1*(dE0_M_1/ (1 + ((15/zMid_M_1) ^n_M_1)))/(0.00198717*298))</f>
        <v>0.83293555831789112</v>
      </c>
      <c r="I7">
        <f t="shared" si="0"/>
        <v>1.3869840923999923E-2</v>
      </c>
      <c r="J7">
        <f>Paq_M_2* EXP(-1*(dE0_M_2/ (1 + ((15/(-1*zMid_M_2)) ^n_M_2)))/(0.00198717*298))</f>
        <v>0.97739500437255988</v>
      </c>
      <c r="K7">
        <f t="shared" si="1"/>
        <v>2.3340084259212508E-3</v>
      </c>
      <c r="M7">
        <v>-19</v>
      </c>
      <c r="N7">
        <f>Paq_M_1* EXP(-1*(dE0_M_1/ (1 + ((19/zMid_M_1) ^n_M_1)))/(0.00198717*298))</f>
        <v>0.70181349530751391</v>
      </c>
      <c r="O7">
        <f>Paq_M_2* EXP(-1*(dE0_M_2/ (1 + ((19/(-1*zMid_M_2)) ^n_M_2)))/(0.00198717*298))</f>
        <v>0.93674357815700071</v>
      </c>
    </row>
    <row r="8" spans="1:15" x14ac:dyDescent="0.25">
      <c r="D8" s="10">
        <v>-13.5</v>
      </c>
      <c r="E8">
        <v>3.749562536106799</v>
      </c>
      <c r="F8">
        <v>325.144691447757</v>
      </c>
      <c r="G8">
        <v>0.89690000000000003</v>
      </c>
      <c r="H8">
        <f>Paq_M_1* EXP(-1*(dE0_M_1/ (1 + ((13.5/zMid_M_1) ^n_M_1)))/(0.00198717*298))</f>
        <v>0.89484661783823749</v>
      </c>
      <c r="I8">
        <f t="shared" si="0"/>
        <v>9.9086702829991186E-7</v>
      </c>
      <c r="J8">
        <f>Paq_M_2* EXP(-1*(dE0_M_2/ (1 + ((13.5/(-1*zMid_M_2)) ^n_M_2)))/(0.00198717*298))</f>
        <v>1.002869124389465</v>
      </c>
      <c r="K8">
        <f t="shared" si="1"/>
        <v>2.352272965601694E-3</v>
      </c>
      <c r="M8">
        <v>-18</v>
      </c>
      <c r="N8">
        <f>Paq_M_1* EXP(-1*(dE0_M_1/ (1 + ((18/zMid_M_1) ^n_M_1)))/(0.00198717*298))</f>
        <v>0.72968188527005362</v>
      </c>
      <c r="O8">
        <f>Paq_M_2* EXP(-1*(dE0_M_2/ (1 + ((18/(-1*zMid_M_2)) ^n_M_2)))/(0.00198717*298))</f>
        <v>0.94429565238854885</v>
      </c>
    </row>
    <row r="9" spans="1:15" ht="18" x14ac:dyDescent="0.35">
      <c r="A9" s="3" t="s">
        <v>6</v>
      </c>
      <c r="B9">
        <v>0.883239723738792</v>
      </c>
      <c r="D9" s="11">
        <v>-12</v>
      </c>
      <c r="E9">
        <v>4.3663237368850201</v>
      </c>
      <c r="F9">
        <v>335.09215104301728</v>
      </c>
      <c r="G9">
        <v>1.0134000000000001</v>
      </c>
      <c r="H9">
        <f>Paq_M_1* EXP(-1*(dE0_M_1/ (1 + ((12/zMid_M_1) ^n_M_1)))/(0.00198717*298))</f>
        <v>0.96114981091180496</v>
      </c>
      <c r="I9">
        <f t="shared" si="0"/>
        <v>5.285315990153633E-4</v>
      </c>
      <c r="J9">
        <f>Paq_M_2* EXP(-1*(dE0_M_2/ (1 + ((12/(-1*zMid_M_2)) ^n_M_2)))/(0.00198717*298))</f>
        <v>1.037684947438313</v>
      </c>
      <c r="K9">
        <f t="shared" si="1"/>
        <v>1.0577334662183065E-4</v>
      </c>
      <c r="M9">
        <v>-17</v>
      </c>
      <c r="N9">
        <f>Paq_M_1* EXP(-1*(dE0_M_1/ (1 + ((17/zMid_M_1) ^n_M_1)))/(0.00198717*298))</f>
        <v>0.7607985345517948</v>
      </c>
      <c r="O9">
        <f>Paq_M_2* EXP(-1*(dE0_M_2/ (1 + ((17/(-1*zMid_M_2)) ^n_M_2)))/(0.00198717*298))</f>
        <v>0.95332813990332499</v>
      </c>
    </row>
    <row r="10" spans="1:15" ht="18" x14ac:dyDescent="0.35">
      <c r="A10" s="3" t="s">
        <v>7</v>
      </c>
      <c r="B10">
        <v>-0.36413838900740841</v>
      </c>
      <c r="D10" s="12">
        <v>-10.5</v>
      </c>
      <c r="E10">
        <v>5.2221419879725177</v>
      </c>
      <c r="F10">
        <v>329.71261028763035</v>
      </c>
      <c r="G10">
        <v>1.2318</v>
      </c>
      <c r="H10">
        <f>Paq_M_1* EXP(-1*(dE0_M_1/ (1 + ((10.5/zMid_M_1) ^n_M_1)))/(0.00198717*298))</f>
        <v>1.0281303964951516</v>
      </c>
      <c r="I10">
        <f t="shared" si="0"/>
        <v>6.1609941542005034E-3</v>
      </c>
      <c r="J10">
        <f>Paq_M_2* EXP(-1*(dE0_M_2/ (1 + ((10.5/(-1*zMid_M_2)) ^n_M_2)))/(0.00198717*298))</f>
        <v>1.0856392844294867</v>
      </c>
      <c r="K10">
        <f t="shared" si="1"/>
        <v>3.0090325875195972E-3</v>
      </c>
      <c r="M10">
        <v>-16</v>
      </c>
      <c r="N10">
        <f>Paq_M_1* EXP(-1*(dE0_M_1/ (1 + ((16/zMid_M_1) ^n_M_1)))/(0.00198717*298))</f>
        <v>0.79524250444737687</v>
      </c>
      <c r="O10">
        <f>Paq_M_2* EXP(-1*(dE0_M_2/ (1 + ((16/(-1*zMid_M_2)) ^n_M_2)))/(0.00198717*298))</f>
        <v>0.96420548723064869</v>
      </c>
    </row>
    <row r="11" spans="1:15" ht="18" x14ac:dyDescent="0.35">
      <c r="A11" s="3" t="s">
        <v>8</v>
      </c>
      <c r="B11">
        <v>-8.1025987910193678</v>
      </c>
      <c r="D11" s="13">
        <v>-9</v>
      </c>
      <c r="E11">
        <v>3.9991994858866784</v>
      </c>
      <c r="F11">
        <v>284.46716551243782</v>
      </c>
      <c r="G11">
        <v>1.0933999999999999</v>
      </c>
      <c r="H11">
        <f>Paq_M_1* EXP(-1*(dE0_M_1/ (1 + ((9/zMid_M_1) ^n_M_1)))/(0.00198717*298))</f>
        <v>1.0909326391258538</v>
      </c>
      <c r="I11">
        <f t="shared" si="0"/>
        <v>9.6262421068344214E-7</v>
      </c>
      <c r="J11">
        <f>Paq_M_2* EXP(-1*(dE0_M_2/ (1 + ((9/(-1*zMid_M_2)) ^n_M_2)))/(0.00198717*298))</f>
        <v>1.1514278210309634</v>
      </c>
      <c r="K11">
        <f t="shared" si="1"/>
        <v>5.0434600764016652E-4</v>
      </c>
      <c r="M11">
        <v>-15</v>
      </c>
      <c r="N11">
        <f>Paq_M_1* EXP(-1*(dE0_M_1/ (1 + ((15/zMid_M_1) ^n_M_1)))/(0.00198717*298))</f>
        <v>0.83293555831789112</v>
      </c>
      <c r="O11">
        <f>Paq_M_2* EXP(-1*(dE0_M_2/ (1 + ((15/(-1*zMid_M_2)) ^n_M_2)))/(0.00198717*298))</f>
        <v>0.97739500437255988</v>
      </c>
    </row>
    <row r="12" spans="1:15" x14ac:dyDescent="0.25">
      <c r="A12" s="3" t="s">
        <v>9</v>
      </c>
      <c r="B12">
        <v>2.6360568669869151</v>
      </c>
      <c r="D12" s="14">
        <v>-7.5</v>
      </c>
      <c r="E12">
        <v>3.9168209916528425</v>
      </c>
      <c r="F12">
        <v>233.0137027127592</v>
      </c>
      <c r="G12">
        <v>1.3072999999999999</v>
      </c>
      <c r="H12">
        <f>Paq_M_1* EXP(-1*(dE0_M_1/ (1 + ((7.5/zMid_M_1) ^n_M_1)))/(0.00198717*298))</f>
        <v>1.1446140268530987</v>
      </c>
      <c r="I12">
        <f t="shared" si="0"/>
        <v>3.3311594474533055E-3</v>
      </c>
      <c r="J12">
        <f>Paq_M_2* EXP(-1*(dE0_M_2/ (1 + ((7.5/(-1*zMid_M_2)) ^n_M_2)))/(0.00198717*298))</f>
        <v>1.2392527720386837</v>
      </c>
      <c r="K12">
        <f t="shared" si="1"/>
        <v>5.3895303948489832E-4</v>
      </c>
      <c r="M12">
        <v>-14</v>
      </c>
      <c r="N12">
        <f>Paq_M_1* EXP(-1*(dE0_M_1/ (1 + ((14/zMid_M_1) ^n_M_1)))/(0.00198717*298))</f>
        <v>0.87358192120022748</v>
      </c>
      <c r="O12">
        <f>Paq_M_2* EXP(-1*(dE0_M_2/ (1 + ((14/(-1*zMid_M_2)) ^n_M_2)))/(0.00198717*298))</f>
        <v>0.99349570971094792</v>
      </c>
    </row>
    <row r="13" spans="1:15" x14ac:dyDescent="0.25">
      <c r="D13" s="15">
        <v>-6</v>
      </c>
      <c r="E13">
        <v>3.9909413667010494</v>
      </c>
      <c r="F13">
        <v>229.72199232624777</v>
      </c>
      <c r="G13">
        <v>1.3511</v>
      </c>
      <c r="H13">
        <f>Paq_M_1* EXP(-1*(dE0_M_1/ (1 + ((6/zMid_M_1) ^n_M_1)))/(0.00198717*298))</f>
        <v>1.1855537267811664</v>
      </c>
      <c r="I13">
        <f t="shared" si="0"/>
        <v>3.2224075837431593E-3</v>
      </c>
      <c r="J13">
        <f>Paq_M_2* EXP(-1*(dE0_M_2/ (1 + ((6/(-1*zMid_M_2)) ^n_M_2)))/(0.00198717*298))</f>
        <v>1.3485839361972576</v>
      </c>
      <c r="K13">
        <f t="shared" si="1"/>
        <v>6.553092832277534E-7</v>
      </c>
      <c r="M13">
        <v>-13</v>
      </c>
      <c r="N13">
        <f>Paq_M_1* EXP(-1*(dE0_M_1/ (1 + ((13/zMid_M_1) ^n_M_1)))/(0.00198717*298))</f>
        <v>0.91661250627532531</v>
      </c>
      <c r="O13">
        <f>Paq_M_2* EXP(-1*(dE0_M_2/ (1 + ((13/(-1*zMid_M_2)) ^n_M_2)))/(0.00198717*298))</f>
        <v>1.0132716300556048</v>
      </c>
    </row>
    <row r="14" spans="1:15" x14ac:dyDescent="0.25">
      <c r="D14" s="16">
        <v>-4.5</v>
      </c>
      <c r="E14">
        <v>4.0211823610337376</v>
      </c>
      <c r="F14">
        <v>238.06457551464311</v>
      </c>
      <c r="G14">
        <v>1.3137000000000001</v>
      </c>
      <c r="H14">
        <f>Paq_M_1* EXP(-1*(dE0_M_1/ (1 + ((4.5/zMid_M_1) ^n_M_1)))/(0.00198717*298))</f>
        <v>1.212542294009223</v>
      </c>
      <c r="I14">
        <f t="shared" si="0"/>
        <v>1.2109915582229388E-3</v>
      </c>
      <c r="J14">
        <f>Paq_M_2* EXP(-1*(dE0_M_2/ (1 + ((4.5/(-1*zMid_M_2)) ^n_M_2)))/(0.00198717*298))</f>
        <v>1.4668519742413013</v>
      </c>
      <c r="K14">
        <f t="shared" si="1"/>
        <v>2.2934607002108019E-3</v>
      </c>
      <c r="M14">
        <v>-12</v>
      </c>
      <c r="N14">
        <f>Paq_M_1* EXP(-1*(dE0_M_1/ (1 + ((12/zMid_M_1) ^n_M_1)))/(0.00198717*298))</f>
        <v>0.96114981091180496</v>
      </c>
      <c r="O14">
        <f>Paq_M_2* EXP(-1*(dE0_M_2/ (1 + ((12/(-1*zMid_M_2)) ^n_M_2)))/(0.00198717*298))</f>
        <v>1.037684947438313</v>
      </c>
    </row>
    <row r="15" spans="1:15" x14ac:dyDescent="0.25">
      <c r="D15" s="17">
        <v>-3</v>
      </c>
      <c r="E15">
        <v>4.5339153671841554</v>
      </c>
      <c r="F15">
        <v>209.69845561618712</v>
      </c>
      <c r="G15">
        <v>1.6815</v>
      </c>
      <c r="H15">
        <f>Paq_M_1* EXP(-1*(dE0_M_1/ (1 + ((3/zMid_M_1) ^n_M_1)))/(0.00198717*298))</f>
        <v>1.2270067253915002</v>
      </c>
      <c r="I15">
        <f t="shared" si="0"/>
        <v>1.8727902927645881E-2</v>
      </c>
      <c r="J15">
        <f>Paq_M_2* EXP(-1*(dE0_M_2/ (1 + ((3/(-1*zMid_M_2)) ^n_M_2)))/(0.00198717*298))</f>
        <v>1.5667328561858624</v>
      </c>
      <c r="K15">
        <f t="shared" si="1"/>
        <v>9.4260792089148268E-4</v>
      </c>
      <c r="M15">
        <v>-11</v>
      </c>
      <c r="N15">
        <f>Paq_M_1* EXP(-1*(dE0_M_1/ (1 + ((11/zMid_M_1) ^n_M_1)))/(0.00198717*298))</f>
        <v>1.0060134734353869</v>
      </c>
      <c r="O15">
        <f>Paq_M_2* EXP(-1*(dE0_M_2/ (1 + ((11/(-1*zMid_M_2)) ^n_M_2)))/(0.00198717*298))</f>
        <v>1.0679164330914201</v>
      </c>
    </row>
    <row r="16" spans="1:15" x14ac:dyDescent="0.25">
      <c r="D16" s="18">
        <v>-1.5</v>
      </c>
      <c r="E16">
        <v>4.2994268768524577</v>
      </c>
      <c r="F16">
        <v>193.12505159558162</v>
      </c>
      <c r="G16">
        <v>1.7314000000000001</v>
      </c>
      <c r="H16">
        <f>Paq_M_1* EXP(-1*(dE0_M_1/ (1 + ((1.5/zMid_M_1) ^n_M_1)))/(0.00198717*298))</f>
        <v>1.2323853327133296</v>
      </c>
      <c r="I16">
        <f t="shared" si="0"/>
        <v>2.180078599106073E-2</v>
      </c>
      <c r="J16">
        <f>Paq_M_2* EXP(-1*(dE0_M_2/ (1 + ((1.5/(-1*zMid_M_2)) ^n_M_2)))/(0.00198717*298))</f>
        <v>1.6219546436696957</v>
      </c>
      <c r="K16">
        <f t="shared" si="1"/>
        <v>8.0421630495038023E-4</v>
      </c>
      <c r="M16">
        <v>-10</v>
      </c>
      <c r="N16">
        <f>Paq_M_1* EXP(-1*(dE0_M_1/ (1 + ((10/zMid_M_1) ^n_M_1)))/(0.00198717*298))</f>
        <v>1.0497842288265482</v>
      </c>
      <c r="O16">
        <f>Paq_M_2* EXP(-1*(dE0_M_2/ (1 + ((10/(-1*zMid_M_2)) ^n_M_2)))/(0.00198717*298))</f>
        <v>1.105344700235996</v>
      </c>
    </row>
    <row r="17" spans="4:15" x14ac:dyDescent="0.25">
      <c r="D17" s="19">
        <v>0</v>
      </c>
      <c r="E17">
        <v>3.8771018841370251</v>
      </c>
      <c r="F17">
        <v>197.31337553026106</v>
      </c>
      <c r="G17">
        <v>1.5282</v>
      </c>
      <c r="H17">
        <f>Paq_M_1* EXP(-1*(dE0_M_1/ (1 + ((0/zMid_M_1) ^n_M_1)))/(0.00198717*298))</f>
        <v>1.2331395862261396</v>
      </c>
      <c r="I17">
        <f t="shared" si="0"/>
        <v>8.6802679611491379E-3</v>
      </c>
      <c r="J17">
        <f>Paq_M_2* EXP(-1*(dE0_M_2/ (1 + ((0/(-1*zMid_M_2)) ^n_M_2)))/(0.00198717*298))</f>
        <v>1.6335515417493633</v>
      </c>
      <c r="K17">
        <f t="shared" si="1"/>
        <v>8.3825574060227589E-4</v>
      </c>
      <c r="M17">
        <v>-9</v>
      </c>
      <c r="N17">
        <f>Paq_M_1* EXP(-1*(dE0_M_1/ (1 + ((9/zMid_M_1) ^n_M_1)))/(0.00198717*298))</f>
        <v>1.0909326391258538</v>
      </c>
      <c r="O17">
        <f>Paq_M_2* EXP(-1*(dE0_M_2/ (1 + ((9/(-1*zMid_M_2)) ^n_M_2)))/(0.00198717*298))</f>
        <v>1.1514278210309634</v>
      </c>
    </row>
    <row r="18" spans="4:15" x14ac:dyDescent="0.25">
      <c r="D18" s="20">
        <v>1.5</v>
      </c>
      <c r="E18">
        <v>3.2554164037982978</v>
      </c>
      <c r="F18">
        <v>211.87289009819162</v>
      </c>
      <c r="G18">
        <v>1.1950000000000001</v>
      </c>
      <c r="H18">
        <f>Paq_M_1* EXP(-1*(dE0_M_1/ (1 + ((1.5/zMid_M_1) ^n_M_1)))/(0.00198717*298))</f>
        <v>1.2323853327133296</v>
      </c>
      <c r="I18">
        <f t="shared" si="0"/>
        <v>1.7898735583225513E-4</v>
      </c>
      <c r="J18">
        <f>Paq_M_2* EXP(-1*(dE0_M_2/ (1 + ((1.5/(-1*zMid_M_2)) ^n_M_2)))/(0.00198717*298))</f>
        <v>1.6219546436696957</v>
      </c>
      <c r="K18">
        <f t="shared" si="1"/>
        <v>1.7601541213076832E-2</v>
      </c>
      <c r="M18">
        <v>-8</v>
      </c>
      <c r="N18">
        <f>Paq_M_1* EXP(-1*(dE0_M_1/ (1 + ((8/zMid_M_1) ^n_M_1)))/(0.00198717*298))</f>
        <v>1.1279993136580257</v>
      </c>
      <c r="O18">
        <f>Paq_M_2* EXP(-1*(dE0_M_2/ (1 + ((8/(-1*zMid_M_2)) ^n_M_2)))/(0.00198717*298))</f>
        <v>1.2073918325301201</v>
      </c>
    </row>
    <row r="19" spans="4:15" x14ac:dyDescent="0.25">
      <c r="D19" s="21">
        <v>3</v>
      </c>
      <c r="E19">
        <v>2.6473104704965862</v>
      </c>
      <c r="F19">
        <v>212.60048258233337</v>
      </c>
      <c r="G19">
        <v>0.96840000000000004</v>
      </c>
      <c r="H19">
        <f>Paq_M_1* EXP(-1*(dE0_M_1/ (1 + ((3/zMid_M_1) ^n_M_1)))/(0.00198717*298))</f>
        <v>1.2270067253915002</v>
      </c>
      <c r="I19">
        <f t="shared" si="0"/>
        <v>1.0566228649063564E-2</v>
      </c>
      <c r="J19">
        <f>Paq_M_2* EXP(-1*(dE0_M_2/ (1 + ((3/(-1*zMid_M_2)) ^n_M_2)))/(0.00198717*298))</f>
        <v>1.5667328561858624</v>
      </c>
      <c r="K19">
        <f t="shared" si="1"/>
        <v>4.3655994809010869E-2</v>
      </c>
      <c r="M19">
        <v>-7</v>
      </c>
      <c r="N19">
        <f>Paq_M_1* EXP(-1*(dE0_M_1/ (1 + ((7/zMid_M_1) ^n_M_1)))/(0.00198717*298))</f>
        <v>1.159792112042785</v>
      </c>
      <c r="O19">
        <f>Paq_M_2* EXP(-1*(dE0_M_2/ (1 + ((7/(-1*zMid_M_2)) ^n_M_2)))/(0.00198717*298))</f>
        <v>1.2736048103741406</v>
      </c>
    </row>
    <row r="20" spans="4:15" x14ac:dyDescent="0.25">
      <c r="D20" s="22">
        <v>4.5</v>
      </c>
      <c r="E20">
        <v>3.6934668343411126</v>
      </c>
      <c r="F20">
        <v>207.82615645104704</v>
      </c>
      <c r="G20">
        <v>1.3822000000000001</v>
      </c>
      <c r="H20">
        <f>Paq_M_1* EXP(-1*(dE0_M_1/ (1 + ((4.5/zMid_M_1) ^n_M_1)))/(0.00198717*298))</f>
        <v>1.212542294009223</v>
      </c>
      <c r="I20">
        <f t="shared" si="0"/>
        <v>3.2346510469657155E-3</v>
      </c>
      <c r="J20">
        <f>Paq_M_2* EXP(-1*(dE0_M_2/ (1 + ((4.5/(-1*zMid_M_2)) ^n_M_2)))/(0.00198717*298))</f>
        <v>1.4668519742413013</v>
      </c>
      <c r="K20">
        <f t="shared" si="1"/>
        <v>6.6643493240777993E-4</v>
      </c>
      <c r="M20">
        <v>-6</v>
      </c>
      <c r="N20">
        <f>Paq_M_1* EXP(-1*(dE0_M_1/ (1 + ((6/zMid_M_1) ^n_M_1)))/(0.00198717*298))</f>
        <v>1.1855537267811664</v>
      </c>
      <c r="O20">
        <f>Paq_M_2* EXP(-1*(dE0_M_2/ (1 + ((6/(-1*zMid_M_2)) ^n_M_2)))/(0.00198717*298))</f>
        <v>1.3485839361972576</v>
      </c>
    </row>
    <row r="21" spans="4:15" x14ac:dyDescent="0.25">
      <c r="D21" s="23">
        <v>6</v>
      </c>
      <c r="E21">
        <v>3.7995338304825816</v>
      </c>
      <c r="F21">
        <v>218.70380004479716</v>
      </c>
      <c r="G21">
        <v>1.3511</v>
      </c>
      <c r="H21">
        <f>Paq_M_1* EXP(-1*(dE0_M_1/ (1 + ((6/zMid_M_1) ^n_M_1)))/(0.00198717*298))</f>
        <v>1.1855537267811664</v>
      </c>
      <c r="I21">
        <f t="shared" si="0"/>
        <v>3.2224075837431593E-3</v>
      </c>
      <c r="J21">
        <f>Paq_M_2* EXP(-1*(dE0_M_2/ (1 + ((6/(-1*zMid_M_2)) ^n_M_2)))/(0.00198717*298))</f>
        <v>1.3485839361972576</v>
      </c>
      <c r="K21">
        <f t="shared" si="1"/>
        <v>6.553092832277534E-7</v>
      </c>
      <c r="M21">
        <v>-5</v>
      </c>
      <c r="N21">
        <f>Paq_M_1* EXP(-1*(dE0_M_1/ (1 + ((5/zMid_M_1) ^n_M_1)))/(0.00198717*298))</f>
        <v>1.205058311761648</v>
      </c>
      <c r="O21">
        <f>Paq_M_2* EXP(-1*(dE0_M_2/ (1 + ((5/(-1*zMid_M_2)) ^n_M_2)))/(0.00198717*298))</f>
        <v>1.4278930427207606</v>
      </c>
    </row>
    <row r="22" spans="4:15" x14ac:dyDescent="0.25">
      <c r="D22" s="24">
        <v>7.5</v>
      </c>
      <c r="E22">
        <v>2.5635627170625273</v>
      </c>
      <c r="F22">
        <v>210.91142211418727</v>
      </c>
      <c r="G22">
        <v>0.94530000000000003</v>
      </c>
      <c r="H22">
        <f>Paq_M_1* EXP(-1*(dE0_M_1/ (1 + ((7.5/zMid_M_1) ^n_M_1)))/(0.00198717*298))</f>
        <v>1.1446140268530987</v>
      </c>
      <c r="I22">
        <f t="shared" si="0"/>
        <v>6.9038493630994647E-3</v>
      </c>
      <c r="J22">
        <f>Paq_M_2* EXP(-1*(dE0_M_2/ (1 + ((7.5/(-1*zMid_M_2)) ^n_M_2)))/(0.00198717*298))</f>
        <v>1.2392527720386837</v>
      </c>
      <c r="K22">
        <f t="shared" si="1"/>
        <v>1.3827464811804125E-2</v>
      </c>
      <c r="M22">
        <v>-4</v>
      </c>
      <c r="N22">
        <f>Paq_M_1* EXP(-1*(dE0_M_1/ (1 + ((4/zMid_M_1) ^n_M_1)))/(0.00198717*298))</f>
        <v>1.218617768757607</v>
      </c>
      <c r="O22">
        <f>Paq_M_2* EXP(-1*(dE0_M_2/ (1 + ((4/(-1*zMid_M_2)) ^n_M_2)))/(0.00198717*298))</f>
        <v>1.5037779140114249</v>
      </c>
    </row>
    <row r="23" spans="4:15" x14ac:dyDescent="0.25">
      <c r="D23" s="25">
        <v>9</v>
      </c>
      <c r="E23">
        <v>2.4667155555194751</v>
      </c>
      <c r="F23">
        <v>213.79921748310556</v>
      </c>
      <c r="G23">
        <v>0.89729999999999999</v>
      </c>
      <c r="H23">
        <f>Paq_M_1* EXP(-1*(dE0_M_1/ (1 + ((9/zMid_M_1) ^n_M_1)))/(0.00198717*298))</f>
        <v>1.0909326391258538</v>
      </c>
      <c r="I23">
        <f t="shared" si="0"/>
        <v>7.201265027234607E-3</v>
      </c>
      <c r="J23">
        <f>Paq_M_2* EXP(-1*(dE0_M_2/ (1 + ((9/(-1*zMid_M_2)) ^n_M_2)))/(0.00198717*298))</f>
        <v>1.1514278210309634</v>
      </c>
      <c r="K23">
        <f t="shared" si="1"/>
        <v>1.1728684448728462E-2</v>
      </c>
      <c r="M23">
        <v>-3</v>
      </c>
      <c r="N23">
        <f>Paq_M_1* EXP(-1*(dE0_M_1/ (1 + ((3/zMid_M_1) ^n_M_1)))/(0.00198717*298))</f>
        <v>1.2270067253915002</v>
      </c>
      <c r="O23">
        <f>Paq_M_2* EXP(-1*(dE0_M_2/ (1 + ((3/(-1*zMid_M_2)) ^n_M_2)))/(0.00198717*298))</f>
        <v>1.5667328561858624</v>
      </c>
    </row>
    <row r="24" spans="4:15" x14ac:dyDescent="0.25">
      <c r="D24" s="26">
        <v>10.5</v>
      </c>
      <c r="E24">
        <v>2.6840751101744642</v>
      </c>
      <c r="F24">
        <v>220.63045274559784</v>
      </c>
      <c r="G24">
        <v>0.94610000000000005</v>
      </c>
      <c r="H24">
        <f>Paq_M_1* EXP(-1*(dE0_M_1/ (1 + ((10.5/zMid_M_1) ^n_M_1)))/(0.00198717*298))</f>
        <v>1.0281303964951516</v>
      </c>
      <c r="I24">
        <f t="shared" si="0"/>
        <v>1.3040156379621247E-3</v>
      </c>
      <c r="J24">
        <f>Paq_M_2* EXP(-1*(dE0_M_2/ (1 + ((10.5/(-1*zMid_M_2)) ^n_M_2)))/(0.00198717*298))</f>
        <v>1.0856392844294867</v>
      </c>
      <c r="K24">
        <f t="shared" si="1"/>
        <v>3.5698841637191291E-3</v>
      </c>
      <c r="M24">
        <v>-2</v>
      </c>
      <c r="N24">
        <f>Paq_M_1* EXP(-1*(dE0_M_1/ (1 + ((2/zMid_M_1) ^n_M_1)))/(0.00198717*298))</f>
        <v>1.2313369556071891</v>
      </c>
      <c r="O24">
        <f>Paq_M_2* EXP(-1*(dE0_M_2/ (1 + ((2/(-1*zMid_M_2)) ^n_M_2)))/(0.00198717*298))</f>
        <v>1.6092123953734454</v>
      </c>
    </row>
    <row r="25" spans="4:15" x14ac:dyDescent="0.25">
      <c r="D25" s="27">
        <v>12</v>
      </c>
      <c r="E25">
        <v>2.9981877118330171</v>
      </c>
      <c r="F25">
        <v>225.0124392487848</v>
      </c>
      <c r="G25">
        <v>1.0363</v>
      </c>
      <c r="H25">
        <f>Paq_M_1* EXP(-1*(dE0_M_1/ (1 + ((12/zMid_M_1) ^n_M_1)))/(0.00198717*298))</f>
        <v>0.96114981091180496</v>
      </c>
      <c r="I25">
        <f t="shared" si="0"/>
        <v>1.0689246619898691E-3</v>
      </c>
      <c r="J25">
        <f>Paq_M_2* EXP(-1*(dE0_M_2/ (1 + ((12/(-1*zMid_M_2)) ^n_M_2)))/(0.00198717*298))</f>
        <v>1.037684947438313</v>
      </c>
      <c r="K25">
        <f t="shared" si="1"/>
        <v>3.3642179646514914E-7</v>
      </c>
      <c r="M25">
        <v>-1</v>
      </c>
      <c r="N25">
        <f>Paq_M_1* EXP(-1*(dE0_M_1/ (1 + ((1/zMid_M_1) ^n_M_1)))/(0.00198717*298))</f>
        <v>1.2329189403446714</v>
      </c>
      <c r="O25">
        <f>Paq_M_2* EXP(-1*(dE0_M_2/ (1 + ((1/(-1*zMid_M_2)) ^n_M_2)))/(0.00198717*298))</f>
        <v>1.6295291659708242</v>
      </c>
    </row>
    <row r="26" spans="4:15" x14ac:dyDescent="0.25">
      <c r="D26" s="28">
        <v>13.5</v>
      </c>
      <c r="E26">
        <v>2.8816259647715867</v>
      </c>
      <c r="F26">
        <v>218.45557134306293</v>
      </c>
      <c r="G26">
        <v>1.0259</v>
      </c>
      <c r="H26">
        <f>Paq_M_1* EXP(-1*(dE0_M_1/ (1 + ((13.5/zMid_M_1) ^n_M_1)))/(0.00198717*298))</f>
        <v>0.89484661783823749</v>
      </c>
      <c r="I26">
        <f t="shared" si="0"/>
        <v>3.5231856447507123E-3</v>
      </c>
      <c r="J26">
        <f>Paq_M_2* EXP(-1*(dE0_M_2/ (1 + ((13.5/(-1*zMid_M_2)) ^n_M_2)))/(0.00198717*298))</f>
        <v>1.002869124389465</v>
      </c>
      <c r="K26">
        <f t="shared" si="1"/>
        <v>9.7234766117004645E-5</v>
      </c>
      <c r="M26">
        <v>0</v>
      </c>
      <c r="N26">
        <f>Paq_M_1* EXP(-1*(dE0_M_1/ (1 + ((0/zMid_M_1) ^n_M_1)))/(0.00198717*298))</f>
        <v>1.2331395862261396</v>
      </c>
      <c r="O26">
        <f>Paq_M_2* EXP(-1*(dE0_M_2/ (1 + ((0/(-1*zMid_M_2)) ^n_M_2)))/(0.00198717*298))</f>
        <v>1.6335515417493633</v>
      </c>
    </row>
    <row r="27" spans="4:15" x14ac:dyDescent="0.25">
      <c r="D27" s="29">
        <v>15</v>
      </c>
      <c r="E27">
        <v>2.7960102811016747</v>
      </c>
      <c r="F27">
        <v>224.03276726794545</v>
      </c>
      <c r="G27">
        <v>0.97060000000000002</v>
      </c>
      <c r="H27">
        <f>Paq_M_1* EXP(-1*(dE0_M_1/ (1 + ((15/zMid_M_1) ^n_M_1)))/(0.00198717*298))</f>
        <v>0.83293555831789112</v>
      </c>
      <c r="I27">
        <f t="shared" si="0"/>
        <v>4.4127966708600733E-3</v>
      </c>
      <c r="J27">
        <f>Paq_M_2* EXP(-1*(dE0_M_2/ (1 + ((15/(-1*zMid_M_2)) ^n_M_2)))/(0.00198717*298))</f>
        <v>0.97739500437255988</v>
      </c>
      <c r="K27">
        <f t="shared" si="1"/>
        <v>9.1798575136690064E-6</v>
      </c>
      <c r="M27">
        <v>1</v>
      </c>
      <c r="N27">
        <f>Paq_M_1* EXP(-1*(dE0_M_1/ (1 + ((1/zMid_M_1) ^n_M_1)))/(0.00198717*298))</f>
        <v>1.2329189403446714</v>
      </c>
      <c r="O27">
        <f>Paq_M_2* EXP(-1*(dE0_M_2/ (1 + ((1/(-1*zMid_M_2)) ^n_M_2)))/(0.00198717*298))</f>
        <v>1.6295291659708242</v>
      </c>
    </row>
    <row r="28" spans="4:15" x14ac:dyDescent="0.25">
      <c r="D28" s="30">
        <v>16.5</v>
      </c>
      <c r="E28">
        <v>2.6371259791701087</v>
      </c>
      <c r="F28">
        <v>233.75708221892813</v>
      </c>
      <c r="G28">
        <v>0.87739999999999996</v>
      </c>
      <c r="H28">
        <f>Paq_M_1* EXP(-1*(dE0_M_1/ (1 + ((16.5/zMid_M_1) ^n_M_1)))/(0.00198717*298))</f>
        <v>0.77760511131310484</v>
      </c>
      <c r="I28">
        <f t="shared" si="0"/>
        <v>2.7497987426263358E-3</v>
      </c>
      <c r="J28">
        <f>Paq_M_2* EXP(-1*(dE0_M_2/ (1 + ((16.5/(-1*zMid_M_2)) ^n_M_2)))/(0.00198717*298))</f>
        <v>0.95850972155745195</v>
      </c>
      <c r="K28">
        <f t="shared" si="1"/>
        <v>1.4744749023389669E-3</v>
      </c>
      <c r="M28">
        <v>2</v>
      </c>
      <c r="N28">
        <f>Paq_M_1* EXP(-1*(dE0_M_1/ (1 + ((2/zMid_M_1) ^n_M_1)))/(0.00198717*298))</f>
        <v>1.2313369556071891</v>
      </c>
      <c r="O28">
        <f>Paq_M_2* EXP(-1*(dE0_M_2/ (1 + ((2/(-1*zMid_M_2)) ^n_M_2)))/(0.00198717*298))</f>
        <v>1.6092123953734454</v>
      </c>
    </row>
    <row r="29" spans="4:15" x14ac:dyDescent="0.25">
      <c r="D29" s="31">
        <v>18</v>
      </c>
      <c r="E29">
        <v>1.9701775605008234</v>
      </c>
      <c r="F29">
        <v>221.14244125881021</v>
      </c>
      <c r="G29">
        <v>0.69289999999999996</v>
      </c>
      <c r="H29">
        <f>Paq_M_1* EXP(-1*(dE0_M_1/ (1 + ((18/zMid_M_1) ^n_M_1)))/(0.00198717*298))</f>
        <v>0.72968188527005362</v>
      </c>
      <c r="I29">
        <f t="shared" si="0"/>
        <v>5.0458652480796424E-4</v>
      </c>
      <c r="J29">
        <f>Paq_M_2* EXP(-1*(dE0_M_2/ (1 + ((18/(-1*zMid_M_2)) ^n_M_2)))/(0.00198717*298))</f>
        <v>0.94429565238854885</v>
      </c>
      <c r="K29">
        <f t="shared" si="1"/>
        <v>1.8073422270798733E-2</v>
      </c>
      <c r="M29">
        <v>3</v>
      </c>
      <c r="N29">
        <f>Paq_M_1* EXP(-1*(dE0_M_1/ (1 + ((3/zMid_M_1) ^n_M_1)))/(0.00198717*298))</f>
        <v>1.2270067253915002</v>
      </c>
      <c r="O29">
        <f>Paq_M_2* EXP(-1*(dE0_M_2/ (1 + ((3/(-1*zMid_M_2)) ^n_M_2)))/(0.00198717*298))</f>
        <v>1.5667328561858624</v>
      </c>
    </row>
    <row r="30" spans="4:15" x14ac:dyDescent="0.25">
      <c r="D30" s="32">
        <v>19.5</v>
      </c>
      <c r="E30">
        <v>1.581881512802034</v>
      </c>
      <c r="F30">
        <v>203.08284087537984</v>
      </c>
      <c r="G30">
        <v>0.60580000000000001</v>
      </c>
      <c r="H30">
        <f>Paq_M_1* EXP(-1*(dE0_M_1/ (1 + ((19.5/zMid_M_1) ^n_M_1)))/(0.00198717*298))</f>
        <v>0.68904329586142243</v>
      </c>
      <c r="I30">
        <f t="shared" si="0"/>
        <v>3.1267380146439458E-3</v>
      </c>
      <c r="J30">
        <f>Paq_M_2* EXP(-1*(dE0_M_2/ (1 + ((19.5/(-1*zMid_M_2)) ^n_M_2)))/(0.00198717*298))</f>
        <v>0.93343107477957932</v>
      </c>
      <c r="K30">
        <f t="shared" si="1"/>
        <v>3.525118369783576E-2</v>
      </c>
      <c r="M30">
        <v>4</v>
      </c>
      <c r="N30">
        <f>Paq_M_1* EXP(-1*(dE0_M_1/ (1 + ((4/zMid_M_1) ^n_M_1)))/(0.00198717*298))</f>
        <v>1.218617768757607</v>
      </c>
      <c r="O30">
        <f>Paq_M_2* EXP(-1*(dE0_M_2/ (1 + ((4/(-1*zMid_M_2)) ^n_M_2)))/(0.00198717*298))</f>
        <v>1.5037779140114249</v>
      </c>
    </row>
    <row r="31" spans="4:15" x14ac:dyDescent="0.25">
      <c r="D31" s="33">
        <v>21</v>
      </c>
      <c r="E31">
        <v>1.6744242745341862</v>
      </c>
      <c r="F31">
        <v>202.23586360890673</v>
      </c>
      <c r="G31">
        <v>0.64390000000000003</v>
      </c>
      <c r="H31">
        <f>Paq_M_1* EXP(-1*(dE0_M_1/ (1 + ((21/zMid_M_1) ^n_M_1)))/(0.00198717*298))</f>
        <v>0.65503517026899338</v>
      </c>
      <c r="I31">
        <f t="shared" si="0"/>
        <v>5.5445801287873288E-5</v>
      </c>
      <c r="J31">
        <f>Paq_M_2* EXP(-1*(dE0_M_2/ (1 + ((21/(-1*zMid_M_2)) ^n_M_2)))/(0.00198717*298))</f>
        <v>0.92500205610135255</v>
      </c>
      <c r="K31">
        <f t="shared" si="1"/>
        <v>2.4750926875274276E-2</v>
      </c>
      <c r="M31">
        <v>5</v>
      </c>
      <c r="N31">
        <f>Paq_M_1* EXP(-1*(dE0_M_1/ (1 + ((5/zMid_M_1) ^n_M_1)))/(0.00198717*298))</f>
        <v>1.205058311761648</v>
      </c>
      <c r="O31">
        <f>Paq_M_2* EXP(-1*(dE0_M_2/ (1 + ((5/(-1*zMid_M_2)) ^n_M_2)))/(0.00198717*298))</f>
        <v>1.4278930427207606</v>
      </c>
    </row>
    <row r="32" spans="4:15" x14ac:dyDescent="0.25">
      <c r="D32" s="34">
        <v>22.5</v>
      </c>
      <c r="E32">
        <v>1.456060755877945</v>
      </c>
      <c r="F32">
        <v>185.59265872251723</v>
      </c>
      <c r="G32">
        <v>0.61019999999999996</v>
      </c>
      <c r="H32">
        <f>Paq_M_1* EXP(-1*(dE0_M_1/ (1 + ((22.5/zMid_M_1) ^n_M_1)))/(0.00198717*298))</f>
        <v>0.62678335138610342</v>
      </c>
      <c r="I32">
        <f t="shared" si="0"/>
        <v>1.3561182234211091E-4</v>
      </c>
      <c r="J32">
        <f>Paq_M_2* EXP(-1*(dE0_M_2/ (1 + ((22.5/(-1*zMid_M_2)) ^n_M_2)))/(0.00198717*298))</f>
        <v>0.91837040188923691</v>
      </c>
      <c r="K32">
        <f t="shared" si="1"/>
        <v>3.152246675358001E-2</v>
      </c>
      <c r="M32">
        <v>6</v>
      </c>
      <c r="N32">
        <f>Paq_M_1* EXP(-1*(dE0_M_1/ (1 + ((6/zMid_M_1) ^n_M_1)))/(0.00198717*298))</f>
        <v>1.1855537267811664</v>
      </c>
      <c r="O32">
        <f>Paq_M_2* EXP(-1*(dE0_M_2/ (1 + ((6/(-1*zMid_M_2)) ^n_M_2)))/(0.00198717*298))</f>
        <v>1.3485839361972576</v>
      </c>
    </row>
    <row r="33" spans="7:15" x14ac:dyDescent="0.25">
      <c r="M33">
        <v>7</v>
      </c>
      <c r="N33">
        <f>Paq_M_1* EXP(-1*(dE0_M_1/ (1 + ((7/zMid_M_1) ^n_M_1)))/(0.00198717*298))</f>
        <v>1.159792112042785</v>
      </c>
      <c r="O33">
        <f>Paq_M_2* EXP(-1*(dE0_M_2/ (1 + ((7/(-1*zMid_M_2)) ^n_M_2)))/(0.00198717*298))</f>
        <v>1.2736048103741406</v>
      </c>
    </row>
    <row r="34" spans="7:15" x14ac:dyDescent="0.25">
      <c r="G34" t="s">
        <v>18</v>
      </c>
      <c r="H34" s="1" t="s">
        <v>20</v>
      </c>
      <c r="I34">
        <f>SQRT(AVERAGE(I$17:I$32))</f>
        <v>5.9617929616621469E-2</v>
      </c>
      <c r="M34">
        <v>8</v>
      </c>
      <c r="N34">
        <f>Paq_M_1* EXP(-1*(dE0_M_1/ (1 + ((8/zMid_M_1) ^n_M_1)))/(0.00198717*298))</f>
        <v>1.1279993136580257</v>
      </c>
      <c r="O34">
        <f>Paq_M_2* EXP(-1*(dE0_M_2/ (1 + ((8/(-1*zMid_M_2)) ^n_M_2)))/(0.00198717*298))</f>
        <v>1.2073918325301201</v>
      </c>
    </row>
    <row r="35" spans="7:15" x14ac:dyDescent="0.25">
      <c r="G35" t="s">
        <v>19</v>
      </c>
      <c r="J35" s="1" t="s">
        <v>20</v>
      </c>
      <c r="K35">
        <f>SQRT(AVERAGE(K$2:K$17))</f>
        <v>4.7879419759402936E-2</v>
      </c>
      <c r="M35">
        <v>9</v>
      </c>
      <c r="N35">
        <f>Paq_M_1* EXP(-1*(dE0_M_1/ (1 + ((9/zMid_M_1) ^n_M_1)))/(0.00198717*298))</f>
        <v>1.0909326391258538</v>
      </c>
      <c r="O35">
        <f>Paq_M_2* EXP(-1*(dE0_M_2/ (1 + ((9/(-1*zMid_M_2)) ^n_M_2)))/(0.00198717*298))</f>
        <v>1.1514278210309634</v>
      </c>
    </row>
    <row r="36" spans="7:15" x14ac:dyDescent="0.25">
      <c r="M36">
        <v>10</v>
      </c>
      <c r="N36">
        <f>Paq_M_1* EXP(-1*(dE0_M_1/ (1 + ((10/zMid_M_1) ^n_M_1)))/(0.00198717*298))</f>
        <v>1.0497842288265482</v>
      </c>
      <c r="O36">
        <f>Paq_M_2* EXP(-1*(dE0_M_2/ (1 + ((10/(-1*zMid_M_2)) ^n_M_2)))/(0.00198717*298))</f>
        <v>1.105344700235996</v>
      </c>
    </row>
    <row r="37" spans="7:15" x14ac:dyDescent="0.25">
      <c r="M37">
        <v>11</v>
      </c>
      <c r="N37">
        <f>Paq_M_1* EXP(-1*(dE0_M_1/ (1 + ((11/zMid_M_1) ^n_M_1)))/(0.00198717*298))</f>
        <v>1.0060134734353869</v>
      </c>
      <c r="O37">
        <f>Paq_M_2* EXP(-1*(dE0_M_2/ (1 + ((11/(-1*zMid_M_2)) ^n_M_2)))/(0.00198717*298))</f>
        <v>1.0679164330914201</v>
      </c>
    </row>
    <row r="38" spans="7:15" x14ac:dyDescent="0.25">
      <c r="M38">
        <v>12</v>
      </c>
      <c r="N38">
        <f>Paq_M_1* EXP(-1*(dE0_M_1/ (1 + ((12/zMid_M_1) ^n_M_1)))/(0.00198717*298))</f>
        <v>0.96114981091180496</v>
      </c>
      <c r="O38">
        <f>Paq_M_2* EXP(-1*(dE0_M_2/ (1 + ((12/(-1*zMid_M_2)) ^n_M_2)))/(0.00198717*298))</f>
        <v>1.037684947438313</v>
      </c>
    </row>
    <row r="39" spans="7:15" x14ac:dyDescent="0.25">
      <c r="M39">
        <v>13</v>
      </c>
      <c r="N39">
        <f>Paq_M_1* EXP(-1*(dE0_M_1/ (1 + ((13/zMid_M_1) ^n_M_1)))/(0.00198717*298))</f>
        <v>0.91661250627532531</v>
      </c>
      <c r="O39">
        <f>Paq_M_2* EXP(-1*(dE0_M_2/ (1 + ((13/(-1*zMid_M_2)) ^n_M_2)))/(0.00198717*298))</f>
        <v>1.0132716300556048</v>
      </c>
    </row>
    <row r="40" spans="7:15" x14ac:dyDescent="0.25">
      <c r="M40">
        <v>14</v>
      </c>
      <c r="N40">
        <f>Paq_M_1* EXP(-1*(dE0_M_1/ (1 + ((14/zMid_M_1) ^n_M_1)))/(0.00198717*298))</f>
        <v>0.87358192120022748</v>
      </c>
      <c r="O40">
        <f>Paq_M_2* EXP(-1*(dE0_M_2/ (1 + ((14/(-1*zMid_M_2)) ^n_M_2)))/(0.00198717*298))</f>
        <v>0.99349570971094792</v>
      </c>
    </row>
    <row r="41" spans="7:15" x14ac:dyDescent="0.25">
      <c r="M41">
        <v>15</v>
      </c>
      <c r="N41">
        <f>Paq_M_1* EXP(-1*(dE0_M_1/ (1 + ((15/zMid_M_1) ^n_M_1)))/(0.00198717*298))</f>
        <v>0.83293555831789112</v>
      </c>
      <c r="O41">
        <f>Paq_M_2* EXP(-1*(dE0_M_2/ (1 + ((15/(-1*zMid_M_2)) ^n_M_2)))/(0.00198717*298))</f>
        <v>0.97739500437255988</v>
      </c>
    </row>
    <row r="42" spans="7:15" x14ac:dyDescent="0.25">
      <c r="M42">
        <v>16</v>
      </c>
      <c r="N42">
        <f>Paq_M_1* EXP(-1*(dE0_M_1/ (1 + ((16/zMid_M_1) ^n_M_1)))/(0.00198717*298))</f>
        <v>0.79524250444737687</v>
      </c>
      <c r="O42">
        <f>Paq_M_2* EXP(-1*(dE0_M_2/ (1 + ((16/(-1*zMid_M_2)) ^n_M_2)))/(0.00198717*298))</f>
        <v>0.96420548723064869</v>
      </c>
    </row>
    <row r="43" spans="7:15" x14ac:dyDescent="0.25">
      <c r="M43">
        <v>17</v>
      </c>
      <c r="N43">
        <f>Paq_M_1* EXP(-1*(dE0_M_1/ (1 + ((17/zMid_M_1) ^n_M_1)))/(0.00198717*298))</f>
        <v>0.7607985345517948</v>
      </c>
      <c r="O43">
        <f>Paq_M_2* EXP(-1*(dE0_M_2/ (1 + ((17/(-1*zMid_M_2)) ^n_M_2)))/(0.00198717*298))</f>
        <v>0.95332813990332499</v>
      </c>
    </row>
    <row r="44" spans="7:15" x14ac:dyDescent="0.25">
      <c r="M44">
        <v>18</v>
      </c>
      <c r="N44">
        <f>Paq_M_1* EXP(-1*(dE0_M_1/ (1 + ((18/zMid_M_1) ^n_M_1)))/(0.00198717*298))</f>
        <v>0.72968188527005362</v>
      </c>
      <c r="O44">
        <f>Paq_M_2* EXP(-1*(dE0_M_2/ (1 + ((18/(-1*zMid_M_2)) ^n_M_2)))/(0.00198717*298))</f>
        <v>0.94429565238854885</v>
      </c>
    </row>
    <row r="45" spans="7:15" x14ac:dyDescent="0.25">
      <c r="M45">
        <v>19</v>
      </c>
      <c r="N45">
        <f>Paq_M_1* EXP(-1*(dE0_M_1/ (1 + ((19/zMid_M_1) ^n_M_1)))/(0.00198717*298))</f>
        <v>0.70181349530751391</v>
      </c>
      <c r="O45">
        <f>Paq_M_2* EXP(-1*(dE0_M_2/ (1 + ((19/(-1*zMid_M_2)) ^n_M_2)))/(0.00198717*298))</f>
        <v>0.93674357815700071</v>
      </c>
    </row>
    <row r="46" spans="7:15" x14ac:dyDescent="0.25">
      <c r="M46">
        <v>20</v>
      </c>
      <c r="N46">
        <f>Paq_M_1* EXP(-1*(dE0_M_1/ (1 + ((20/zMid_M_1) ^n_M_1)))/(0.00198717*298))</f>
        <v>0.6770114908445426</v>
      </c>
      <c r="O46">
        <f>Paq_M_2* EXP(-1*(dE0_M_2/ (1 + ((20/(-1*zMid_M_2)) ^n_M_2)))/(0.00198717*298))</f>
        <v>0.93038696534199183</v>
      </c>
    </row>
    <row r="47" spans="7:15" x14ac:dyDescent="0.25">
      <c r="M47">
        <v>21</v>
      </c>
      <c r="N47">
        <f>Paq_M_1* EXP(-1*(dE0_M_1/ (1 + ((21/zMid_M_1) ^n_M_1)))/(0.00198717*298))</f>
        <v>0.65503517026899338</v>
      </c>
      <c r="O47">
        <f>Paq_M_2* EXP(-1*(dE0_M_2/ (1 + ((21/(-1*zMid_M_2)) ^n_M_2)))/(0.00198717*298))</f>
        <v>0.92500205610135255</v>
      </c>
    </row>
    <row r="48" spans="7:15" x14ac:dyDescent="0.25">
      <c r="M48">
        <v>22</v>
      </c>
      <c r="N48">
        <f>Paq_M_1* EXP(-1*(dE0_M_1/ (1 + ((22/zMid_M_1) ^n_M_1)))/(0.00198717*298))</f>
        <v>0.6356175673203196</v>
      </c>
      <c r="O48">
        <f>Paq_M_2* EXP(-1*(dE0_M_2/ (1 + ((22/(-1*zMid_M_2)) ^n_M_2)))/(0.00198717*298))</f>
        <v>0.9204122032678721</v>
      </c>
    </row>
    <row r="49" spans="13:15" x14ac:dyDescent="0.25">
      <c r="M49">
        <v>23</v>
      </c>
      <c r="N49">
        <f>Paq_M_1* EXP(-1*(dE0_M_1/ (1 + ((23/zMid_M_1) ^n_M_1)))/(0.00198717*298))</f>
        <v>0.61848779140216692</v>
      </c>
      <c r="O49">
        <f>Paq_M_2* EXP(-1*(dE0_M_2/ (1 + ((23/(-1*zMid_M_2)) ^n_M_2)))/(0.00198717*298))</f>
        <v>0.91647712195345687</v>
      </c>
    </row>
    <row r="50" spans="13:15" x14ac:dyDescent="0.25">
      <c r="M50">
        <v>24</v>
      </c>
      <c r="N50">
        <f>Paq_M_1* EXP(-1*(dE0_M_1/ (1 + ((24/zMid_M_1) ^n_M_1)))/(0.00198717*298))</f>
        <v>0.60338519224423726</v>
      </c>
      <c r="O50">
        <f>Paq_M_2* EXP(-1*(dE0_M_2/ (1 + ((24/(-1*zMid_M_2)) ^n_M_2)))/(0.00198717*298))</f>
        <v>0.91308470955718346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O50"/>
  <sheetViews>
    <sheetView topLeftCell="A43" workbookViewId="0"/>
  </sheetViews>
  <sheetFormatPr defaultRowHeight="15" x14ac:dyDescent="0.25"/>
  <cols>
    <col min="1" max="1" width="6" bestFit="1" customWidth="1"/>
    <col min="2" max="2" width="12.7109375" bestFit="1" customWidth="1"/>
    <col min="4" max="4" width="10.42578125" bestFit="1" customWidth="1"/>
    <col min="5" max="6" width="12" bestFit="1" customWidth="1"/>
    <col min="7" max="7" width="16.140625" bestFit="1" customWidth="1"/>
    <col min="8" max="11" width="12" bestFit="1" customWidth="1"/>
    <col min="13" max="13" width="3.7109375" bestFit="1" customWidth="1"/>
    <col min="14" max="15" width="12" bestFit="1" customWidth="1"/>
  </cols>
  <sheetData>
    <row r="1" spans="1:15" ht="18" x14ac:dyDescent="0.35">
      <c r="A1" s="1" t="s">
        <v>0</v>
      </c>
      <c r="B1">
        <v>4425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M1" s="1" t="s">
        <v>21</v>
      </c>
      <c r="N1" s="1" t="s">
        <v>22</v>
      </c>
      <c r="O1" s="1" t="s">
        <v>23</v>
      </c>
    </row>
    <row r="2" spans="1:15" ht="18" x14ac:dyDescent="0.35">
      <c r="A2" s="1" t="s">
        <v>1</v>
      </c>
      <c r="B2">
        <v>315.68631850341154</v>
      </c>
      <c r="D2" s="4">
        <v>-22.5</v>
      </c>
      <c r="E2">
        <v>2.7181091142400771</v>
      </c>
      <c r="F2">
        <v>37.146305786227806</v>
      </c>
      <c r="G2">
        <v>1.0257000000000001</v>
      </c>
      <c r="H2">
        <f>Paq_S_1* EXP(-1*(dE0_S_1/ (1 + ((22.5/zMid_S_1) ^n_S_1)))/(0.00198717*298))</f>
        <v>1.2259224919233132</v>
      </c>
      <c r="I2">
        <f t="shared" ref="I2:I32" si="0">IF(ISERROR((LOG(H2)-LOG(G2))^2),0,(LOG(H2)-LOG(G2))^2)</f>
        <v>5.9973652122337498E-3</v>
      </c>
      <c r="J2">
        <f>Paq_S_2* EXP(-1*(dE0_S_2/ (1 + ((22.5/(-1*zMid_S_2)) ^n_S_2)))/(0.00198717*298))</f>
        <v>1.0925912975319512</v>
      </c>
      <c r="K2">
        <f t="shared" ref="K2:K32" si="1">IF(ISERROR((LOG(J2)-LOG(G2))^2),0,(LOG(J2)-LOG(G2))^2)</f>
        <v>7.5280990517527697E-4</v>
      </c>
      <c r="M2">
        <v>-24</v>
      </c>
      <c r="N2">
        <f>Paq_S_1* EXP(-1*(dE0_S_1/ (1 + ((24/zMid_S_1) ^n_S_1)))/(0.00198717*298))</f>
        <v>1.228071534893723</v>
      </c>
      <c r="O2">
        <f>Paq_S_2* EXP(-1*(dE0_S_2/ (1 + ((24/(-1*zMid_S_2)) ^n_S_2)))/(0.00198717*298))</f>
        <v>1.0929796737089676</v>
      </c>
    </row>
    <row r="3" spans="1:15" x14ac:dyDescent="0.25">
      <c r="D3" s="5">
        <v>-21</v>
      </c>
      <c r="E3">
        <v>3.9100208281862505</v>
      </c>
      <c r="F3">
        <v>53.383067205069459</v>
      </c>
      <c r="G3">
        <v>1.0266999999999999</v>
      </c>
      <c r="H3">
        <f>Paq_S_1* EXP(-1*(dE0_S_1/ (1 + ((21/zMid_S_1) ^n_S_1)))/(0.00198717*298))</f>
        <v>1.222141483656316</v>
      </c>
      <c r="I3">
        <f t="shared" si="0"/>
        <v>5.7271481454277866E-3</v>
      </c>
      <c r="J3">
        <f>Paq_S_2* EXP(-1*(dE0_S_2/ (1 + ((21/(-1*zMid_S_2)) ^n_S_2)))/(0.00198717*298))</f>
        <v>1.0917793515754657</v>
      </c>
      <c r="K3">
        <f t="shared" si="1"/>
        <v>7.124262629292933E-4</v>
      </c>
      <c r="M3">
        <v>-23</v>
      </c>
      <c r="N3">
        <f>Paq_S_1* EXP(-1*(dE0_S_1/ (1 + ((23/zMid_S_1) ^n_S_1)))/(0.00198717*298))</f>
        <v>1.2267735190412727</v>
      </c>
      <c r="O3">
        <f>Paq_S_2* EXP(-1*(dE0_S_2/ (1 + ((23/(-1*zMid_S_2)) ^n_S_2)))/(0.00198717*298))</f>
        <v>1.0927525247060983</v>
      </c>
    </row>
    <row r="4" spans="1:15" ht="18" x14ac:dyDescent="0.35">
      <c r="A4" s="2" t="s">
        <v>2</v>
      </c>
      <c r="B4">
        <v>1.2314774030356359</v>
      </c>
      <c r="D4" s="6">
        <v>-19.5</v>
      </c>
      <c r="E4">
        <v>8.6996675458094614</v>
      </c>
      <c r="F4">
        <v>104.67349192897072</v>
      </c>
      <c r="G4">
        <v>1.165</v>
      </c>
      <c r="H4">
        <f>Paq_S_1* EXP(-1*(dE0_S_1/ (1 + ((19.5/zMid_S_1) ^n_S_1)))/(0.00198717*298))</f>
        <v>1.2152885661554358</v>
      </c>
      <c r="I4">
        <f t="shared" si="0"/>
        <v>3.368504693311876E-4</v>
      </c>
      <c r="J4">
        <f>Paq_S_2* EXP(-1*(dE0_S_2/ (1 + ((19.5/(-1*zMid_S_2)) ^n_S_2)))/(0.00198717*298))</f>
        <v>1.0899972186522007</v>
      </c>
      <c r="K4">
        <f t="shared" si="1"/>
        <v>8.35240958544033E-4</v>
      </c>
      <c r="M4">
        <v>-22</v>
      </c>
      <c r="N4">
        <f>Paq_S_1* EXP(-1*(dE0_S_1/ (1 + ((22/zMid_S_1) ^n_S_1)))/(0.00198717*298))</f>
        <v>1.2248955446907324</v>
      </c>
      <c r="O4">
        <f>Paq_S_2* EXP(-1*(dE0_S_2/ (1 + ((22/(-1*zMid_S_2)) ^n_S_2)))/(0.00198717*298))</f>
        <v>1.0923853353392214</v>
      </c>
    </row>
    <row r="5" spans="1:15" ht="18" x14ac:dyDescent="0.35">
      <c r="A5" s="2" t="s">
        <v>3</v>
      </c>
      <c r="B5">
        <v>0.23440880816570489</v>
      </c>
      <c r="D5" s="7">
        <v>-18</v>
      </c>
      <c r="E5">
        <v>14.132550882917615</v>
      </c>
      <c r="F5">
        <v>171.11905245556184</v>
      </c>
      <c r="G5">
        <v>1.1577</v>
      </c>
      <c r="H5">
        <f>Paq_S_1* EXP(-1*(dE0_S_1/ (1 + ((18/zMid_S_1) ^n_S_1)))/(0.00198717*298))</f>
        <v>1.2025586758288187</v>
      </c>
      <c r="I5">
        <f t="shared" si="0"/>
        <v>2.7258811004212232E-4</v>
      </c>
      <c r="J5">
        <f>Paq_S_2* EXP(-1*(dE0_S_2/ (1 + ((18/(-1*zMid_S_2)) ^n_S_2)))/(0.00198717*298))</f>
        <v>1.0858840303122057</v>
      </c>
      <c r="K5">
        <f t="shared" si="1"/>
        <v>7.7354000241042328E-4</v>
      </c>
      <c r="M5">
        <v>-21</v>
      </c>
      <c r="N5">
        <f>Paq_S_1* EXP(-1*(dE0_S_1/ (1 + ((21/zMid_S_1) ^n_S_1)))/(0.00198717*298))</f>
        <v>1.222141483656316</v>
      </c>
      <c r="O5">
        <f>Paq_S_2* EXP(-1*(dE0_S_2/ (1 + ((21/(-1*zMid_S_2)) ^n_S_2)))/(0.00198717*298))</f>
        <v>1.0917793515754657</v>
      </c>
    </row>
    <row r="6" spans="1:15" ht="18" x14ac:dyDescent="0.35">
      <c r="A6" s="2" t="s">
        <v>4</v>
      </c>
      <c r="B6">
        <v>12.57048633242675</v>
      </c>
      <c r="D6" s="8">
        <v>-16.5</v>
      </c>
      <c r="E6">
        <v>18.38053548220315</v>
      </c>
      <c r="F6">
        <v>239.24085021505925</v>
      </c>
      <c r="G6">
        <v>1.0769</v>
      </c>
      <c r="H6">
        <f>Paq_S_1* EXP(-1*(dE0_S_1/ (1 + ((16.5/zMid_S_1) ^n_S_1)))/(0.00198717*298))</f>
        <v>1.1787091184137957</v>
      </c>
      <c r="I6">
        <f t="shared" si="0"/>
        <v>1.5390922520301304E-3</v>
      </c>
      <c r="J6">
        <f>Paq_S_2* EXP(-1*(dE0_S_2/ (1 + ((16.5/(-1*zMid_S_2)) ^n_S_2)))/(0.00198717*298))</f>
        <v>1.0759748367533517</v>
      </c>
      <c r="K6">
        <f t="shared" si="1"/>
        <v>1.3932461354303617E-7</v>
      </c>
      <c r="M6">
        <v>-20</v>
      </c>
      <c r="N6">
        <f>Paq_S_1* EXP(-1*(dE0_S_1/ (1 + ((20/zMid_S_1) ^n_S_1)))/(0.00198717*298))</f>
        <v>1.218049028505187</v>
      </c>
      <c r="O6">
        <f>Paq_S_2* EXP(-1*(dE0_S_2/ (1 + ((20/(-1*zMid_S_2)) ^n_S_2)))/(0.00198717*298))</f>
        <v>1.0907571883089753</v>
      </c>
    </row>
    <row r="7" spans="1:15" x14ac:dyDescent="0.25">
      <c r="A7" s="2" t="s">
        <v>5</v>
      </c>
      <c r="B7">
        <v>7.6624553699907123</v>
      </c>
      <c r="D7" s="9">
        <v>-15</v>
      </c>
      <c r="E7">
        <v>22.761512940446767</v>
      </c>
      <c r="F7">
        <v>301.1099037843893</v>
      </c>
      <c r="G7">
        <v>1.0596000000000001</v>
      </c>
      <c r="H7">
        <f>Paq_S_1* EXP(-1*(dE0_S_1/ (1 + ((15/zMid_S_1) ^n_S_1)))/(0.00198717*298))</f>
        <v>1.1353912050573847</v>
      </c>
      <c r="I7">
        <f t="shared" si="0"/>
        <v>9.0021458207547493E-4</v>
      </c>
      <c r="J7">
        <f>Paq_S_2* EXP(-1*(dE0_S_2/ (1 + ((15/(-1*zMid_S_2)) ^n_S_2)))/(0.00198717*298))</f>
        <v>1.0519170369042241</v>
      </c>
      <c r="K7">
        <f t="shared" si="1"/>
        <v>9.9885112146883129E-6</v>
      </c>
      <c r="M7">
        <v>-19</v>
      </c>
      <c r="N7">
        <f>Paq_S_1* EXP(-1*(dE0_S_1/ (1 + ((19/zMid_S_1) ^n_S_1)))/(0.00198717*298))</f>
        <v>1.2118950653450509</v>
      </c>
      <c r="O7">
        <f>Paq_S_2* EXP(-1*(dE0_S_2/ (1 + ((19/(-1*zMid_S_2)) ^n_S_2)))/(0.00198717*298))</f>
        <v>1.0889937847281004</v>
      </c>
    </row>
    <row r="8" spans="1:15" x14ac:dyDescent="0.25">
      <c r="D8" s="10">
        <v>-13.5</v>
      </c>
      <c r="E8">
        <v>22.889322198410991</v>
      </c>
      <c r="F8">
        <v>325.144691447757</v>
      </c>
      <c r="G8">
        <v>0.98680000000000001</v>
      </c>
      <c r="H8">
        <f>Paq_S_1* EXP(-1*(dE0_S_1/ (1 + ((13.5/zMid_S_1) ^n_S_1)))/(0.00198717*298))</f>
        <v>1.0651116722379408</v>
      </c>
      <c r="I8">
        <f t="shared" si="0"/>
        <v>1.0999837679798879E-3</v>
      </c>
      <c r="J8">
        <f>Paq_S_2* EXP(-1*(dE0_S_2/ (1 + ((13.5/(-1*zMid_S_2)) ^n_S_2)))/(0.00198717*298))</f>
        <v>0.99911322210787379</v>
      </c>
      <c r="K8">
        <f t="shared" si="1"/>
        <v>2.9004316583001478E-5</v>
      </c>
      <c r="M8">
        <v>-18</v>
      </c>
      <c r="N8">
        <f>Paq_S_1* EXP(-1*(dE0_S_1/ (1 + ((18/zMid_S_1) ^n_S_1)))/(0.00198717*298))</f>
        <v>1.2025586758288187</v>
      </c>
      <c r="O8">
        <f>Paq_S_2* EXP(-1*(dE0_S_2/ (1 + ((18/(-1*zMid_S_2)) ^n_S_2)))/(0.00198717*298))</f>
        <v>1.0858840303122057</v>
      </c>
    </row>
    <row r="9" spans="1:15" ht="18" x14ac:dyDescent="0.35">
      <c r="A9" s="3" t="s">
        <v>6</v>
      </c>
      <c r="B9">
        <v>1.0934051145529851</v>
      </c>
      <c r="D9" s="11">
        <v>-12</v>
      </c>
      <c r="E9">
        <v>21.41662229349917</v>
      </c>
      <c r="F9">
        <v>335.09215104301728</v>
      </c>
      <c r="G9">
        <v>0.89590000000000003</v>
      </c>
      <c r="H9">
        <f>Paq_S_1* EXP(-1*(dE0_S_1/ (1 + ((12/zMid_S_1) ^n_S_1)))/(0.00198717*298))</f>
        <v>0.97574095516406578</v>
      </c>
      <c r="I9">
        <f t="shared" si="0"/>
        <v>1.3745554468259937E-3</v>
      </c>
      <c r="J9">
        <f>Paq_S_2* EXP(-1*(dE0_S_2/ (1 + ((12/(-1*zMid_S_2)) ^n_S_2)))/(0.00198717*298))</f>
        <v>0.91636034654848675</v>
      </c>
      <c r="K9">
        <f t="shared" si="1"/>
        <v>9.6172369244652676E-5</v>
      </c>
      <c r="M9">
        <v>-17</v>
      </c>
      <c r="N9">
        <f>Paq_S_1* EXP(-1*(dE0_S_1/ (1 + ((17/zMid_S_1) ^n_S_1)))/(0.00198717*298))</f>
        <v>1.1883528617012562</v>
      </c>
      <c r="O9">
        <f>Paq_S_2* EXP(-1*(dE0_S_2/ (1 + ((17/(-1*zMid_S_2)) ^n_S_2)))/(0.00198717*298))</f>
        <v>1.080295774828705</v>
      </c>
    </row>
    <row r="10" spans="1:15" ht="18" x14ac:dyDescent="0.35">
      <c r="A10" s="3" t="s">
        <v>7</v>
      </c>
      <c r="B10">
        <v>0.18081642010655569</v>
      </c>
      <c r="D10" s="12">
        <v>-10.5</v>
      </c>
      <c r="E10">
        <v>20.904063992124918</v>
      </c>
      <c r="F10">
        <v>329.71261028763035</v>
      </c>
      <c r="G10">
        <v>0.88870000000000005</v>
      </c>
      <c r="H10">
        <f>Paq_S_1* EXP(-1*(dE0_S_1/ (1 + ((10.5/zMid_S_1) ^n_S_1)))/(0.00198717*298))</f>
        <v>0.89762715834172657</v>
      </c>
      <c r="I10">
        <f t="shared" si="0"/>
        <v>1.8842577872750835E-5</v>
      </c>
      <c r="J10">
        <f>Paq_S_2* EXP(-1*(dE0_S_2/ (1 + ((10.5/(-1*zMid_S_2)) ^n_S_2)))/(0.00198717*298))</f>
        <v>0.84592800818335812</v>
      </c>
      <c r="K10">
        <f t="shared" si="1"/>
        <v>4.5889247557072491E-4</v>
      </c>
      <c r="M10">
        <v>-16</v>
      </c>
      <c r="N10">
        <f>Paq_S_1* EXP(-1*(dE0_S_1/ (1 + ((16/zMid_S_1) ^n_S_1)))/(0.00198717*298))</f>
        <v>1.1669097847625345</v>
      </c>
      <c r="O10">
        <f>Paq_S_2* EXP(-1*(dE0_S_2/ (1 + ((16/(-1*zMid_S_2)) ^n_S_2)))/(0.00198717*298))</f>
        <v>1.0701515123623722</v>
      </c>
    </row>
    <row r="11" spans="1:15" ht="18" x14ac:dyDescent="0.35">
      <c r="A11" s="3" t="s">
        <v>8</v>
      </c>
      <c r="B11">
        <v>-12.383298752936508</v>
      </c>
      <c r="D11" s="13">
        <v>-9</v>
      </c>
      <c r="E11">
        <v>16.244087362262633</v>
      </c>
      <c r="F11">
        <v>284.46716551243782</v>
      </c>
      <c r="G11">
        <v>0.8004</v>
      </c>
      <c r="H11">
        <f>Paq_S_1* EXP(-1*(dE0_S_1/ (1 + ((9/zMid_S_1) ^n_S_1)))/(0.00198717*298))</f>
        <v>0.85280054403846495</v>
      </c>
      <c r="I11">
        <f t="shared" si="0"/>
        <v>7.5847301380670942E-4</v>
      </c>
      <c r="J11">
        <f>Paq_S_2* EXP(-1*(dE0_S_2/ (1 + ((9/(-1*zMid_S_2)) ^n_S_2)))/(0.00198717*298))</f>
        <v>0.81526326006736627</v>
      </c>
      <c r="K11">
        <f t="shared" si="1"/>
        <v>6.3852745121275198E-5</v>
      </c>
      <c r="M11">
        <v>-15</v>
      </c>
      <c r="N11">
        <f>Paq_S_1* EXP(-1*(dE0_S_1/ (1 + ((15/zMid_S_1) ^n_S_1)))/(0.00198717*298))</f>
        <v>1.1353912050573847</v>
      </c>
      <c r="O11">
        <f>Paq_S_2* EXP(-1*(dE0_S_2/ (1 + ((15/(-1*zMid_S_2)) ^n_S_2)))/(0.00198717*298))</f>
        <v>1.0519170369042241</v>
      </c>
    </row>
    <row r="12" spans="1:15" x14ac:dyDescent="0.25">
      <c r="A12" s="3" t="s">
        <v>9</v>
      </c>
      <c r="B12">
        <v>10.070782808436263</v>
      </c>
      <c r="D12" s="14">
        <v>-7.5</v>
      </c>
      <c r="E12">
        <v>12.785793045200988</v>
      </c>
      <c r="F12">
        <v>233.0137027127592</v>
      </c>
      <c r="G12">
        <v>0.76910000000000001</v>
      </c>
      <c r="H12">
        <f>Paq_S_1* EXP(-1*(dE0_S_1/ (1 + ((7.5/zMid_S_1) ^n_S_1)))/(0.00198717*298))</f>
        <v>0.83510035441022523</v>
      </c>
      <c r="I12">
        <f t="shared" si="0"/>
        <v>1.278481284126925E-3</v>
      </c>
      <c r="J12">
        <f>Paq_S_2* EXP(-1*(dE0_S_2/ (1 + ((7.5/(-1*zMid_S_2)) ^n_S_2)))/(0.00198717*298))</f>
        <v>0.80726719571879124</v>
      </c>
      <c r="K12">
        <f t="shared" si="1"/>
        <v>4.4244991277174407E-4</v>
      </c>
      <c r="M12">
        <v>-14</v>
      </c>
      <c r="N12">
        <f>Paq_S_1* EXP(-1*(dE0_S_1/ (1 + ((14/zMid_S_1) ^n_S_1)))/(0.00198717*298))</f>
        <v>1.0915779131129233</v>
      </c>
      <c r="O12">
        <f>Paq_S_2* EXP(-1*(dE0_S_2/ (1 + ((14/(-1*zMid_S_2)) ^n_S_2)))/(0.00198717*298))</f>
        <v>1.0207545139846159</v>
      </c>
    </row>
    <row r="13" spans="1:15" x14ac:dyDescent="0.25">
      <c r="D13" s="15">
        <v>-6</v>
      </c>
      <c r="E13">
        <v>12.805487210961818</v>
      </c>
      <c r="F13">
        <v>229.72199232624777</v>
      </c>
      <c r="G13">
        <v>0.78139999999999998</v>
      </c>
      <c r="H13">
        <f>Paq_S_1* EXP(-1*(dE0_S_1/ (1 + ((6/zMid_S_1) ^n_S_1)))/(0.00198717*298))</f>
        <v>0.83005439708695261</v>
      </c>
      <c r="I13">
        <f t="shared" si="0"/>
        <v>6.881780347126838E-4</v>
      </c>
      <c r="J13">
        <f>Paq_S_2* EXP(-1*(dE0_S_2/ (1 + ((6/(-1*zMid_S_2)) ^n_S_2)))/(0.00198717*298))</f>
        <v>0.8058654173056734</v>
      </c>
      <c r="K13">
        <f t="shared" si="1"/>
        <v>1.7926832243291338E-4</v>
      </c>
      <c r="M13">
        <v>-13</v>
      </c>
      <c r="N13">
        <f>Paq_S_1* EXP(-1*(dE0_S_1/ (1 + ((13/zMid_S_1) ^n_S_1)))/(0.00198717*298))</f>
        <v>1.0362722941137121</v>
      </c>
      <c r="O13">
        <f>Paq_S_2* EXP(-1*(dE0_S_2/ (1 + ((13/(-1*zMid_S_2)) ^n_S_2)))/(0.00198717*298))</f>
        <v>0.97361387808752786</v>
      </c>
    </row>
    <row r="14" spans="1:15" x14ac:dyDescent="0.25">
      <c r="D14" s="16">
        <v>-4.5</v>
      </c>
      <c r="E14">
        <v>13.153337126112785</v>
      </c>
      <c r="F14">
        <v>238.06457551464311</v>
      </c>
      <c r="G14">
        <v>0.77449999999999997</v>
      </c>
      <c r="H14">
        <f>Paq_S_1* EXP(-1*(dE0_S_1/ (1 + ((4.5/zMid_S_1) ^n_S_1)))/(0.00198717*298))</f>
        <v>0.82904805236183199</v>
      </c>
      <c r="I14">
        <f t="shared" si="0"/>
        <v>8.7369199214919224E-4</v>
      </c>
      <c r="J14">
        <f>Paq_S_2* EXP(-1*(dE0_S_2/ (1 + ((4.5/(-1*zMid_S_2)) ^n_S_2)))/(0.00198717*298))</f>
        <v>0.80570804769835969</v>
      </c>
      <c r="K14">
        <f t="shared" si="1"/>
        <v>2.9433792484573443E-4</v>
      </c>
      <c r="M14">
        <v>-12</v>
      </c>
      <c r="N14">
        <f>Paq_S_1* EXP(-1*(dE0_S_1/ (1 + ((12/zMid_S_1) ^n_S_1)))/(0.00198717*298))</f>
        <v>0.97574095516406578</v>
      </c>
      <c r="O14">
        <f>Paq_S_2* EXP(-1*(dE0_S_2/ (1 + ((12/(-1*zMid_S_2)) ^n_S_2)))/(0.00198717*298))</f>
        <v>0.91636034654848675</v>
      </c>
    </row>
    <row r="15" spans="1:15" x14ac:dyDescent="0.25">
      <c r="D15" s="17">
        <v>-3</v>
      </c>
      <c r="E15">
        <v>12.518473445240653</v>
      </c>
      <c r="F15">
        <v>209.69845561618712</v>
      </c>
      <c r="G15">
        <v>0.83679999999999999</v>
      </c>
      <c r="H15">
        <f>Paq_S_1* EXP(-1*(dE0_S_1/ (1 + ((3/zMid_S_1) ^n_S_1)))/(0.00198717*298))</f>
        <v>0.82892851753354713</v>
      </c>
      <c r="I15">
        <f t="shared" si="0"/>
        <v>1.6847664373917012E-5</v>
      </c>
      <c r="J15">
        <f>Paq_S_2* EXP(-1*(dE0_S_2/ (1 + ((3/(-1*zMid_S_2)) ^n_S_2)))/(0.00198717*298))</f>
        <v>0.80569900686333096</v>
      </c>
      <c r="K15">
        <f t="shared" si="1"/>
        <v>2.7056444286449778E-4</v>
      </c>
      <c r="M15">
        <v>-11</v>
      </c>
      <c r="N15">
        <f>Paq_S_1* EXP(-1*(dE0_S_1/ (1 + ((11/zMid_S_1) ^n_S_1)))/(0.00198717*298))</f>
        <v>0.92042513794378045</v>
      </c>
      <c r="O15">
        <f>Paq_S_2* EXP(-1*(dE0_S_2/ (1 + ((11/(-1*zMid_S_2)) ^n_S_2)))/(0.00198717*298))</f>
        <v>0.86503894776229173</v>
      </c>
    </row>
    <row r="16" spans="1:15" x14ac:dyDescent="0.25">
      <c r="D16" s="18">
        <v>-1.5</v>
      </c>
      <c r="E16">
        <v>11.337058448364091</v>
      </c>
      <c r="F16">
        <v>193.12505159558162</v>
      </c>
      <c r="G16">
        <v>0.82279999999999998</v>
      </c>
      <c r="H16">
        <f>Paq_S_1* EXP(-1*(dE0_S_1/ (1 + ((1.5/zMid_S_1) ^n_S_1)))/(0.00198717*298))</f>
        <v>0.82892294483029871</v>
      </c>
      <c r="I16">
        <f t="shared" si="0"/>
        <v>1.0367615484630993E-5</v>
      </c>
      <c r="J16">
        <f>Paq_S_2* EXP(-1*(dE0_S_2/ (1 + ((1.5/(-1*zMid_S_2)) ^n_S_2)))/(0.00198717*298))</f>
        <v>0.80569885204510272</v>
      </c>
      <c r="K16">
        <f t="shared" si="1"/>
        <v>8.3202458374651299E-5</v>
      </c>
      <c r="M16">
        <v>-10</v>
      </c>
      <c r="N16">
        <f>Paq_S_1* EXP(-1*(dE0_S_1/ (1 + ((10/zMid_S_1) ^n_S_1)))/(0.00198717*298))</f>
        <v>0.87882451063831457</v>
      </c>
      <c r="O16">
        <f>Paq_S_2* EXP(-1*(dE0_S_2/ (1 + ((10/(-1*zMid_S_2)) ^n_S_2)))/(0.00198717*298))</f>
        <v>0.83171338226034464</v>
      </c>
    </row>
    <row r="17" spans="4:15" x14ac:dyDescent="0.25">
      <c r="D17" s="19">
        <v>0</v>
      </c>
      <c r="E17">
        <v>11.921960614034766</v>
      </c>
      <c r="F17">
        <v>197.31337553026106</v>
      </c>
      <c r="G17">
        <v>0.84689999999999999</v>
      </c>
      <c r="H17">
        <f>Paq_S_1* EXP(-1*(dE0_S_1/ (1 + ((0/zMid_S_1) ^n_S_1)))/(0.00198717*298))</f>
        <v>0.82892291718686928</v>
      </c>
      <c r="I17">
        <f t="shared" si="0"/>
        <v>8.6824865863167767E-5</v>
      </c>
      <c r="J17">
        <f>Paq_S_2* EXP(-1*(dE0_S_2/ (1 + ((0/(-1*zMid_S_2)) ^n_S_2)))/(0.00198717*298))</f>
        <v>0.80569885190101775</v>
      </c>
      <c r="K17">
        <f t="shared" si="1"/>
        <v>4.6912909199719029E-4</v>
      </c>
      <c r="M17">
        <v>-9</v>
      </c>
      <c r="N17">
        <f>Paq_S_1* EXP(-1*(dE0_S_1/ (1 + ((9/zMid_S_1) ^n_S_1)))/(0.00198717*298))</f>
        <v>0.85280054403846495</v>
      </c>
      <c r="O17">
        <f>Paq_S_2* EXP(-1*(dE0_S_2/ (1 + ((9/(-1*zMid_S_2)) ^n_S_2)))/(0.00198717*298))</f>
        <v>0.81526326006736627</v>
      </c>
    </row>
    <row r="18" spans="4:15" x14ac:dyDescent="0.25">
      <c r="D18" s="20">
        <v>1.5</v>
      </c>
      <c r="E18">
        <v>12.966537369814541</v>
      </c>
      <c r="F18">
        <v>211.87289009819162</v>
      </c>
      <c r="G18">
        <v>0.85780000000000001</v>
      </c>
      <c r="H18">
        <f>Paq_S_1* EXP(-1*(dE0_S_1/ (1 + ((1.5/zMid_S_1) ^n_S_1)))/(0.00198717*298))</f>
        <v>0.82892294483029871</v>
      </c>
      <c r="I18">
        <f t="shared" si="0"/>
        <v>2.2117283560943676E-4</v>
      </c>
      <c r="J18">
        <f>Paq_S_2* EXP(-1*(dE0_S_2/ (1 + ((1.5/(-1*zMid_S_2)) ^n_S_2)))/(0.00198717*298))</f>
        <v>0.80569885204510272</v>
      </c>
      <c r="K18">
        <f t="shared" si="1"/>
        <v>7.4056353571873952E-4</v>
      </c>
      <c r="M18">
        <v>-8</v>
      </c>
      <c r="N18">
        <f>Paq_S_1* EXP(-1*(dE0_S_1/ (1 + ((8/zMid_S_1) ^n_S_1)))/(0.00198717*298))</f>
        <v>0.83895517664733199</v>
      </c>
      <c r="O18">
        <f>Paq_S_2* EXP(-1*(dE0_S_2/ (1 + ((8/(-1*zMid_S_2)) ^n_S_2)))/(0.00198717*298))</f>
        <v>0.80868815391048476</v>
      </c>
    </row>
    <row r="19" spans="4:15" x14ac:dyDescent="0.25">
      <c r="D19" s="21">
        <v>3</v>
      </c>
      <c r="E19">
        <v>12.981263216264871</v>
      </c>
      <c r="F19">
        <v>212.60048258233337</v>
      </c>
      <c r="G19">
        <v>0.85589999999999999</v>
      </c>
      <c r="H19">
        <f>Paq_S_1* EXP(-1*(dE0_S_1/ (1 + ((3/zMid_S_1) ^n_S_1)))/(0.00198717*298))</f>
        <v>0.82892851753354713</v>
      </c>
      <c r="I19">
        <f t="shared" si="0"/>
        <v>1.9337532024527198E-4</v>
      </c>
      <c r="J19">
        <f>Paq_S_2* EXP(-1*(dE0_S_2/ (1 + ((3/(-1*zMid_S_2)) ^n_S_2)))/(0.00198717*298))</f>
        <v>0.80569900686333096</v>
      </c>
      <c r="K19">
        <f t="shared" si="1"/>
        <v>6.8907289824314522E-4</v>
      </c>
      <c r="M19">
        <v>-7</v>
      </c>
      <c r="N19">
        <f>Paq_S_1* EXP(-1*(dE0_S_1/ (1 + ((7/zMid_S_1) ^n_S_1)))/(0.00198717*298))</f>
        <v>0.83258660881596513</v>
      </c>
      <c r="O19">
        <f>Paq_S_2* EXP(-1*(dE0_S_2/ (1 + ((7/(-1*zMid_S_2)) ^n_S_2)))/(0.00198717*298))</f>
        <v>0.80648384308971355</v>
      </c>
    </row>
    <row r="20" spans="4:15" x14ac:dyDescent="0.25">
      <c r="D20" s="22">
        <v>4.5</v>
      </c>
      <c r="E20">
        <v>13.100175025009426</v>
      </c>
      <c r="F20">
        <v>207.82615645104704</v>
      </c>
      <c r="G20">
        <v>0.88360000000000005</v>
      </c>
      <c r="H20">
        <f>Paq_S_1* EXP(-1*(dE0_S_1/ (1 + ((4.5/zMid_S_1) ^n_S_1)))/(0.00198717*298))</f>
        <v>0.82904805236183199</v>
      </c>
      <c r="I20">
        <f t="shared" si="0"/>
        <v>7.6596118774902727E-4</v>
      </c>
      <c r="J20">
        <f>Paq_S_2* EXP(-1*(dE0_S_2/ (1 + ((4.5/(-1*zMid_S_2)) ^n_S_2)))/(0.00198717*298))</f>
        <v>0.80570804769835969</v>
      </c>
      <c r="K20">
        <f t="shared" si="1"/>
        <v>1.6062465365635624E-3</v>
      </c>
      <c r="M20">
        <v>-6</v>
      </c>
      <c r="N20">
        <f>Paq_S_1* EXP(-1*(dE0_S_1/ (1 + ((6/zMid_S_1) ^n_S_1)))/(0.00198717*298))</f>
        <v>0.83005439708695261</v>
      </c>
      <c r="O20">
        <f>Paq_S_2* EXP(-1*(dE0_S_2/ (1 + ((6/(-1*zMid_S_2)) ^n_S_2)))/(0.00198717*298))</f>
        <v>0.8058654173056734</v>
      </c>
    </row>
    <row r="21" spans="4:15" x14ac:dyDescent="0.25">
      <c r="D21" s="23">
        <v>6</v>
      </c>
      <c r="E21">
        <v>12.780899304207205</v>
      </c>
      <c r="F21">
        <v>218.70380004479716</v>
      </c>
      <c r="G21">
        <v>0.81910000000000005</v>
      </c>
      <c r="H21">
        <f>Paq_S_1* EXP(-1*(dE0_S_1/ (1 + ((6/zMid_S_1) ^n_S_1)))/(0.00198717*298))</f>
        <v>0.83005439708695261</v>
      </c>
      <c r="I21">
        <f t="shared" si="0"/>
        <v>3.3288614051791176E-5</v>
      </c>
      <c r="J21">
        <f>Paq_S_2* EXP(-1*(dE0_S_2/ (1 + ((6/(-1*zMid_S_2)) ^n_S_2)))/(0.00198717*298))</f>
        <v>0.8058654173056734</v>
      </c>
      <c r="K21">
        <f t="shared" si="1"/>
        <v>5.0047233815189226E-5</v>
      </c>
      <c r="M21">
        <v>-5</v>
      </c>
      <c r="N21">
        <f>Paq_S_1* EXP(-1*(dE0_S_1/ (1 + ((5/zMid_S_1) ^n_S_1)))/(0.00198717*298))</f>
        <v>0.8292033502293622</v>
      </c>
      <c r="O21">
        <f>Paq_S_2* EXP(-1*(dE0_S_2/ (1 + ((5/(-1*zMid_S_2)) ^n_S_2)))/(0.00198717*298))</f>
        <v>0.80572542101990408</v>
      </c>
    </row>
    <row r="22" spans="4:15" x14ac:dyDescent="0.25">
      <c r="D22" s="24">
        <v>7.5</v>
      </c>
      <c r="E22">
        <v>10.461450010480291</v>
      </c>
      <c r="F22">
        <v>210.91142211418727</v>
      </c>
      <c r="G22">
        <v>0.69530000000000003</v>
      </c>
      <c r="H22">
        <f>Paq_S_1* EXP(-1*(dE0_S_1/ (1 + ((7.5/zMid_S_1) ^n_S_1)))/(0.00198717*298))</f>
        <v>0.83510035441022523</v>
      </c>
      <c r="I22">
        <f t="shared" si="0"/>
        <v>6.3308181531250406E-3</v>
      </c>
      <c r="J22">
        <f>Paq_S_2* EXP(-1*(dE0_S_2/ (1 + ((7.5/(-1*zMid_S_2)) ^n_S_2)))/(0.00198717*298))</f>
        <v>0.80726719571879124</v>
      </c>
      <c r="K22">
        <f t="shared" si="1"/>
        <v>4.2048838002036E-3</v>
      </c>
      <c r="M22">
        <v>-4</v>
      </c>
      <c r="N22">
        <f>Paq_S_1* EXP(-1*(dE0_S_1/ (1 + ((4/zMid_S_1) ^n_S_1)))/(0.00198717*298))</f>
        <v>0.82897367518226306</v>
      </c>
      <c r="O22">
        <f>Paq_S_2* EXP(-1*(dE0_S_2/ (1 + ((4/(-1*zMid_S_2)) ^n_S_2)))/(0.00198717*298))</f>
        <v>0.8057016602624657</v>
      </c>
    </row>
    <row r="23" spans="4:15" x14ac:dyDescent="0.25">
      <c r="D23" s="25">
        <v>9</v>
      </c>
      <c r="E23">
        <v>12.946284523745106</v>
      </c>
      <c r="F23">
        <v>213.79921748310556</v>
      </c>
      <c r="G23">
        <v>0.8488</v>
      </c>
      <c r="H23">
        <f>Paq_S_1* EXP(-1*(dE0_S_1/ (1 + ((9/zMid_S_1) ^n_S_1)))/(0.00198717*298))</f>
        <v>0.85280054403846495</v>
      </c>
      <c r="I23">
        <f t="shared" si="0"/>
        <v>4.17016360688973E-6</v>
      </c>
      <c r="J23">
        <f>Paq_S_2* EXP(-1*(dE0_S_2/ (1 + ((9/(-1*zMid_S_2)) ^n_S_2)))/(0.00198717*298))</f>
        <v>0.81526326006736627</v>
      </c>
      <c r="K23">
        <f t="shared" si="1"/>
        <v>3.065125443125107E-4</v>
      </c>
      <c r="M23">
        <v>-3</v>
      </c>
      <c r="N23">
        <f>Paq_S_1* EXP(-1*(dE0_S_1/ (1 + ((3/zMid_S_1) ^n_S_1)))/(0.00198717*298))</f>
        <v>0.82892851753354713</v>
      </c>
      <c r="O23">
        <f>Paq_S_2* EXP(-1*(dE0_S_2/ (1 + ((3/(-1*zMid_S_2)) ^n_S_2)))/(0.00198717*298))</f>
        <v>0.80569900686333096</v>
      </c>
    </row>
    <row r="24" spans="4:15" x14ac:dyDescent="0.25">
      <c r="D24" s="26">
        <v>10.5</v>
      </c>
      <c r="E24">
        <v>15.315537508234316</v>
      </c>
      <c r="F24">
        <v>220.63045274559784</v>
      </c>
      <c r="G24">
        <v>0.97299999999999998</v>
      </c>
      <c r="H24">
        <f>Paq_S_1* EXP(-1*(dE0_S_1/ (1 + ((10.5/zMid_S_1) ^n_S_1)))/(0.00198717*298))</f>
        <v>0.89762715834172657</v>
      </c>
      <c r="I24">
        <f t="shared" si="0"/>
        <v>1.2261802231831097E-3</v>
      </c>
      <c r="J24">
        <f>Paq_S_2* EXP(-1*(dE0_S_2/ (1 + ((10.5/(-1*zMid_S_2)) ^n_S_2)))/(0.00198717*298))</f>
        <v>0.84592800818335812</v>
      </c>
      <c r="K24">
        <f t="shared" si="1"/>
        <v>3.6941398202325025E-3</v>
      </c>
      <c r="M24">
        <v>-2</v>
      </c>
      <c r="N24">
        <f>Paq_S_1* EXP(-1*(dE0_S_1/ (1 + ((2/zMid_S_1) ^n_S_1)))/(0.00198717*298))</f>
        <v>0.82892316775692965</v>
      </c>
      <c r="O24">
        <f>Paq_S_2* EXP(-1*(dE0_S_2/ (1 + ((2/(-1*zMid_S_2)) ^n_S_2)))/(0.00198717*298))</f>
        <v>0.80569885451227397</v>
      </c>
    </row>
    <row r="25" spans="4:15" x14ac:dyDescent="0.25">
      <c r="D25" s="27">
        <v>12</v>
      </c>
      <c r="E25">
        <v>15.581268031600656</v>
      </c>
      <c r="F25">
        <v>225.0124392487848</v>
      </c>
      <c r="G25">
        <v>0.97060000000000002</v>
      </c>
      <c r="H25">
        <f>Paq_S_1* EXP(-1*(dE0_S_1/ (1 + ((12/zMid_S_1) ^n_S_1)))/(0.00198717*298))</f>
        <v>0.97574095516406578</v>
      </c>
      <c r="I25">
        <f t="shared" si="0"/>
        <v>5.263570254479057E-6</v>
      </c>
      <c r="J25">
        <f>Paq_S_2* EXP(-1*(dE0_S_2/ (1 + ((12/(-1*zMid_S_2)) ^n_S_2)))/(0.00198717*298))</f>
        <v>0.91636034654848675</v>
      </c>
      <c r="K25">
        <f t="shared" si="1"/>
        <v>6.2370063509283003E-4</v>
      </c>
      <c r="M25">
        <v>-1</v>
      </c>
      <c r="N25">
        <f>Paq_S_1* EXP(-1*(dE0_S_1/ (1 + ((1/zMid_S_1) ^n_S_1)))/(0.00198717*298))</f>
        <v>0.82892291842367227</v>
      </c>
      <c r="O25">
        <f>Paq_S_2* EXP(-1*(dE0_S_2/ (1 + ((1/(-1*zMid_S_2)) ^n_S_2)))/(0.00198717*298))</f>
        <v>0.80569885190344559</v>
      </c>
    </row>
    <row r="26" spans="4:15" x14ac:dyDescent="0.25">
      <c r="D26" s="28">
        <v>13.5</v>
      </c>
      <c r="E26">
        <v>15.593299932805026</v>
      </c>
      <c r="F26">
        <v>218.45557134306293</v>
      </c>
      <c r="G26">
        <v>1.0004999999999999</v>
      </c>
      <c r="H26">
        <f>Paq_S_1* EXP(-1*(dE0_S_1/ (1 + ((13.5/zMid_S_1) ^n_S_1)))/(0.00198717*298))</f>
        <v>1.0651116722379408</v>
      </c>
      <c r="I26">
        <f t="shared" si="0"/>
        <v>7.3864645839856328E-4</v>
      </c>
      <c r="J26">
        <f>Paq_S_2* EXP(-1*(dE0_S_2/ (1 + ((13.5/(-1*zMid_S_2)) ^n_S_2)))/(0.00198717*298))</f>
        <v>0.99911322210787379</v>
      </c>
      <c r="K26">
        <f t="shared" si="1"/>
        <v>3.6286958892082752E-7</v>
      </c>
      <c r="M26">
        <v>0</v>
      </c>
      <c r="N26">
        <f>Paq_S_1* EXP(-1*(dE0_S_1/ (1 + ((0/zMid_S_1) ^n_S_1)))/(0.00198717*298))</f>
        <v>0.82892291718686928</v>
      </c>
      <c r="O26">
        <f>Paq_S_2* EXP(-1*(dE0_S_2/ (1 + ((0/(-1*zMid_S_2)) ^n_S_2)))/(0.00198717*298))</f>
        <v>0.80569885190101775</v>
      </c>
    </row>
    <row r="27" spans="4:15" x14ac:dyDescent="0.25">
      <c r="D27" s="29">
        <v>15</v>
      </c>
      <c r="E27">
        <v>18.181964066084117</v>
      </c>
      <c r="F27">
        <v>224.03276726794545</v>
      </c>
      <c r="G27">
        <v>1.1375999999999999</v>
      </c>
      <c r="H27">
        <f>Paq_S_1* EXP(-1*(dE0_S_1/ (1 + ((15/zMid_S_1) ^n_S_1)))/(0.00198717*298))</f>
        <v>1.1353912050573847</v>
      </c>
      <c r="I27">
        <f t="shared" si="0"/>
        <v>7.1243324177560164E-7</v>
      </c>
      <c r="J27">
        <f>Paq_S_2* EXP(-1*(dE0_S_2/ (1 + ((15/(-1*zMid_S_2)) ^n_S_2)))/(0.00198717*298))</f>
        <v>1.0519170369042241</v>
      </c>
      <c r="K27">
        <f t="shared" si="1"/>
        <v>1.1565504821458817E-3</v>
      </c>
      <c r="M27">
        <v>1</v>
      </c>
      <c r="N27">
        <f>Paq_S_1* EXP(-1*(dE0_S_1/ (1 + ((1/zMid_S_1) ^n_S_1)))/(0.00198717*298))</f>
        <v>0.82892291842367227</v>
      </c>
      <c r="O27">
        <f>Paq_S_2* EXP(-1*(dE0_S_2/ (1 + ((1/(-1*zMid_S_2)) ^n_S_2)))/(0.00198717*298))</f>
        <v>0.80569885190344559</v>
      </c>
    </row>
    <row r="28" spans="4:15" x14ac:dyDescent="0.25">
      <c r="D28" s="30">
        <v>16.5</v>
      </c>
      <c r="E28">
        <v>21.372202074790017</v>
      </c>
      <c r="F28">
        <v>233.75708221892813</v>
      </c>
      <c r="G28">
        <v>1.2816000000000001</v>
      </c>
      <c r="H28">
        <f>Paq_S_1* EXP(-1*(dE0_S_1/ (1 + ((16.5/zMid_S_1) ^n_S_1)))/(0.00198717*298))</f>
        <v>1.1787091184137957</v>
      </c>
      <c r="I28">
        <f t="shared" si="0"/>
        <v>1.3210212137018565E-3</v>
      </c>
      <c r="J28">
        <f>Paq_S_2* EXP(-1*(dE0_S_2/ (1 + ((16.5/(-1*zMid_S_2)) ^n_S_2)))/(0.00198717*298))</f>
        <v>1.0759748367533517</v>
      </c>
      <c r="K28">
        <f t="shared" si="1"/>
        <v>5.768460815049798E-3</v>
      </c>
      <c r="M28">
        <v>2</v>
      </c>
      <c r="N28">
        <f>Paq_S_1* EXP(-1*(dE0_S_1/ (1 + ((2/zMid_S_1) ^n_S_1)))/(0.00198717*298))</f>
        <v>0.82892316775692965</v>
      </c>
      <c r="O28">
        <f>Paq_S_2* EXP(-1*(dE0_S_2/ (1 + ((2/(-1*zMid_S_2)) ^n_S_2)))/(0.00198717*298))</f>
        <v>0.80569885451227397</v>
      </c>
    </row>
    <row r="29" spans="4:15" x14ac:dyDescent="0.25">
      <c r="D29" s="31">
        <v>18</v>
      </c>
      <c r="E29">
        <v>19.026941436584192</v>
      </c>
      <c r="F29">
        <v>221.14244125881021</v>
      </c>
      <c r="G29">
        <v>1.206</v>
      </c>
      <c r="H29">
        <f>Paq_S_1* EXP(-1*(dE0_S_1/ (1 + ((18/zMid_S_1) ^n_S_1)))/(0.00198717*298))</f>
        <v>1.2025586758288187</v>
      </c>
      <c r="I29">
        <f t="shared" si="0"/>
        <v>1.5401602595335687E-6</v>
      </c>
      <c r="J29">
        <f>Paq_S_2* EXP(-1*(dE0_S_2/ (1 + ((18/(-1*zMid_S_2)) ^n_S_2)))/(0.00198717*298))</f>
        <v>1.0858840303122057</v>
      </c>
      <c r="K29">
        <f t="shared" si="1"/>
        <v>2.0760654870863272E-3</v>
      </c>
      <c r="M29">
        <v>3</v>
      </c>
      <c r="N29">
        <f>Paq_S_1* EXP(-1*(dE0_S_1/ (1 + ((3/zMid_S_1) ^n_S_1)))/(0.00198717*298))</f>
        <v>0.82892851753354713</v>
      </c>
      <c r="O29">
        <f>Paq_S_2* EXP(-1*(dE0_S_2/ (1 + ((3/(-1*zMid_S_2)) ^n_S_2)))/(0.00198717*298))</f>
        <v>0.80569900686333096</v>
      </c>
    </row>
    <row r="30" spans="4:15" x14ac:dyDescent="0.25">
      <c r="D30" s="32">
        <v>19.5</v>
      </c>
      <c r="E30">
        <v>16.202494491129826</v>
      </c>
      <c r="F30">
        <v>203.08284087537984</v>
      </c>
      <c r="G30">
        <v>1.1183000000000001</v>
      </c>
      <c r="H30">
        <f>Paq_S_1* EXP(-1*(dE0_S_1/ (1 + ((19.5/zMid_S_1) ^n_S_1)))/(0.00198717*298))</f>
        <v>1.2152885661554358</v>
      </c>
      <c r="I30">
        <f t="shared" si="0"/>
        <v>1.3047329285959777E-3</v>
      </c>
      <c r="J30">
        <f>Paq_S_2* EXP(-1*(dE0_S_2/ (1 + ((19.5/(-1*zMid_S_2)) ^n_S_2)))/(0.00198717*298))</f>
        <v>1.0899972186522007</v>
      </c>
      <c r="K30">
        <f t="shared" si="1"/>
        <v>1.239422449746013E-4</v>
      </c>
      <c r="M30">
        <v>4</v>
      </c>
      <c r="N30">
        <f>Paq_S_1* EXP(-1*(dE0_S_1/ (1 + ((4/zMid_S_1) ^n_S_1)))/(0.00198717*298))</f>
        <v>0.82897367518226306</v>
      </c>
      <c r="O30">
        <f>Paq_S_2* EXP(-1*(dE0_S_2/ (1 + ((4/(-1*zMid_S_2)) ^n_S_2)))/(0.00198717*298))</f>
        <v>0.8057016602624657</v>
      </c>
    </row>
    <row r="31" spans="4:15" x14ac:dyDescent="0.25">
      <c r="D31" s="33">
        <v>21</v>
      </c>
      <c r="E31">
        <v>18.052102806964246</v>
      </c>
      <c r="F31">
        <v>202.23586360890673</v>
      </c>
      <c r="G31">
        <v>1.2512000000000001</v>
      </c>
      <c r="H31">
        <f>Paq_S_1* EXP(-1*(dE0_S_1/ (1 + ((21/zMid_S_1) ^n_S_1)))/(0.00198717*298))</f>
        <v>1.222141483656316</v>
      </c>
      <c r="I31">
        <f t="shared" si="0"/>
        <v>1.0414712610090445E-4</v>
      </c>
      <c r="J31">
        <f>Paq_S_2* EXP(-1*(dE0_S_2/ (1 + ((21/(-1*zMid_S_2)) ^n_S_2)))/(0.00198717*298))</f>
        <v>1.0917793515754657</v>
      </c>
      <c r="K31">
        <f t="shared" si="1"/>
        <v>3.5036762099056808E-3</v>
      </c>
      <c r="M31">
        <v>5</v>
      </c>
      <c r="N31">
        <f>Paq_S_1* EXP(-1*(dE0_S_1/ (1 + ((5/zMid_S_1) ^n_S_1)))/(0.00198717*298))</f>
        <v>0.8292033502293622</v>
      </c>
      <c r="O31">
        <f>Paq_S_2* EXP(-1*(dE0_S_2/ (1 + ((5/(-1*zMid_S_2)) ^n_S_2)))/(0.00198717*298))</f>
        <v>0.80572542101990408</v>
      </c>
    </row>
    <row r="32" spans="4:15" x14ac:dyDescent="0.25">
      <c r="D32" s="34">
        <v>22.5</v>
      </c>
      <c r="E32">
        <v>16.365558361396754</v>
      </c>
      <c r="F32">
        <v>185.59265872251723</v>
      </c>
      <c r="G32">
        <v>1.236</v>
      </c>
      <c r="H32">
        <f>Paq_S_1* EXP(-1*(dE0_S_1/ (1 + ((22.5/zMid_S_1) ^n_S_1)))/(0.00198717*298))</f>
        <v>1.2259224919233132</v>
      </c>
      <c r="I32">
        <f t="shared" si="0"/>
        <v>1.2641279185066873E-5</v>
      </c>
      <c r="J32">
        <f>Paq_S_2* EXP(-1*(dE0_S_2/ (1 + ((22.5/(-1*zMid_S_2)) ^n_S_2)))/(0.00198717*298))</f>
        <v>1.0925912975319512</v>
      </c>
      <c r="K32">
        <f t="shared" si="1"/>
        <v>2.8687521952756234E-3</v>
      </c>
      <c r="M32">
        <v>6</v>
      </c>
      <c r="N32">
        <f>Paq_S_1* EXP(-1*(dE0_S_1/ (1 + ((6/zMid_S_1) ^n_S_1)))/(0.00198717*298))</f>
        <v>0.83005439708695261</v>
      </c>
      <c r="O32">
        <f>Paq_S_2* EXP(-1*(dE0_S_2/ (1 + ((6/(-1*zMid_S_2)) ^n_S_2)))/(0.00198717*298))</f>
        <v>0.8058654173056734</v>
      </c>
    </row>
    <row r="33" spans="7:15" x14ac:dyDescent="0.25">
      <c r="M33">
        <v>7</v>
      </c>
      <c r="N33">
        <f>Paq_S_1* EXP(-1*(dE0_S_1/ (1 + ((7/zMid_S_1) ^n_S_1)))/(0.00198717*298))</f>
        <v>0.83258660881596513</v>
      </c>
      <c r="O33">
        <f>Paq_S_2* EXP(-1*(dE0_S_2/ (1 + ((7/(-1*zMid_S_2)) ^n_S_2)))/(0.00198717*298))</f>
        <v>0.80648384308971355</v>
      </c>
    </row>
    <row r="34" spans="7:15" x14ac:dyDescent="0.25">
      <c r="G34" t="s">
        <v>18</v>
      </c>
      <c r="H34" s="1" t="s">
        <v>20</v>
      </c>
      <c r="I34">
        <f>SQRT(AVERAGE(I$17:I$32))</f>
        <v>2.7783196960091603E-2</v>
      </c>
      <c r="M34">
        <v>8</v>
      </c>
      <c r="N34">
        <f>Paq_S_1* EXP(-1*(dE0_S_1/ (1 + ((8/zMid_S_1) ^n_S_1)))/(0.00198717*298))</f>
        <v>0.83895517664733199</v>
      </c>
      <c r="O34">
        <f>Paq_S_2* EXP(-1*(dE0_S_2/ (1 + ((8/(-1*zMid_S_2)) ^n_S_2)))/(0.00198717*298))</f>
        <v>0.80868815391048476</v>
      </c>
    </row>
    <row r="35" spans="7:15" x14ac:dyDescent="0.25">
      <c r="G35" t="s">
        <v>19</v>
      </c>
      <c r="J35" s="1" t="s">
        <v>20</v>
      </c>
      <c r="K35">
        <f>SQRT(AVERAGE(K$2:K$17))</f>
        <v>1.8491584276187717E-2</v>
      </c>
      <c r="M35">
        <v>9</v>
      </c>
      <c r="N35">
        <f>Paq_S_1* EXP(-1*(dE0_S_1/ (1 + ((9/zMid_S_1) ^n_S_1)))/(0.00198717*298))</f>
        <v>0.85280054403846495</v>
      </c>
      <c r="O35">
        <f>Paq_S_2* EXP(-1*(dE0_S_2/ (1 + ((9/(-1*zMid_S_2)) ^n_S_2)))/(0.00198717*298))</f>
        <v>0.81526326006736627</v>
      </c>
    </row>
    <row r="36" spans="7:15" x14ac:dyDescent="0.25">
      <c r="M36">
        <v>10</v>
      </c>
      <c r="N36">
        <f>Paq_S_1* EXP(-1*(dE0_S_1/ (1 + ((10/zMid_S_1) ^n_S_1)))/(0.00198717*298))</f>
        <v>0.87882451063831457</v>
      </c>
      <c r="O36">
        <f>Paq_S_2* EXP(-1*(dE0_S_2/ (1 + ((10/(-1*zMid_S_2)) ^n_S_2)))/(0.00198717*298))</f>
        <v>0.83171338226034464</v>
      </c>
    </row>
    <row r="37" spans="7:15" x14ac:dyDescent="0.25">
      <c r="M37">
        <v>11</v>
      </c>
      <c r="N37">
        <f>Paq_S_1* EXP(-1*(dE0_S_1/ (1 + ((11/zMid_S_1) ^n_S_1)))/(0.00198717*298))</f>
        <v>0.92042513794378045</v>
      </c>
      <c r="O37">
        <f>Paq_S_2* EXP(-1*(dE0_S_2/ (1 + ((11/(-1*zMid_S_2)) ^n_S_2)))/(0.00198717*298))</f>
        <v>0.86503894776229173</v>
      </c>
    </row>
    <row r="38" spans="7:15" x14ac:dyDescent="0.25">
      <c r="M38">
        <v>12</v>
      </c>
      <c r="N38">
        <f>Paq_S_1* EXP(-1*(dE0_S_1/ (1 + ((12/zMid_S_1) ^n_S_1)))/(0.00198717*298))</f>
        <v>0.97574095516406578</v>
      </c>
      <c r="O38">
        <f>Paq_S_2* EXP(-1*(dE0_S_2/ (1 + ((12/(-1*zMid_S_2)) ^n_S_2)))/(0.00198717*298))</f>
        <v>0.91636034654848675</v>
      </c>
    </row>
    <row r="39" spans="7:15" x14ac:dyDescent="0.25">
      <c r="M39">
        <v>13</v>
      </c>
      <c r="N39">
        <f>Paq_S_1* EXP(-1*(dE0_S_1/ (1 + ((13/zMid_S_1) ^n_S_1)))/(0.00198717*298))</f>
        <v>1.0362722941137121</v>
      </c>
      <c r="O39">
        <f>Paq_S_2* EXP(-1*(dE0_S_2/ (1 + ((13/(-1*zMid_S_2)) ^n_S_2)))/(0.00198717*298))</f>
        <v>0.97361387808752786</v>
      </c>
    </row>
    <row r="40" spans="7:15" x14ac:dyDescent="0.25">
      <c r="M40">
        <v>14</v>
      </c>
      <c r="N40">
        <f>Paq_S_1* EXP(-1*(dE0_S_1/ (1 + ((14/zMid_S_1) ^n_S_1)))/(0.00198717*298))</f>
        <v>1.0915779131129233</v>
      </c>
      <c r="O40">
        <f>Paq_S_2* EXP(-1*(dE0_S_2/ (1 + ((14/(-1*zMid_S_2)) ^n_S_2)))/(0.00198717*298))</f>
        <v>1.0207545139846159</v>
      </c>
    </row>
    <row r="41" spans="7:15" x14ac:dyDescent="0.25">
      <c r="M41">
        <v>15</v>
      </c>
      <c r="N41">
        <f>Paq_S_1* EXP(-1*(dE0_S_1/ (1 + ((15/zMid_S_1) ^n_S_1)))/(0.00198717*298))</f>
        <v>1.1353912050573847</v>
      </c>
      <c r="O41">
        <f>Paq_S_2* EXP(-1*(dE0_S_2/ (1 + ((15/(-1*zMid_S_2)) ^n_S_2)))/(0.00198717*298))</f>
        <v>1.0519170369042241</v>
      </c>
    </row>
    <row r="42" spans="7:15" x14ac:dyDescent="0.25">
      <c r="M42">
        <v>16</v>
      </c>
      <c r="N42">
        <f>Paq_S_1* EXP(-1*(dE0_S_1/ (1 + ((16/zMid_S_1) ^n_S_1)))/(0.00198717*298))</f>
        <v>1.1669097847625345</v>
      </c>
      <c r="O42">
        <f>Paq_S_2* EXP(-1*(dE0_S_2/ (1 + ((16/(-1*zMid_S_2)) ^n_S_2)))/(0.00198717*298))</f>
        <v>1.0701515123623722</v>
      </c>
    </row>
    <row r="43" spans="7:15" x14ac:dyDescent="0.25">
      <c r="M43">
        <v>17</v>
      </c>
      <c r="N43">
        <f>Paq_S_1* EXP(-1*(dE0_S_1/ (1 + ((17/zMid_S_1) ^n_S_1)))/(0.00198717*298))</f>
        <v>1.1883528617012562</v>
      </c>
      <c r="O43">
        <f>Paq_S_2* EXP(-1*(dE0_S_2/ (1 + ((17/(-1*zMid_S_2)) ^n_S_2)))/(0.00198717*298))</f>
        <v>1.080295774828705</v>
      </c>
    </row>
    <row r="44" spans="7:15" x14ac:dyDescent="0.25">
      <c r="M44">
        <v>18</v>
      </c>
      <c r="N44">
        <f>Paq_S_1* EXP(-1*(dE0_S_1/ (1 + ((18/zMid_S_1) ^n_S_1)))/(0.00198717*298))</f>
        <v>1.2025586758288187</v>
      </c>
      <c r="O44">
        <f>Paq_S_2* EXP(-1*(dE0_S_2/ (1 + ((18/(-1*zMid_S_2)) ^n_S_2)))/(0.00198717*298))</f>
        <v>1.0858840303122057</v>
      </c>
    </row>
    <row r="45" spans="7:15" x14ac:dyDescent="0.25">
      <c r="M45">
        <v>19</v>
      </c>
      <c r="N45">
        <f>Paq_S_1* EXP(-1*(dE0_S_1/ (1 + ((19/zMid_S_1) ^n_S_1)))/(0.00198717*298))</f>
        <v>1.2118950653450509</v>
      </c>
      <c r="O45">
        <f>Paq_S_2* EXP(-1*(dE0_S_2/ (1 + ((19/(-1*zMid_S_2)) ^n_S_2)))/(0.00198717*298))</f>
        <v>1.0889937847281004</v>
      </c>
    </row>
    <row r="46" spans="7:15" x14ac:dyDescent="0.25">
      <c r="M46">
        <v>20</v>
      </c>
      <c r="N46">
        <f>Paq_S_1* EXP(-1*(dE0_S_1/ (1 + ((20/zMid_S_1) ^n_S_1)))/(0.00198717*298))</f>
        <v>1.218049028505187</v>
      </c>
      <c r="O46">
        <f>Paq_S_2* EXP(-1*(dE0_S_2/ (1 + ((20/(-1*zMid_S_2)) ^n_S_2)))/(0.00198717*298))</f>
        <v>1.0907571883089753</v>
      </c>
    </row>
    <row r="47" spans="7:15" x14ac:dyDescent="0.25">
      <c r="M47">
        <v>21</v>
      </c>
      <c r="N47">
        <f>Paq_S_1* EXP(-1*(dE0_S_1/ (1 + ((21/zMid_S_1) ^n_S_1)))/(0.00198717*298))</f>
        <v>1.222141483656316</v>
      </c>
      <c r="O47">
        <f>Paq_S_2* EXP(-1*(dE0_S_2/ (1 + ((21/(-1*zMid_S_2)) ^n_S_2)))/(0.00198717*298))</f>
        <v>1.0917793515754657</v>
      </c>
    </row>
    <row r="48" spans="7:15" x14ac:dyDescent="0.25">
      <c r="M48">
        <v>22</v>
      </c>
      <c r="N48">
        <f>Paq_S_1* EXP(-1*(dE0_S_1/ (1 + ((22/zMid_S_1) ^n_S_1)))/(0.00198717*298))</f>
        <v>1.2248955446907324</v>
      </c>
      <c r="O48">
        <f>Paq_S_2* EXP(-1*(dE0_S_2/ (1 + ((22/(-1*zMid_S_2)) ^n_S_2)))/(0.00198717*298))</f>
        <v>1.0923853353392214</v>
      </c>
    </row>
    <row r="49" spans="13:15" x14ac:dyDescent="0.25">
      <c r="M49">
        <v>23</v>
      </c>
      <c r="N49">
        <f>Paq_S_1* EXP(-1*(dE0_S_1/ (1 + ((23/zMid_S_1) ^n_S_1)))/(0.00198717*298))</f>
        <v>1.2267735190412727</v>
      </c>
      <c r="O49">
        <f>Paq_S_2* EXP(-1*(dE0_S_2/ (1 + ((23/(-1*zMid_S_2)) ^n_S_2)))/(0.00198717*298))</f>
        <v>1.0927525247060983</v>
      </c>
    </row>
    <row r="50" spans="13:15" x14ac:dyDescent="0.25">
      <c r="M50">
        <v>24</v>
      </c>
      <c r="N50">
        <f>Paq_S_1* EXP(-1*(dE0_S_1/ (1 + ((24/zMid_S_1) ^n_S_1)))/(0.00198717*298))</f>
        <v>1.228071534893723</v>
      </c>
      <c r="O50">
        <f>Paq_S_2* EXP(-1*(dE0_S_2/ (1 + ((24/(-1*zMid_S_2)) ^n_S_2)))/(0.00198717*298))</f>
        <v>1.0929796737089676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O50"/>
  <sheetViews>
    <sheetView topLeftCell="A37" workbookViewId="0"/>
  </sheetViews>
  <sheetFormatPr defaultRowHeight="15" x14ac:dyDescent="0.25"/>
  <cols>
    <col min="1" max="1" width="6" bestFit="1" customWidth="1"/>
    <col min="2" max="2" width="12.7109375" bestFit="1" customWidth="1"/>
    <col min="4" max="4" width="10.42578125" bestFit="1" customWidth="1"/>
    <col min="5" max="6" width="12" bestFit="1" customWidth="1"/>
    <col min="7" max="7" width="16.140625" bestFit="1" customWidth="1"/>
    <col min="8" max="11" width="12" bestFit="1" customWidth="1"/>
    <col min="13" max="13" width="3.7109375" bestFit="1" customWidth="1"/>
    <col min="14" max="15" width="12" bestFit="1" customWidth="1"/>
  </cols>
  <sheetData>
    <row r="1" spans="1:15" ht="18" x14ac:dyDescent="0.35">
      <c r="A1" s="1" t="s">
        <v>0</v>
      </c>
      <c r="B1">
        <v>4425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M1" s="1" t="s">
        <v>21</v>
      </c>
      <c r="N1" s="1" t="s">
        <v>22</v>
      </c>
      <c r="O1" s="1" t="s">
        <v>23</v>
      </c>
    </row>
    <row r="2" spans="1:15" ht="18" x14ac:dyDescent="0.35">
      <c r="A2" s="1" t="s">
        <v>1</v>
      </c>
      <c r="B2">
        <v>284.00766884366612</v>
      </c>
      <c r="D2" s="4">
        <v>-22.5</v>
      </c>
      <c r="E2">
        <v>1.4280951790751717</v>
      </c>
      <c r="F2">
        <v>37.146305786227806</v>
      </c>
      <c r="G2">
        <v>0.59899999999999998</v>
      </c>
      <c r="H2">
        <f>Paq_T_1* EXP(-1*(dE0_T_1/ (1 + ((22.5/zMid_T_1) ^n_T_1)))/(0.00198717*298))</f>
        <v>1.0258314219748479</v>
      </c>
      <c r="I2">
        <f t="shared" ref="I2:I32" si="0">IF(ISERROR((LOG(H2)-LOG(G2))^2),0,(LOG(H2)-LOG(G2))^2)</f>
        <v>5.459193712080803E-2</v>
      </c>
      <c r="J2">
        <f>Paq_T_2* EXP(-1*(dE0_T_2/ (1 + ((22.5/(-1*zMid_T_2)) ^n_T_2)))/(0.00198717*298))</f>
        <v>0.85163632003418888</v>
      </c>
      <c r="K2">
        <f t="shared" ref="K2:K32" si="1">IF(ISERROR((LOG(J2)-LOG(G2))^2),0,(LOG(J2)-LOG(G2))^2)</f>
        <v>2.335619960543844E-2</v>
      </c>
      <c r="M2">
        <v>-24</v>
      </c>
      <c r="N2">
        <f>Paq_T_1* EXP(-1*(dE0_T_1/ (1 + ((24/zMid_T_1) ^n_T_1)))/(0.00198717*298))</f>
        <v>1.0258314219749087</v>
      </c>
      <c r="O2">
        <f>Paq_T_2* EXP(-1*(dE0_T_2/ (1 + ((24/(-1*zMid_T_2)) ^n_T_2)))/(0.00198717*298))</f>
        <v>0.84884621072314947</v>
      </c>
    </row>
    <row r="3" spans="1:15" x14ac:dyDescent="0.25">
      <c r="D3" s="5">
        <v>-21</v>
      </c>
      <c r="E3">
        <v>2.8239519211137005</v>
      </c>
      <c r="F3">
        <v>53.383067205069459</v>
      </c>
      <c r="G3">
        <v>0.82420000000000004</v>
      </c>
      <c r="H3">
        <f>Paq_T_1* EXP(-1*(dE0_T_1/ (1 + ((21/zMid_T_1) ^n_T_1)))/(0.00198717*298))</f>
        <v>1.0258314219743556</v>
      </c>
      <c r="I3">
        <f t="shared" si="0"/>
        <v>9.0332455085682453E-3</v>
      </c>
      <c r="J3">
        <f>Paq_T_2* EXP(-1*(dE0_T_2/ (1 + ((21/(-1*zMid_T_2)) ^n_T_2)))/(0.00198717*298))</f>
        <v>0.85465934732121596</v>
      </c>
      <c r="K3">
        <f t="shared" si="1"/>
        <v>2.4839136291898142E-4</v>
      </c>
      <c r="M3">
        <v>-23</v>
      </c>
      <c r="N3">
        <f>Paq_T_1* EXP(-1*(dE0_T_1/ (1 + ((23/zMid_T_1) ^n_T_1)))/(0.00198717*298))</f>
        <v>1.0258314219748821</v>
      </c>
      <c r="O3">
        <f>Paq_T_2* EXP(-1*(dE0_T_2/ (1 + ((23/(-1*zMid_T_2)) ^n_T_2)))/(0.00198717*298))</f>
        <v>0.85068170613616378</v>
      </c>
    </row>
    <row r="4" spans="1:15" ht="18" x14ac:dyDescent="0.35">
      <c r="A4" s="2" t="s">
        <v>2</v>
      </c>
      <c r="B4">
        <v>1.0258314219749189</v>
      </c>
      <c r="D4" s="6">
        <v>-19.5</v>
      </c>
      <c r="E4">
        <v>6.6256007151358292</v>
      </c>
      <c r="F4">
        <v>104.67349192897072</v>
      </c>
      <c r="G4">
        <v>0.98619999999999997</v>
      </c>
      <c r="H4">
        <f>Paq_T_1* EXP(-1*(dE0_T_1/ (1 + ((19.5/zMid_T_1) ^n_T_1)))/(0.00198717*298))</f>
        <v>1.0258314219697142</v>
      </c>
      <c r="I4">
        <f t="shared" si="0"/>
        <v>2.9278630379441314E-4</v>
      </c>
      <c r="J4">
        <f>Paq_T_2* EXP(-1*(dE0_T_2/ (1 + ((19.5/(-1*zMid_T_2)) ^n_T_2)))/(0.00198717*298))</f>
        <v>0.8579440757105824</v>
      </c>
      <c r="K4">
        <f t="shared" si="1"/>
        <v>3.6609782755808035E-3</v>
      </c>
      <c r="M4">
        <v>-22</v>
      </c>
      <c r="N4">
        <f>Paq_T_1* EXP(-1*(dE0_T_1/ (1 + ((22/zMid_T_1) ^n_T_1)))/(0.00198717*298))</f>
        <v>1.0258314219747795</v>
      </c>
      <c r="O4">
        <f>Paq_T_2* EXP(-1*(dE0_T_2/ (1 + ((22/(-1*zMid_T_2)) ^n_T_2)))/(0.00198717*298))</f>
        <v>0.85261678164941868</v>
      </c>
    </row>
    <row r="5" spans="1:15" ht="18" x14ac:dyDescent="0.35">
      <c r="A5" s="2" t="s">
        <v>3</v>
      </c>
      <c r="B5">
        <v>0.114441674867211</v>
      </c>
      <c r="D5" s="7">
        <v>-18</v>
      </c>
      <c r="E5">
        <v>10.191424358303975</v>
      </c>
      <c r="F5">
        <v>171.11905245556184</v>
      </c>
      <c r="G5">
        <v>0.92789999999999995</v>
      </c>
      <c r="H5">
        <f>Paq_T_1* EXP(-1*(dE0_T_1/ (1 + ((18/zMid_T_1) ^n_T_1)))/(0.00198717*298))</f>
        <v>1.0258314219174731</v>
      </c>
      <c r="I5">
        <f t="shared" si="0"/>
        <v>1.8987651948969848E-3</v>
      </c>
      <c r="J5">
        <f>Paq_T_2* EXP(-1*(dE0_T_2/ (1 + ((18/(-1*zMid_T_2)) ^n_T_2)))/(0.00198717*298))</f>
        <v>0.86152394203147942</v>
      </c>
      <c r="K5">
        <f t="shared" si="1"/>
        <v>1.0390193829551706E-3</v>
      </c>
      <c r="M5">
        <v>-21</v>
      </c>
      <c r="N5">
        <f>Paq_T_1* EXP(-1*(dE0_T_1/ (1 + ((21/zMid_T_1) ^n_T_1)))/(0.00198717*298))</f>
        <v>1.0258314219743556</v>
      </c>
      <c r="O5">
        <f>Paq_T_2* EXP(-1*(dE0_T_2/ (1 + ((21/(-1*zMid_T_2)) ^n_T_2)))/(0.00198717*298))</f>
        <v>0.85465934732121596</v>
      </c>
    </row>
    <row r="6" spans="1:15" ht="18" x14ac:dyDescent="0.35">
      <c r="A6" s="2" t="s">
        <v>4</v>
      </c>
      <c r="B6">
        <v>8.6564692758307302</v>
      </c>
      <c r="D6" s="8">
        <v>-16.5</v>
      </c>
      <c r="E6">
        <v>15.609727037810346</v>
      </c>
      <c r="F6">
        <v>239.24085021505925</v>
      </c>
      <c r="G6">
        <v>1.0165999999999999</v>
      </c>
      <c r="H6">
        <f>Paq_T_1* EXP(-1*(dE0_T_1/ (1 + ((16.5/zMid_T_1) ^n_T_1)))/(0.00198717*298))</f>
        <v>1.0258314211934454</v>
      </c>
      <c r="I6">
        <f t="shared" si="0"/>
        <v>1.5412627972345823E-5</v>
      </c>
      <c r="J6">
        <f>Paq_T_2* EXP(-1*(dE0_T_2/ (1 + ((16.5/(-1*zMid_T_2)) ^n_T_2)))/(0.00198717*298))</f>
        <v>0.86543793143753833</v>
      </c>
      <c r="K6">
        <f t="shared" si="1"/>
        <v>4.8879924692160565E-3</v>
      </c>
      <c r="M6">
        <v>-20</v>
      </c>
      <c r="N6">
        <f>Paq_T_1* EXP(-1*(dE0_T_1/ (1 + ((20/zMid_T_1) ^n_T_1)))/(0.00198717*298))</f>
        <v>1.0258314219724838</v>
      </c>
      <c r="O6">
        <f>Paq_T_2* EXP(-1*(dE0_T_2/ (1 + ((20/(-1*zMid_T_2)) ^n_T_2)))/(0.00198717*298))</f>
        <v>0.85681812921043399</v>
      </c>
    </row>
    <row r="7" spans="1:15" x14ac:dyDescent="0.25">
      <c r="A7" s="2" t="s">
        <v>5</v>
      </c>
      <c r="B7">
        <v>30</v>
      </c>
      <c r="D7" s="9">
        <v>-15</v>
      </c>
      <c r="E7">
        <v>18.392812912266184</v>
      </c>
      <c r="F7">
        <v>301.1099037843893</v>
      </c>
      <c r="G7">
        <v>0.95169999999999999</v>
      </c>
      <c r="H7">
        <f>Paq_T_1* EXP(-1*(dE0_T_1/ (1 + ((15/zMid_T_1) ^n_T_1)))/(0.00198717*298))</f>
        <v>1.0258314083386715</v>
      </c>
      <c r="I7">
        <f t="shared" si="0"/>
        <v>1.0611907338977636E-3</v>
      </c>
      <c r="J7">
        <f>Paq_T_2* EXP(-1*(dE0_T_2/ (1 + ((15/(-1*zMid_T_2)) ^n_T_2)))/(0.00198717*298))</f>
        <v>0.86973164914399537</v>
      </c>
      <c r="K7">
        <f t="shared" si="1"/>
        <v>1.5299672010464416E-3</v>
      </c>
      <c r="M7">
        <v>-19</v>
      </c>
      <c r="N7">
        <f>Paq_T_1* EXP(-1*(dE0_T_1/ (1 + ((19/zMid_T_1) ^n_T_1)))/(0.00198717*298))</f>
        <v>1.0258314219635734</v>
      </c>
      <c r="O7">
        <f>Paq_T_2* EXP(-1*(dE0_T_2/ (1 + ((19/(-1*zMid_T_2)) ^n_T_2)))/(0.00198717*298))</f>
        <v>0.85910276983883094</v>
      </c>
    </row>
    <row r="8" spans="1:15" x14ac:dyDescent="0.25">
      <c r="D8" s="10">
        <v>-13.5</v>
      </c>
      <c r="E8">
        <v>19.150204325917226</v>
      </c>
      <c r="F8">
        <v>325.144691447757</v>
      </c>
      <c r="G8">
        <v>0.91769999999999996</v>
      </c>
      <c r="H8">
        <f>Paq_T_1* EXP(-1*(dE0_T_1/ (1 + ((13.5/zMid_T_1) ^n_T_1)))/(0.00198717*298))</f>
        <v>1.0258311002987801</v>
      </c>
      <c r="I8">
        <f t="shared" si="0"/>
        <v>2.3401531837337107E-3</v>
      </c>
      <c r="J8">
        <f>Paq_T_2* EXP(-1*(dE0_T_2/ (1 + ((13.5/(-1*zMid_T_2)) ^n_T_2)))/(0.00198717*298))</f>
        <v>0.87445858750020677</v>
      </c>
      <c r="K8">
        <f t="shared" si="1"/>
        <v>4.3938383940699959E-4</v>
      </c>
      <c r="M8">
        <v>-18</v>
      </c>
      <c r="N8">
        <f>Paq_T_1* EXP(-1*(dE0_T_1/ (1 + ((18/zMid_T_1) ^n_T_1)))/(0.00198717*298))</f>
        <v>1.0258314219174731</v>
      </c>
      <c r="O8">
        <f>Paq_T_2* EXP(-1*(dE0_T_2/ (1 + ((18/(-1*zMid_T_2)) ^n_T_2)))/(0.00198717*298))</f>
        <v>0.86152394203147942</v>
      </c>
    </row>
    <row r="9" spans="1:15" ht="18" x14ac:dyDescent="0.35">
      <c r="A9" s="3" t="s">
        <v>6</v>
      </c>
      <c r="B9">
        <v>0.78456494570062441</v>
      </c>
      <c r="D9" s="11">
        <v>-12</v>
      </c>
      <c r="E9">
        <v>20.710584218108231</v>
      </c>
      <c r="F9">
        <v>335.09215104301728</v>
      </c>
      <c r="G9">
        <v>0.96299999999999997</v>
      </c>
      <c r="H9">
        <f>Paq_T_1* EXP(-1*(dE0_T_1/ (1 + ((12/zMid_T_1) ^n_T_1)))/(0.00198717*298))</f>
        <v>1.0258204073723434</v>
      </c>
      <c r="I9">
        <f t="shared" si="0"/>
        <v>7.5323062783358939E-4</v>
      </c>
      <c r="J9">
        <f>Paq_T_2* EXP(-1*(dE0_T_2/ (1 + ((12/(-1*zMid_T_2)) ^n_T_2)))/(0.00198717*298))</f>
        <v>0.87968158480363678</v>
      </c>
      <c r="K9">
        <f t="shared" si="1"/>
        <v>1.544551823501817E-3</v>
      </c>
      <c r="M9">
        <v>-17</v>
      </c>
      <c r="N9">
        <f>Paq_T_1* EXP(-1*(dE0_T_1/ (1 + ((17/zMid_T_1) ^n_T_1)))/(0.00198717*298))</f>
        <v>1.0258314216557909</v>
      </c>
      <c r="O9">
        <f>Paq_T_2* EXP(-1*(dE0_T_2/ (1 + ((17/(-1*zMid_T_2)) ^n_T_2)))/(0.00198717*298))</f>
        <v>0.86409347764116606</v>
      </c>
    </row>
    <row r="10" spans="1:15" ht="18" x14ac:dyDescent="0.35">
      <c r="A10" s="3" t="s">
        <v>7</v>
      </c>
      <c r="B10">
        <v>-0.11269906117705653</v>
      </c>
      <c r="D10" s="12">
        <v>-10.5</v>
      </c>
      <c r="E10">
        <v>19.669155033824651</v>
      </c>
      <c r="F10">
        <v>329.71261028763035</v>
      </c>
      <c r="G10">
        <v>0.92949999999999999</v>
      </c>
      <c r="H10">
        <f>Paq_T_1* EXP(-1*(dE0_T_1/ (1 + ((10.5/zMid_T_1) ^n_T_1)))/(0.00198717*298))</f>
        <v>1.025228442254807</v>
      </c>
      <c r="I10">
        <f t="shared" si="0"/>
        <v>1.8123114904236076E-3</v>
      </c>
      <c r="J10">
        <f>Paq_T_2* EXP(-1*(dE0_T_2/ (1 + ((10.5/(-1*zMid_T_2)) ^n_T_2)))/(0.00198717*298))</f>
        <v>0.88547441475787636</v>
      </c>
      <c r="K10">
        <f t="shared" si="1"/>
        <v>4.4408722131152452E-4</v>
      </c>
      <c r="M10">
        <v>-16</v>
      </c>
      <c r="N10">
        <f>Paq_T_1* EXP(-1*(dE0_T_1/ (1 + ((16/zMid_T_1) ^n_T_1)))/(0.00198717*298))</f>
        <v>1.0258314200077885</v>
      </c>
      <c r="O10">
        <f>Paq_T_2* EXP(-1*(dE0_T_2/ (1 + ((16/(-1*zMid_T_2)) ^n_T_2)))/(0.00198717*298))</f>
        <v>0.8668245125656816</v>
      </c>
    </row>
    <row r="11" spans="1:15" ht="18" x14ac:dyDescent="0.35">
      <c r="A11" s="3" t="s">
        <v>8</v>
      </c>
      <c r="B11">
        <v>-17.461294112883621</v>
      </c>
      <c r="D11" s="13">
        <v>-9</v>
      </c>
      <c r="E11">
        <v>15.172812266645925</v>
      </c>
      <c r="F11">
        <v>284.46716551243782</v>
      </c>
      <c r="G11">
        <v>0.83099999999999996</v>
      </c>
      <c r="H11">
        <f>Paq_T_1* EXP(-1*(dE0_T_1/ (1 + ((9/zMid_T_1) ^n_T_1)))/(0.00198717*298))</f>
        <v>0.97984922071069447</v>
      </c>
      <c r="I11">
        <f t="shared" si="0"/>
        <v>5.1205799622124158E-3</v>
      </c>
      <c r="J11">
        <f>Paq_T_2* EXP(-1*(dE0_T_2/ (1 + ((9/(-1*zMid_T_2)) ^n_T_2)))/(0.00198717*298))</f>
        <v>0.89192330439112355</v>
      </c>
      <c r="K11">
        <f t="shared" si="1"/>
        <v>9.4411704278978676E-4</v>
      </c>
      <c r="M11">
        <v>-15</v>
      </c>
      <c r="N11">
        <f>Paq_T_1* EXP(-1*(dE0_T_1/ (1 + ((15/zMid_T_1) ^n_T_1)))/(0.00198717*298))</f>
        <v>1.0258314083386715</v>
      </c>
      <c r="O11">
        <f>Paq_T_2* EXP(-1*(dE0_T_2/ (1 + ((15/(-1*zMid_T_2)) ^n_T_2)))/(0.00198717*298))</f>
        <v>0.86973164914399537</v>
      </c>
    </row>
    <row r="12" spans="1:15" x14ac:dyDescent="0.25">
      <c r="A12" s="3" t="s">
        <v>9</v>
      </c>
      <c r="B12">
        <v>1.0951840985062824</v>
      </c>
      <c r="D12" s="14">
        <v>-7.5</v>
      </c>
      <c r="E12">
        <v>10.998796849544672</v>
      </c>
      <c r="F12">
        <v>233.0137027127592</v>
      </c>
      <c r="G12">
        <v>0.73540000000000005</v>
      </c>
      <c r="H12">
        <f>Paq_T_1* EXP(-1*(dE0_T_1/ (1 + ((7.5/zMid_T_1) ^n_T_1)))/(0.00198717*298))</f>
        <v>0.84774886216528278</v>
      </c>
      <c r="I12">
        <f t="shared" si="0"/>
        <v>3.8122709079021697E-3</v>
      </c>
      <c r="J12">
        <f>Paq_T_2* EXP(-1*(dE0_T_2/ (1 + ((7.5/(-1*zMid_T_2)) ^n_T_2)))/(0.00198717*298))</f>
        <v>0.89912783367397753</v>
      </c>
      <c r="K12">
        <f t="shared" si="1"/>
        <v>7.6209087643210726E-3</v>
      </c>
      <c r="M12">
        <v>-14</v>
      </c>
      <c r="N12">
        <f>Paq_T_1* EXP(-1*(dE0_T_1/ (1 + ((14/zMid_T_1) ^n_T_1)))/(0.00198717*298))</f>
        <v>1.0258313139332349</v>
      </c>
      <c r="O12">
        <f>Paq_T_2* EXP(-1*(dE0_T_2/ (1 + ((14/(-1*zMid_T_2)) ^n_T_2)))/(0.00198717*298))</f>
        <v>0.87283113629452913</v>
      </c>
    </row>
    <row r="13" spans="1:15" x14ac:dyDescent="0.25">
      <c r="D13" s="15">
        <v>-6</v>
      </c>
      <c r="E13">
        <v>12.046026286262601</v>
      </c>
      <c r="F13">
        <v>229.72199232624777</v>
      </c>
      <c r="G13">
        <v>0.81699999999999995</v>
      </c>
      <c r="H13">
        <f>Paq_T_1* EXP(-1*(dE0_T_1/ (1 + ((6/zMid_T_1) ^n_T_1)))/(0.00198717*298))</f>
        <v>0.84556578836996377</v>
      </c>
      <c r="I13">
        <f t="shared" si="0"/>
        <v>2.2276596957910056E-4</v>
      </c>
      <c r="J13">
        <f>Paq_T_2* EXP(-1*(dE0_T_2/ (1 + ((6/(-1*zMid_T_2)) ^n_T_2)))/(0.00198717*298))</f>
        <v>0.90719979361650516</v>
      </c>
      <c r="K13">
        <f t="shared" si="1"/>
        <v>2.0685110110442899E-3</v>
      </c>
      <c r="M13">
        <v>-13</v>
      </c>
      <c r="N13">
        <f>Paq_T_1* EXP(-1*(dE0_T_1/ (1 + ((13/zMid_T_1) ^n_T_1)))/(0.00198717*298))</f>
        <v>1.0258304239768337</v>
      </c>
      <c r="O13">
        <f>Paq_T_2* EXP(-1*(dE0_T_2/ (1 + ((13/(-1*zMid_T_2)) ^n_T_2)))/(0.00198717*298))</f>
        <v>0.87614106633748001</v>
      </c>
    </row>
    <row r="14" spans="1:15" x14ac:dyDescent="0.25">
      <c r="D14" s="16">
        <v>-4.5</v>
      </c>
      <c r="E14">
        <v>14.816720405642304</v>
      </c>
      <c r="F14">
        <v>238.06457551464311</v>
      </c>
      <c r="G14">
        <v>0.96970000000000001</v>
      </c>
      <c r="H14">
        <f>Paq_T_1* EXP(-1*(dE0_T_1/ (1 + ((4.5/zMid_T_1) ^n_T_1)))/(0.00198717*298))</f>
        <v>0.84556304989656017</v>
      </c>
      <c r="I14">
        <f t="shared" si="0"/>
        <v>3.5392265609778279E-3</v>
      </c>
      <c r="J14">
        <f>Paq_T_2* EXP(-1*(dE0_T_2/ (1 + ((4.5/(-1*zMid_T_2)) ^n_T_2)))/(0.00198717*298))</f>
        <v>0.91625614118257681</v>
      </c>
      <c r="K14">
        <f t="shared" si="1"/>
        <v>6.0616887764435837E-4</v>
      </c>
      <c r="M14">
        <v>-12</v>
      </c>
      <c r="N14">
        <f>Paq_T_1* EXP(-1*(dE0_T_1/ (1 + ((12/zMid_T_1) ^n_T_1)))/(0.00198717*298))</f>
        <v>1.0258204073723434</v>
      </c>
      <c r="O14">
        <f>Paq_T_2* EXP(-1*(dE0_T_2/ (1 + ((12/(-1*zMid_T_2)) ^n_T_2)))/(0.00198717*298))</f>
        <v>0.87968158480363678</v>
      </c>
    </row>
    <row r="15" spans="1:15" x14ac:dyDescent="0.25">
      <c r="D15" s="17">
        <v>-3</v>
      </c>
      <c r="E15">
        <v>13.630893391021457</v>
      </c>
      <c r="F15">
        <v>209.69845561618712</v>
      </c>
      <c r="G15">
        <v>1.0127999999999999</v>
      </c>
      <c r="H15">
        <f>Paq_T_1* EXP(-1*(dE0_T_1/ (1 + ((3/zMid_T_1) ^n_T_1)))/(0.00198717*298))</f>
        <v>0.84556304940742566</v>
      </c>
      <c r="I15">
        <f t="shared" si="0"/>
        <v>6.1430632874505692E-3</v>
      </c>
      <c r="J15">
        <f>Paq_T_2* EXP(-1*(dE0_T_2/ (1 + ((3/(-1*zMid_T_2)) ^n_T_2)))/(0.00198717*298))</f>
        <v>0.92639418318475153</v>
      </c>
      <c r="K15">
        <f t="shared" si="1"/>
        <v>1.4998481633641929E-3</v>
      </c>
      <c r="M15">
        <v>-11</v>
      </c>
      <c r="N15">
        <f>Paq_T_1* EXP(-1*(dE0_T_1/ (1 + ((11/zMid_T_1) ^n_T_1)))/(0.00198717*298))</f>
        <v>1.0256816976783445</v>
      </c>
      <c r="O15">
        <f>Paq_T_2* EXP(-1*(dE0_T_2/ (1 + ((11/(-1*zMid_T_2)) ^n_T_2)))/(0.00198717*298))</f>
        <v>0.88347510475320168</v>
      </c>
    </row>
    <row r="16" spans="1:15" x14ac:dyDescent="0.25">
      <c r="D16" s="18">
        <v>-1.5</v>
      </c>
      <c r="E16">
        <v>11.151337586015439</v>
      </c>
      <c r="F16">
        <v>193.12505159558162</v>
      </c>
      <c r="G16">
        <v>0.89959999999999996</v>
      </c>
      <c r="H16">
        <f>Paq_T_1* EXP(-1*(dE0_T_1/ (1 + ((1.5/zMid_T_1) ^n_T_1)))/(0.00198717*298))</f>
        <v>0.84556304940742311</v>
      </c>
      <c r="I16">
        <f t="shared" si="0"/>
        <v>7.2379564639012204E-4</v>
      </c>
      <c r="J16">
        <f>Paq_T_2* EXP(-1*(dE0_T_2/ (1 + ((1.5/(-1*zMid_T_2)) ^n_T_2)))/(0.00198717*298))</f>
        <v>0.93760073515215669</v>
      </c>
      <c r="K16">
        <f t="shared" si="1"/>
        <v>3.2286672025458926E-4</v>
      </c>
      <c r="M16">
        <v>-10</v>
      </c>
      <c r="N16">
        <f>Paq_T_1* EXP(-1*(dE0_T_1/ (1 + ((10/zMid_T_1) ^n_T_1)))/(0.00198717*298))</f>
        <v>1.0232539385443686</v>
      </c>
      <c r="O16">
        <f>Paq_T_2* EXP(-1*(dE0_T_2/ (1 + ((10/(-1*zMid_T_2)) ^n_T_2)))/(0.00198717*298))</f>
        <v>0.88754650853677908</v>
      </c>
    </row>
    <row r="17" spans="4:15" x14ac:dyDescent="0.25">
      <c r="D17" s="19">
        <v>0</v>
      </c>
      <c r="E17">
        <v>12.102529708354245</v>
      </c>
      <c r="F17">
        <v>197.31337553026106</v>
      </c>
      <c r="G17">
        <v>0.95569999999999999</v>
      </c>
      <c r="H17">
        <f>Paq_T_1* EXP(-1*(dE0_T_1/ (1 + ((0/zMid_T_1) ^n_T_1)))/(0.00198717*298))</f>
        <v>0.84556304940742311</v>
      </c>
      <c r="I17">
        <f t="shared" si="0"/>
        <v>2.8276433399707897E-3</v>
      </c>
      <c r="J17">
        <f>Paq_T_2* EXP(-1*(dE0_T_2/ (1 + ((0/(-1*zMid_T_2)) ^n_T_2)))/(0.00198717*298))</f>
        <v>0.94903207695904623</v>
      </c>
      <c r="K17">
        <f t="shared" si="1"/>
        <v>9.2458220005517444E-6</v>
      </c>
      <c r="M17">
        <v>-9</v>
      </c>
      <c r="N17">
        <f>Paq_T_1* EXP(-1*(dE0_T_1/ (1 + ((9/zMid_T_1) ^n_T_1)))/(0.00198717*298))</f>
        <v>0.97984922071069447</v>
      </c>
      <c r="O17">
        <f>Paq_T_2* EXP(-1*(dE0_T_2/ (1 + ((9/(-1*zMid_T_2)) ^n_T_2)))/(0.00198717*298))</f>
        <v>0.89192330439112355</v>
      </c>
    </row>
    <row r="18" spans="4:15" x14ac:dyDescent="0.25">
      <c r="D18" s="20">
        <v>1.5</v>
      </c>
      <c r="E18">
        <v>13.089796574020101</v>
      </c>
      <c r="F18">
        <v>211.87289009819162</v>
      </c>
      <c r="G18">
        <v>0.96260000000000001</v>
      </c>
      <c r="H18">
        <f>Paq_T_1* EXP(-1*(dE0_T_1/ (1 + ((1.5/zMid_T_1) ^n_T_1)))/(0.00198717*298))</f>
        <v>0.84556304940742311</v>
      </c>
      <c r="I18">
        <f t="shared" si="0"/>
        <v>3.1696743523178875E-3</v>
      </c>
      <c r="J18">
        <f>Paq_T_2* EXP(-1*(dE0_T_2/ (1 + ((1.5/(-1*zMid_T_2)) ^n_T_2)))/(0.00198717*298))</f>
        <v>0.93760073515215669</v>
      </c>
      <c r="K18">
        <f t="shared" si="1"/>
        <v>1.305973131612753E-4</v>
      </c>
      <c r="M18">
        <v>-8</v>
      </c>
      <c r="N18">
        <f>Paq_T_1* EXP(-1*(dE0_T_1/ (1 + ((8/zMid_T_1) ^n_T_1)))/(0.00198717*298))</f>
        <v>0.85970141564133185</v>
      </c>
      <c r="O18">
        <f>Paq_T_2* EXP(-1*(dE0_T_2/ (1 + ((8/(-1*zMid_T_2)) ^n_T_2)))/(0.00198717*298))</f>
        <v>0.89663567665457611</v>
      </c>
    </row>
    <row r="19" spans="4:15" x14ac:dyDescent="0.25">
      <c r="D19" s="21">
        <v>3</v>
      </c>
      <c r="E19">
        <v>11.123939237638636</v>
      </c>
      <c r="F19">
        <v>212.60048258233337</v>
      </c>
      <c r="G19">
        <v>0.81520000000000004</v>
      </c>
      <c r="H19">
        <f>Paq_T_1* EXP(-1*(dE0_T_1/ (1 + ((3/zMid_T_1) ^n_T_1)))/(0.00198717*298))</f>
        <v>0.84556304940742566</v>
      </c>
      <c r="I19">
        <f t="shared" si="0"/>
        <v>2.5223237518129436E-4</v>
      </c>
      <c r="J19">
        <f>Paq_T_2* EXP(-1*(dE0_T_2/ (1 + ((3/(-1*zMid_T_2)) ^n_T_2)))/(0.00198717*298))</f>
        <v>0.92639418318475153</v>
      </c>
      <c r="K19">
        <f t="shared" si="1"/>
        <v>3.0837639812384163E-3</v>
      </c>
      <c r="M19">
        <v>-7</v>
      </c>
      <c r="N19">
        <f>Paq_T_1* EXP(-1*(dE0_T_1/ (1 + ((7/zMid_T_1) ^n_T_1)))/(0.00198717*298))</f>
        <v>0.8458418710090454</v>
      </c>
      <c r="O19">
        <f>Paq_T_2* EXP(-1*(dE0_T_2/ (1 + ((7/(-1*zMid_T_2)) ^n_T_2)))/(0.00198717*298))</f>
        <v>0.9017163141333725</v>
      </c>
    </row>
    <row r="20" spans="4:15" x14ac:dyDescent="0.25">
      <c r="D20" s="22">
        <v>4.5</v>
      </c>
      <c r="E20">
        <v>10.555338627666723</v>
      </c>
      <c r="F20">
        <v>207.82615645104704</v>
      </c>
      <c r="G20">
        <v>0.7913</v>
      </c>
      <c r="H20">
        <f>Paq_T_1* EXP(-1*(dE0_T_1/ (1 + ((4.5/zMid_T_1) ^n_T_1)))/(0.00198717*298))</f>
        <v>0.84556304989656017</v>
      </c>
      <c r="I20">
        <f t="shared" si="0"/>
        <v>8.2971827927234452E-4</v>
      </c>
      <c r="J20">
        <f>Paq_T_2* EXP(-1*(dE0_T_2/ (1 + ((4.5/(-1*zMid_T_2)) ^n_T_2)))/(0.00198717*298))</f>
        <v>0.91625614118257681</v>
      </c>
      <c r="K20">
        <f t="shared" si="1"/>
        <v>4.0545989449069621E-3</v>
      </c>
      <c r="M20">
        <v>-6</v>
      </c>
      <c r="N20">
        <f>Paq_T_1* EXP(-1*(dE0_T_1/ (1 + ((6/zMid_T_1) ^n_T_1)))/(0.00198717*298))</f>
        <v>0.84556578836996377</v>
      </c>
      <c r="O20">
        <f>Paq_T_2* EXP(-1*(dE0_T_2/ (1 + ((6/(-1*zMid_T_2)) ^n_T_2)))/(0.00198717*298))</f>
        <v>0.90719979361650516</v>
      </c>
    </row>
    <row r="21" spans="4:15" x14ac:dyDescent="0.25">
      <c r="D21" s="23">
        <v>6</v>
      </c>
      <c r="E21">
        <v>11.138066966976124</v>
      </c>
      <c r="F21">
        <v>218.70380004479716</v>
      </c>
      <c r="G21">
        <v>0.79349999999999998</v>
      </c>
      <c r="H21">
        <f>Paq_T_1* EXP(-1*(dE0_T_1/ (1 + ((6/zMid_T_1) ^n_T_1)))/(0.00198717*298))</f>
        <v>0.84556578836996377</v>
      </c>
      <c r="I21">
        <f t="shared" si="0"/>
        <v>7.6178605404807827E-4</v>
      </c>
      <c r="J21">
        <f>Paq_T_2* EXP(-1*(dE0_T_2/ (1 + ((6/(-1*zMid_T_2)) ^n_T_2)))/(0.00198717*298))</f>
        <v>0.90719979361650516</v>
      </c>
      <c r="K21">
        <f t="shared" si="1"/>
        <v>3.382121691978832E-3</v>
      </c>
      <c r="M21">
        <v>-5</v>
      </c>
      <c r="N21">
        <f>Paq_T_1* EXP(-1*(dE0_T_1/ (1 + ((5/zMid_T_1) ^n_T_1)))/(0.00198717*298))</f>
        <v>0.84556306094608003</v>
      </c>
      <c r="O21">
        <f>Paq_T_2* EXP(-1*(dE0_T_2/ (1 + ((5/(-1*zMid_T_2)) ^n_T_2)))/(0.00198717*298))</f>
        <v>0.9131210684890998</v>
      </c>
    </row>
    <row r="22" spans="4:15" x14ac:dyDescent="0.25">
      <c r="D22" s="24">
        <v>7.5</v>
      </c>
      <c r="E22">
        <v>10.506593719432361</v>
      </c>
      <c r="F22">
        <v>210.91142211418727</v>
      </c>
      <c r="G22">
        <v>0.77610000000000001</v>
      </c>
      <c r="H22">
        <f>Paq_T_1* EXP(-1*(dE0_T_1/ (1 + ((7.5/zMid_T_1) ^n_T_1)))/(0.00198717*298))</f>
        <v>0.84774886216528278</v>
      </c>
      <c r="I22">
        <f t="shared" si="0"/>
        <v>1.4706866131577855E-3</v>
      </c>
      <c r="J22">
        <f>Paq_T_2* EXP(-1*(dE0_T_2/ (1 + ((7.5/(-1*zMid_T_2)) ^n_T_2)))/(0.00198717*298))</f>
        <v>0.89912783367397753</v>
      </c>
      <c r="K22">
        <f t="shared" si="1"/>
        <v>4.0836903617916158E-3</v>
      </c>
      <c r="M22">
        <v>-4</v>
      </c>
      <c r="N22">
        <f>Paq_T_1* EXP(-1*(dE0_T_1/ (1 + ((4/zMid_T_1) ^n_T_1)))/(0.00198717*298))</f>
        <v>0.84556304942170735</v>
      </c>
      <c r="O22">
        <f>Paq_T_2* EXP(-1*(dE0_T_2/ (1 + ((4/(-1*zMid_T_2)) ^n_T_2)))/(0.00198717*298))</f>
        <v>0.91951208754027602</v>
      </c>
    </row>
    <row r="23" spans="4:15" x14ac:dyDescent="0.25">
      <c r="D23" s="25">
        <v>9</v>
      </c>
      <c r="E23">
        <v>13.52227295249561</v>
      </c>
      <c r="F23">
        <v>213.79921748310556</v>
      </c>
      <c r="G23">
        <v>0.98540000000000005</v>
      </c>
      <c r="H23">
        <f>Paq_T_1* EXP(-1*(dE0_T_1/ (1 + ((9/zMid_T_1) ^n_T_1)))/(0.00198717*298))</f>
        <v>0.97984922071069447</v>
      </c>
      <c r="I23">
        <f t="shared" si="0"/>
        <v>6.0187121960270308E-6</v>
      </c>
      <c r="J23">
        <f>Paq_T_2* EXP(-1*(dE0_T_2/ (1 + ((9/(-1*zMid_T_2)) ^n_T_2)))/(0.00198717*298))</f>
        <v>0.89192330439112355</v>
      </c>
      <c r="K23">
        <f t="shared" si="1"/>
        <v>1.8735952516475518E-3</v>
      </c>
      <c r="M23">
        <v>-3</v>
      </c>
      <c r="N23">
        <f>Paq_T_1* EXP(-1*(dE0_T_1/ (1 + ((3/zMid_T_1) ^n_T_1)))/(0.00198717*298))</f>
        <v>0.84556304940742566</v>
      </c>
      <c r="O23">
        <f>Paq_T_2* EXP(-1*(dE0_T_2/ (1 + ((3/(-1*zMid_T_2)) ^n_T_2)))/(0.00198717*298))</f>
        <v>0.92639418318475153</v>
      </c>
    </row>
    <row r="24" spans="4:15" x14ac:dyDescent="0.25">
      <c r="D24" s="26">
        <v>10.5</v>
      </c>
      <c r="E24">
        <v>15.209050142633059</v>
      </c>
      <c r="F24">
        <v>220.63045274559784</v>
      </c>
      <c r="G24">
        <v>1.0740000000000001</v>
      </c>
      <c r="H24">
        <f>Paq_T_1* EXP(-1*(dE0_T_1/ (1 + ((10.5/zMid_T_1) ^n_T_1)))/(0.00198717*298))</f>
        <v>1.025228442254807</v>
      </c>
      <c r="I24">
        <f t="shared" si="0"/>
        <v>4.0737913517754475E-4</v>
      </c>
      <c r="J24">
        <f>Paq_T_2* EXP(-1*(dE0_T_2/ (1 + ((10.5/(-1*zMid_T_2)) ^n_T_2)))/(0.00198717*298))</f>
        <v>0.88547441475787636</v>
      </c>
      <c r="K24">
        <f t="shared" si="1"/>
        <v>7.0271779005505013E-3</v>
      </c>
      <c r="M24">
        <v>-2</v>
      </c>
      <c r="N24">
        <f>Paq_T_1* EXP(-1*(dE0_T_1/ (1 + ((2/zMid_T_1) ^n_T_1)))/(0.00198717*298))</f>
        <v>0.84556304940742311</v>
      </c>
      <c r="O24">
        <f>Paq_T_2* EXP(-1*(dE0_T_2/ (1 + ((2/(-1*zMid_T_2)) ^n_T_2)))/(0.00198717*298))</f>
        <v>0.93375937135727294</v>
      </c>
    </row>
    <row r="25" spans="4:15" x14ac:dyDescent="0.25">
      <c r="D25" s="27">
        <v>12</v>
      </c>
      <c r="E25">
        <v>15.335105765178447</v>
      </c>
      <c r="F25">
        <v>225.0124392487848</v>
      </c>
      <c r="G25">
        <v>1.0619000000000001</v>
      </c>
      <c r="H25">
        <f>Paq_T_1* EXP(-1*(dE0_T_1/ (1 + ((12/zMid_T_1) ^n_T_1)))/(0.00198717*298))</f>
        <v>1.0258204073723434</v>
      </c>
      <c r="I25">
        <f t="shared" si="0"/>
        <v>2.25368738674378E-4</v>
      </c>
      <c r="J25">
        <f>Paq_T_2* EXP(-1*(dE0_T_2/ (1 + ((12/(-1*zMid_T_2)) ^n_T_2)))/(0.00198717*298))</f>
        <v>0.87968158480363678</v>
      </c>
      <c r="K25">
        <f t="shared" si="1"/>
        <v>6.6843902230737003E-3</v>
      </c>
      <c r="M25">
        <v>-1</v>
      </c>
      <c r="N25">
        <f>Paq_T_1* EXP(-1*(dE0_T_1/ (1 + ((1/zMid_T_1) ^n_T_1)))/(0.00198717*298))</f>
        <v>0.84556304940742311</v>
      </c>
      <c r="O25">
        <f>Paq_T_2* EXP(-1*(dE0_T_2/ (1 + ((1/(-1*zMid_T_2)) ^n_T_2)))/(0.00198717*298))</f>
        <v>0.94151275880470664</v>
      </c>
    </row>
    <row r="26" spans="4:15" x14ac:dyDescent="0.25">
      <c r="D26" s="28">
        <v>13.5</v>
      </c>
      <c r="E26">
        <v>13.952815342718214</v>
      </c>
      <c r="F26">
        <v>218.45557134306293</v>
      </c>
      <c r="G26">
        <v>0.99509999999999998</v>
      </c>
      <c r="H26">
        <f>Paq_T_1* EXP(-1*(dE0_T_1/ (1 + ((13.5/zMid_T_1) ^n_T_1)))/(0.00198717*298))</f>
        <v>1.0258311002987801</v>
      </c>
      <c r="I26">
        <f t="shared" si="0"/>
        <v>1.7448125460903886E-4</v>
      </c>
      <c r="J26">
        <f>Paq_T_2* EXP(-1*(dE0_T_2/ (1 + ((13.5/(-1*zMid_T_2)) ^n_T_2)))/(0.00198717*298))</f>
        <v>0.87445858750020677</v>
      </c>
      <c r="K26">
        <f t="shared" si="1"/>
        <v>3.1502939214474823E-3</v>
      </c>
      <c r="M26">
        <v>0</v>
      </c>
      <c r="N26">
        <f>Paq_T_1* EXP(-1*(dE0_T_1/ (1 + ((0/zMid_T_1) ^n_T_1)))/(0.00198717*298))</f>
        <v>0.84556304940742311</v>
      </c>
      <c r="O26">
        <f>Paq_T_2* EXP(-1*(dE0_T_2/ (1 + ((0/(-1*zMid_T_2)) ^n_T_2)))/(0.00198717*298))</f>
        <v>0.94903207695904623</v>
      </c>
    </row>
    <row r="27" spans="4:15" x14ac:dyDescent="0.25">
      <c r="D27" s="29">
        <v>15</v>
      </c>
      <c r="E27">
        <v>15.18140649106679</v>
      </c>
      <c r="F27">
        <v>224.03276726794545</v>
      </c>
      <c r="G27">
        <v>1.0558000000000001</v>
      </c>
      <c r="H27">
        <f>Paq_T_1* EXP(-1*(dE0_T_1/ (1 + ((15/zMid_T_1) ^n_T_1)))/(0.00198717*298))</f>
        <v>1.0258314083386715</v>
      </c>
      <c r="I27">
        <f t="shared" si="0"/>
        <v>1.5639167568572162E-4</v>
      </c>
      <c r="J27">
        <f>Paq_T_2* EXP(-1*(dE0_T_2/ (1 + ((15/(-1*zMid_T_2)) ^n_T_2)))/(0.00198717*298))</f>
        <v>0.86973164914399537</v>
      </c>
      <c r="K27">
        <f t="shared" si="1"/>
        <v>7.0890309981217333E-3</v>
      </c>
      <c r="M27">
        <v>1</v>
      </c>
      <c r="N27">
        <f>Paq_T_1* EXP(-1*(dE0_T_1/ (1 + ((1/zMid_T_1) ^n_T_1)))/(0.00198717*298))</f>
        <v>0.84556304940742311</v>
      </c>
      <c r="O27">
        <f>Paq_T_2* EXP(-1*(dE0_T_2/ (1 + ((1/(-1*zMid_T_2)) ^n_T_2)))/(0.00198717*298))</f>
        <v>0.94151275880470664</v>
      </c>
    </row>
    <row r="28" spans="4:15" x14ac:dyDescent="0.25">
      <c r="D28" s="30">
        <v>16.5</v>
      </c>
      <c r="E28">
        <v>17.764674924910267</v>
      </c>
      <c r="F28">
        <v>233.75708221892813</v>
      </c>
      <c r="G28">
        <v>1.1840999999999999</v>
      </c>
      <c r="H28">
        <f>Paq_T_1* EXP(-1*(dE0_T_1/ (1 + ((16.5/zMid_T_1) ^n_T_1)))/(0.00198717*298))</f>
        <v>1.0258314211934454</v>
      </c>
      <c r="I28">
        <f t="shared" si="0"/>
        <v>3.8828331687895635E-3</v>
      </c>
      <c r="J28">
        <f>Paq_T_2* EXP(-1*(dE0_T_2/ (1 + ((16.5/(-1*zMid_T_2)) ^n_T_2)))/(0.00198717*298))</f>
        <v>0.86543793143753833</v>
      </c>
      <c r="K28">
        <f t="shared" si="1"/>
        <v>1.8537491019672531E-2</v>
      </c>
      <c r="M28">
        <v>2</v>
      </c>
      <c r="N28">
        <f>Paq_T_1* EXP(-1*(dE0_T_1/ (1 + ((2/zMid_T_1) ^n_T_1)))/(0.00198717*298))</f>
        <v>0.84556304940742311</v>
      </c>
      <c r="O28">
        <f>Paq_T_2* EXP(-1*(dE0_T_2/ (1 + ((2/(-1*zMid_T_2)) ^n_T_2)))/(0.00198717*298))</f>
        <v>0.93375937135727294</v>
      </c>
    </row>
    <row r="29" spans="4:15" x14ac:dyDescent="0.25">
      <c r="D29" s="31">
        <v>18</v>
      </c>
      <c r="E29">
        <v>16.148484636322749</v>
      </c>
      <c r="F29">
        <v>221.14244125881021</v>
      </c>
      <c r="G29">
        <v>1.1376999999999999</v>
      </c>
      <c r="H29">
        <f>Paq_T_1* EXP(-1*(dE0_T_1/ (1 + ((18/zMid_T_1) ^n_T_1)))/(0.00198717*298))</f>
        <v>1.0258314219174731</v>
      </c>
      <c r="I29">
        <f t="shared" si="0"/>
        <v>2.020660764508588E-3</v>
      </c>
      <c r="J29">
        <f>Paq_T_2* EXP(-1*(dE0_T_2/ (1 + ((18/(-1*zMid_T_2)) ^n_T_2)))/(0.00198717*298))</f>
        <v>0.86152394203147942</v>
      </c>
      <c r="K29">
        <f t="shared" si="1"/>
        <v>1.4583075886545638E-2</v>
      </c>
      <c r="M29">
        <v>3</v>
      </c>
      <c r="N29">
        <f>Paq_T_1* EXP(-1*(dE0_T_1/ (1 + ((3/zMid_T_1) ^n_T_1)))/(0.00198717*298))</f>
        <v>0.84556304940742566</v>
      </c>
      <c r="O29">
        <f>Paq_T_2* EXP(-1*(dE0_T_2/ (1 + ((3/(-1*zMid_T_2)) ^n_T_2)))/(0.00198717*298))</f>
        <v>0.92639418318475153</v>
      </c>
    </row>
    <row r="30" spans="4:15" x14ac:dyDescent="0.25">
      <c r="D30" s="32">
        <v>19.5</v>
      </c>
      <c r="E30">
        <v>12.476450675687492</v>
      </c>
      <c r="F30">
        <v>203.08284087537984</v>
      </c>
      <c r="G30">
        <v>0.95720000000000005</v>
      </c>
      <c r="H30">
        <f>Paq_T_1* EXP(-1*(dE0_T_1/ (1 + ((19.5/zMid_T_1) ^n_T_1)))/(0.00198717*298))</f>
        <v>1.0258314219697142</v>
      </c>
      <c r="I30">
        <f t="shared" si="0"/>
        <v>9.0440383908366347E-4</v>
      </c>
      <c r="J30">
        <f>Paq_T_2* EXP(-1*(dE0_T_2/ (1 + ((19.5/(-1*zMid_T_2)) ^n_T_2)))/(0.00198717*298))</f>
        <v>0.8579440757105824</v>
      </c>
      <c r="K30">
        <f t="shared" si="1"/>
        <v>2.2604043846568625E-3</v>
      </c>
      <c r="M30">
        <v>4</v>
      </c>
      <c r="N30">
        <f>Paq_T_1* EXP(-1*(dE0_T_1/ (1 + ((4/zMid_T_1) ^n_T_1)))/(0.00198717*298))</f>
        <v>0.84556304942170735</v>
      </c>
      <c r="O30">
        <f>Paq_T_2* EXP(-1*(dE0_T_2/ (1 + ((4/(-1*zMid_T_2)) ^n_T_2)))/(0.00198717*298))</f>
        <v>0.91951208754027602</v>
      </c>
    </row>
    <row r="31" spans="4:15" x14ac:dyDescent="0.25">
      <c r="D31" s="33">
        <v>21</v>
      </c>
      <c r="E31">
        <v>10.847056901356801</v>
      </c>
      <c r="F31">
        <v>202.23586360890673</v>
      </c>
      <c r="G31">
        <v>0.8357</v>
      </c>
      <c r="H31">
        <f>Paq_T_1* EXP(-1*(dE0_T_1/ (1 + ((21/zMid_T_1) ^n_T_1)))/(0.00198717*298))</f>
        <v>1.0258314219743556</v>
      </c>
      <c r="I31">
        <f t="shared" si="0"/>
        <v>7.9255566589630233E-3</v>
      </c>
      <c r="J31">
        <f>Paq_T_2* EXP(-1*(dE0_T_2/ (1 + ((21/(-1*zMid_T_2)) ^n_T_2)))/(0.00198717*298))</f>
        <v>0.85465934732121596</v>
      </c>
      <c r="K31">
        <f t="shared" si="1"/>
        <v>9.4919124896549053E-5</v>
      </c>
      <c r="M31">
        <v>5</v>
      </c>
      <c r="N31">
        <f>Paq_T_1* EXP(-1*(dE0_T_1/ (1 + ((5/zMid_T_1) ^n_T_1)))/(0.00198717*298))</f>
        <v>0.84556306094608003</v>
      </c>
      <c r="O31">
        <f>Paq_T_2* EXP(-1*(dE0_T_2/ (1 + ((5/(-1*zMid_T_2)) ^n_T_2)))/(0.00198717*298))</f>
        <v>0.9131210684890998</v>
      </c>
    </row>
    <row r="32" spans="4:15" x14ac:dyDescent="0.25">
      <c r="D32" s="34">
        <v>22.5</v>
      </c>
      <c r="E32">
        <v>11.563765333266018</v>
      </c>
      <c r="F32">
        <v>185.59265872251723</v>
      </c>
      <c r="G32">
        <v>0.9708</v>
      </c>
      <c r="H32">
        <f>Paq_T_1* EXP(-1*(dE0_T_1/ (1 + ((22.5/zMid_T_1) ^n_T_1)))/(0.00198717*298))</f>
        <v>1.0258314219748479</v>
      </c>
      <c r="I32">
        <f t="shared" si="0"/>
        <v>5.7342193287147512E-4</v>
      </c>
      <c r="J32">
        <f>Paq_T_2* EXP(-1*(dE0_T_2/ (1 + ((22.5/(-1*zMid_T_2)) ^n_T_2)))/(0.00198717*298))</f>
        <v>0.85163632003418888</v>
      </c>
      <c r="K32">
        <f t="shared" si="1"/>
        <v>3.23483307783605E-3</v>
      </c>
      <c r="M32">
        <v>6</v>
      </c>
      <c r="N32">
        <f>Paq_T_1* EXP(-1*(dE0_T_1/ (1 + ((6/zMid_T_1) ^n_T_1)))/(0.00198717*298))</f>
        <v>0.84556578836996377</v>
      </c>
      <c r="O32">
        <f>Paq_T_2* EXP(-1*(dE0_T_2/ (1 + ((6/(-1*zMid_T_2)) ^n_T_2)))/(0.00198717*298))</f>
        <v>0.90719979361650516</v>
      </c>
    </row>
    <row r="33" spans="7:15" x14ac:dyDescent="0.25">
      <c r="M33">
        <v>7</v>
      </c>
      <c r="N33">
        <f>Paq_T_1* EXP(-1*(dE0_T_1/ (1 + ((7/zMid_T_1) ^n_T_1)))/(0.00198717*298))</f>
        <v>0.8458418710090454</v>
      </c>
      <c r="O33">
        <f>Paq_T_2* EXP(-1*(dE0_T_2/ (1 + ((7/(-1*zMid_T_2)) ^n_T_2)))/(0.00198717*298))</f>
        <v>0.9017163141333725</v>
      </c>
    </row>
    <row r="34" spans="7:15" x14ac:dyDescent="0.25">
      <c r="G34" t="s">
        <v>18</v>
      </c>
      <c r="H34" s="1" t="s">
        <v>20</v>
      </c>
      <c r="I34">
        <f>SQRT(AVERAGE(I$17:I$32))</f>
        <v>3.9990824646494859E-2</v>
      </c>
      <c r="M34">
        <v>8</v>
      </c>
      <c r="N34">
        <f>Paq_T_1* EXP(-1*(dE0_T_1/ (1 + ((8/zMid_T_1) ^n_T_1)))/(0.00198717*298))</f>
        <v>0.85970141564133185</v>
      </c>
      <c r="O34">
        <f>Paq_T_2* EXP(-1*(dE0_T_2/ (1 + ((8/(-1*zMid_T_2)) ^n_T_2)))/(0.00198717*298))</f>
        <v>0.89663567665457611</v>
      </c>
    </row>
    <row r="35" spans="7:15" x14ac:dyDescent="0.25">
      <c r="G35" t="s">
        <v>19</v>
      </c>
      <c r="J35" s="1" t="s">
        <v>20</v>
      </c>
      <c r="K35">
        <f>SQRT(AVERAGE(K$2:K$17))</f>
        <v>5.6025796281040867E-2</v>
      </c>
      <c r="M35">
        <v>9</v>
      </c>
      <c r="N35">
        <f>Paq_T_1* EXP(-1*(dE0_T_1/ (1 + ((9/zMid_T_1) ^n_T_1)))/(0.00198717*298))</f>
        <v>0.97984922071069447</v>
      </c>
      <c r="O35">
        <f>Paq_T_2* EXP(-1*(dE0_T_2/ (1 + ((9/(-1*zMid_T_2)) ^n_T_2)))/(0.00198717*298))</f>
        <v>0.89192330439112355</v>
      </c>
    </row>
    <row r="36" spans="7:15" x14ac:dyDescent="0.25">
      <c r="M36">
        <v>10</v>
      </c>
      <c r="N36">
        <f>Paq_T_1* EXP(-1*(dE0_T_1/ (1 + ((10/zMid_T_1) ^n_T_1)))/(0.00198717*298))</f>
        <v>1.0232539385443686</v>
      </c>
      <c r="O36">
        <f>Paq_T_2* EXP(-1*(dE0_T_2/ (1 + ((10/(-1*zMid_T_2)) ^n_T_2)))/(0.00198717*298))</f>
        <v>0.88754650853677908</v>
      </c>
    </row>
    <row r="37" spans="7:15" x14ac:dyDescent="0.25">
      <c r="M37">
        <v>11</v>
      </c>
      <c r="N37">
        <f>Paq_T_1* EXP(-1*(dE0_T_1/ (1 + ((11/zMid_T_1) ^n_T_1)))/(0.00198717*298))</f>
        <v>1.0256816976783445</v>
      </c>
      <c r="O37">
        <f>Paq_T_2* EXP(-1*(dE0_T_2/ (1 + ((11/(-1*zMid_T_2)) ^n_T_2)))/(0.00198717*298))</f>
        <v>0.88347510475320168</v>
      </c>
    </row>
    <row r="38" spans="7:15" x14ac:dyDescent="0.25">
      <c r="M38">
        <v>12</v>
      </c>
      <c r="N38">
        <f>Paq_T_1* EXP(-1*(dE0_T_1/ (1 + ((12/zMid_T_1) ^n_T_1)))/(0.00198717*298))</f>
        <v>1.0258204073723434</v>
      </c>
      <c r="O38">
        <f>Paq_T_2* EXP(-1*(dE0_T_2/ (1 + ((12/(-1*zMid_T_2)) ^n_T_2)))/(0.00198717*298))</f>
        <v>0.87968158480363678</v>
      </c>
    </row>
    <row r="39" spans="7:15" x14ac:dyDescent="0.25">
      <c r="M39">
        <v>13</v>
      </c>
      <c r="N39">
        <f>Paq_T_1* EXP(-1*(dE0_T_1/ (1 + ((13/zMid_T_1) ^n_T_1)))/(0.00198717*298))</f>
        <v>1.0258304239768337</v>
      </c>
      <c r="O39">
        <f>Paq_T_2* EXP(-1*(dE0_T_2/ (1 + ((13/(-1*zMid_T_2)) ^n_T_2)))/(0.00198717*298))</f>
        <v>0.87614106633748001</v>
      </c>
    </row>
    <row r="40" spans="7:15" x14ac:dyDescent="0.25">
      <c r="M40">
        <v>14</v>
      </c>
      <c r="N40">
        <f>Paq_T_1* EXP(-1*(dE0_T_1/ (1 + ((14/zMid_T_1) ^n_T_1)))/(0.00198717*298))</f>
        <v>1.0258313139332349</v>
      </c>
      <c r="O40">
        <f>Paq_T_2* EXP(-1*(dE0_T_2/ (1 + ((14/(-1*zMid_T_2)) ^n_T_2)))/(0.00198717*298))</f>
        <v>0.87283113629452913</v>
      </c>
    </row>
    <row r="41" spans="7:15" x14ac:dyDescent="0.25">
      <c r="M41">
        <v>15</v>
      </c>
      <c r="N41">
        <f>Paq_T_1* EXP(-1*(dE0_T_1/ (1 + ((15/zMid_T_1) ^n_T_1)))/(0.00198717*298))</f>
        <v>1.0258314083386715</v>
      </c>
      <c r="O41">
        <f>Paq_T_2* EXP(-1*(dE0_T_2/ (1 + ((15/(-1*zMid_T_2)) ^n_T_2)))/(0.00198717*298))</f>
        <v>0.86973164914399537</v>
      </c>
    </row>
    <row r="42" spans="7:15" x14ac:dyDescent="0.25">
      <c r="M42">
        <v>16</v>
      </c>
      <c r="N42">
        <f>Paq_T_1* EXP(-1*(dE0_T_1/ (1 + ((16/zMid_T_1) ^n_T_1)))/(0.00198717*298))</f>
        <v>1.0258314200077885</v>
      </c>
      <c r="O42">
        <f>Paq_T_2* EXP(-1*(dE0_T_2/ (1 + ((16/(-1*zMid_T_2)) ^n_T_2)))/(0.00198717*298))</f>
        <v>0.8668245125656816</v>
      </c>
    </row>
    <row r="43" spans="7:15" x14ac:dyDescent="0.25">
      <c r="M43">
        <v>17</v>
      </c>
      <c r="N43">
        <f>Paq_T_1* EXP(-1*(dE0_T_1/ (1 + ((17/zMid_T_1) ^n_T_1)))/(0.00198717*298))</f>
        <v>1.0258314216557909</v>
      </c>
      <c r="O43">
        <f>Paq_T_2* EXP(-1*(dE0_T_2/ (1 + ((17/(-1*zMid_T_2)) ^n_T_2)))/(0.00198717*298))</f>
        <v>0.86409347764116606</v>
      </c>
    </row>
    <row r="44" spans="7:15" x14ac:dyDescent="0.25">
      <c r="M44">
        <v>18</v>
      </c>
      <c r="N44">
        <f>Paq_T_1* EXP(-1*(dE0_T_1/ (1 + ((18/zMid_T_1) ^n_T_1)))/(0.00198717*298))</f>
        <v>1.0258314219174731</v>
      </c>
      <c r="O44">
        <f>Paq_T_2* EXP(-1*(dE0_T_2/ (1 + ((18/(-1*zMid_T_2)) ^n_T_2)))/(0.00198717*298))</f>
        <v>0.86152394203147942</v>
      </c>
    </row>
    <row r="45" spans="7:15" x14ac:dyDescent="0.25">
      <c r="M45">
        <v>19</v>
      </c>
      <c r="N45">
        <f>Paq_T_1* EXP(-1*(dE0_T_1/ (1 + ((19/zMid_T_1) ^n_T_1)))/(0.00198717*298))</f>
        <v>1.0258314219635734</v>
      </c>
      <c r="O45">
        <f>Paq_T_2* EXP(-1*(dE0_T_2/ (1 + ((19/(-1*zMid_T_2)) ^n_T_2)))/(0.00198717*298))</f>
        <v>0.85910276983883094</v>
      </c>
    </row>
    <row r="46" spans="7:15" x14ac:dyDescent="0.25">
      <c r="M46">
        <v>20</v>
      </c>
      <c r="N46">
        <f>Paq_T_1* EXP(-1*(dE0_T_1/ (1 + ((20/zMid_T_1) ^n_T_1)))/(0.00198717*298))</f>
        <v>1.0258314219724838</v>
      </c>
      <c r="O46">
        <f>Paq_T_2* EXP(-1*(dE0_T_2/ (1 + ((20/(-1*zMid_T_2)) ^n_T_2)))/(0.00198717*298))</f>
        <v>0.85681812921043399</v>
      </c>
    </row>
    <row r="47" spans="7:15" x14ac:dyDescent="0.25">
      <c r="M47">
        <v>21</v>
      </c>
      <c r="N47">
        <f>Paq_T_1* EXP(-1*(dE0_T_1/ (1 + ((21/zMid_T_1) ^n_T_1)))/(0.00198717*298))</f>
        <v>1.0258314219743556</v>
      </c>
      <c r="O47">
        <f>Paq_T_2* EXP(-1*(dE0_T_2/ (1 + ((21/(-1*zMid_T_2)) ^n_T_2)))/(0.00198717*298))</f>
        <v>0.85465934732121596</v>
      </c>
    </row>
    <row r="48" spans="7:15" x14ac:dyDescent="0.25">
      <c r="M48">
        <v>22</v>
      </c>
      <c r="N48">
        <f>Paq_T_1* EXP(-1*(dE0_T_1/ (1 + ((22/zMid_T_1) ^n_T_1)))/(0.00198717*298))</f>
        <v>1.0258314219747795</v>
      </c>
      <c r="O48">
        <f>Paq_T_2* EXP(-1*(dE0_T_2/ (1 + ((22/(-1*zMid_T_2)) ^n_T_2)))/(0.00198717*298))</f>
        <v>0.85261678164941868</v>
      </c>
    </row>
    <row r="49" spans="13:15" x14ac:dyDescent="0.25">
      <c r="M49">
        <v>23</v>
      </c>
      <c r="N49">
        <f>Paq_T_1* EXP(-1*(dE0_T_1/ (1 + ((23/zMid_T_1) ^n_T_1)))/(0.00198717*298))</f>
        <v>1.0258314219748821</v>
      </c>
      <c r="O49">
        <f>Paq_T_2* EXP(-1*(dE0_T_2/ (1 + ((23/(-1*zMid_T_2)) ^n_T_2)))/(0.00198717*298))</f>
        <v>0.85068170613616378</v>
      </c>
    </row>
    <row r="50" spans="13:15" x14ac:dyDescent="0.25">
      <c r="M50">
        <v>24</v>
      </c>
      <c r="N50">
        <f>Paq_T_1* EXP(-1*(dE0_T_1/ (1 + ((24/zMid_T_1) ^n_T_1)))/(0.00198717*298))</f>
        <v>1.0258314219749087</v>
      </c>
      <c r="O50">
        <f>Paq_T_2* EXP(-1*(dE0_T_2/ (1 + ((24/(-1*zMid_T_2)) ^n_T_2)))/(0.00198717*298))</f>
        <v>0.84884621072314947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O50"/>
  <sheetViews>
    <sheetView topLeftCell="A43" workbookViewId="0">
      <selection activeCell="B5" sqref="B5"/>
    </sheetView>
  </sheetViews>
  <sheetFormatPr defaultRowHeight="15" x14ac:dyDescent="0.25"/>
  <cols>
    <col min="1" max="1" width="6" bestFit="1" customWidth="1"/>
    <col min="2" max="2" width="12.7109375" bestFit="1" customWidth="1"/>
    <col min="4" max="4" width="10.42578125" bestFit="1" customWidth="1"/>
    <col min="5" max="6" width="12" bestFit="1" customWidth="1"/>
    <col min="7" max="7" width="16.140625" bestFit="1" customWidth="1"/>
    <col min="8" max="11" width="12" bestFit="1" customWidth="1"/>
    <col min="13" max="13" width="3.7109375" bestFit="1" customWidth="1"/>
    <col min="14" max="15" width="12" bestFit="1" customWidth="1"/>
  </cols>
  <sheetData>
    <row r="1" spans="1:15" ht="18" x14ac:dyDescent="0.35">
      <c r="A1" s="1" t="s">
        <v>0</v>
      </c>
      <c r="B1">
        <v>4425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M1" s="1" t="s">
        <v>21</v>
      </c>
      <c r="N1" s="1" t="s">
        <v>22</v>
      </c>
      <c r="O1" s="1" t="s">
        <v>23</v>
      </c>
    </row>
    <row r="2" spans="1:15" ht="18" x14ac:dyDescent="0.35">
      <c r="A2" s="1" t="s">
        <v>1</v>
      </c>
      <c r="B2">
        <v>215.23372410896854</v>
      </c>
      <c r="D2" s="4">
        <v>-22.5</v>
      </c>
      <c r="E2">
        <v>0.77511944919208386</v>
      </c>
      <c r="F2">
        <v>37.146305786227806</v>
      </c>
      <c r="G2">
        <v>0.42899999999999999</v>
      </c>
      <c r="H2">
        <f>Paq_F_1* EXP(-1*(dE0_F_1*EXP((-1 * (22.5-zMid_F_1) ^ 2) / (2 * (n_F_1^ 2))))/(0.00198717*298))</f>
        <v>0.90007948902243184</v>
      </c>
      <c r="I2">
        <f t="shared" ref="I2:I32" si="0">IF(ISERROR((LOG(H2)-LOG(G2))^2),0,(LOG(H2)-LOG(G2))^2)</f>
        <v>0.10357041210169043</v>
      </c>
      <c r="J2">
        <f>Paq_F_2* EXP(-1*(dE0_F_2*EXP((-1 * (22.5-(-1*zMid_F_2)) ^ 2) / (2 * (n_F_2^ 2))))/(0.00198717*298))</f>
        <v>1.0574427900813228</v>
      </c>
      <c r="K2">
        <f t="shared" ref="K2:K32" si="1">IF(ISERROR((LOG(J2)-LOG(G2))^2),0,(LOG(J2)-LOG(G2))^2)</f>
        <v>0.15350691734247865</v>
      </c>
      <c r="M2">
        <v>-24</v>
      </c>
      <c r="N2">
        <f>Paq_F_1* EXP(-1*(dE0_F_1*EXP((-1 * (24-zMid_F_1) ^ 2) / (2 * (n_F_1^ 2))))/(0.00198717*298))</f>
        <v>0.90000717517697737</v>
      </c>
      <c r="O2">
        <f>Paq_F_2* EXP(-1*(dE0_F_2*EXP((-1 * (24-(-1*zMid_F_2)) ^ 2) / (2 * (n_F_2^ 2))))/(0.00198717*298))</f>
        <v>1.0288464097558325</v>
      </c>
    </row>
    <row r="3" spans="1:15" x14ac:dyDescent="0.25">
      <c r="D3" s="5">
        <v>-21</v>
      </c>
      <c r="E3">
        <v>1.422759633862285</v>
      </c>
      <c r="F3">
        <v>53.383067205069459</v>
      </c>
      <c r="G3">
        <v>0.54790000000000005</v>
      </c>
      <c r="H3">
        <f>Paq_F_1* EXP(-1*(dE0_F_1*EXP((-1 * (21-zMid_F_1) ^ 2) / (2 * (n_F_1^ 2))))/(0.00198717*298))</f>
        <v>0.90065616132912496</v>
      </c>
      <c r="I3">
        <f t="shared" si="0"/>
        <v>4.6594556971521268E-2</v>
      </c>
      <c r="J3">
        <f>Paq_F_2* EXP(-1*(dE0_F_2*EXP((-1 * (21-(-1*zMid_F_2)) ^ 2) / (2 * (n_F_2^ 2))))/(0.00198717*298))</f>
        <v>1.1054545248820409</v>
      </c>
      <c r="K3">
        <f t="shared" si="1"/>
        <v>9.292717030372484E-2</v>
      </c>
      <c r="M3">
        <v>-23</v>
      </c>
      <c r="N3">
        <f>Paq_F_1* EXP(-1*(dE0_F_1*EXP((-1 * (23-zMid_F_1) ^ 2) / (2 * (n_F_1^ 2))))/(0.00198717*298))</f>
        <v>0.90003684298453701</v>
      </c>
      <c r="O3">
        <f>Paq_F_2* EXP(-1*(dE0_F_2*EXP((-1 * (23-(-1*zMid_F_2)) ^ 2) / (2 * (n_F_2^ 2))))/(0.00198717*298))</f>
        <v>1.0460782666348765</v>
      </c>
    </row>
    <row r="4" spans="1:15" ht="18" x14ac:dyDescent="0.35">
      <c r="A4" s="2" t="s">
        <v>2</v>
      </c>
      <c r="B4">
        <v>0.9</v>
      </c>
      <c r="D4" s="6">
        <v>-19.5</v>
      </c>
      <c r="E4">
        <v>3.6462303262861866</v>
      </c>
      <c r="F4">
        <v>104.67349192897072</v>
      </c>
      <c r="G4">
        <v>0.71619999999999995</v>
      </c>
      <c r="H4">
        <f>Paq_F_1* EXP(-1*(dE0_F_1*EXP((-1 * (19.5-zMid_F_1) ^ 2) / (2 * (n_F_1^ 2))))/(0.00198717*298))</f>
        <v>0.90404107803356215</v>
      </c>
      <c r="I4">
        <f t="shared" si="0"/>
        <v>1.0232100929561182E-2</v>
      </c>
      <c r="J4">
        <f>Paq_F_2* EXP(-1*(dE0_F_2*EXP((-1 * (19.5-(-1*zMid_F_2)) ^ 2) / (2 * (n_F_2^ 2))))/(0.00198717*298))</f>
        <v>1.1787690916534934</v>
      </c>
      <c r="K4">
        <f t="shared" si="1"/>
        <v>4.6826546337460952E-2</v>
      </c>
      <c r="M4">
        <v>-22</v>
      </c>
      <c r="N4">
        <f>Paq_F_1* EXP(-1*(dE0_F_1*EXP((-1 * (22-zMid_F_1) ^ 2) / (2 * (n_F_1^ 2))))/(0.00198717*298))</f>
        <v>0.90016598153813743</v>
      </c>
      <c r="O4">
        <f>Paq_F_2* EXP(-1*(dE0_F_2*EXP((-1 * (22-(-1*zMid_F_2)) ^ 2) / (2 * (n_F_2^ 2))))/(0.00198717*298))</f>
        <v>1.0709666047314406</v>
      </c>
    </row>
    <row r="5" spans="1:15" ht="18" x14ac:dyDescent="0.35">
      <c r="A5" s="2" t="s">
        <v>3</v>
      </c>
      <c r="B5">
        <v>-0.3</v>
      </c>
      <c r="D5" s="7">
        <v>-18</v>
      </c>
      <c r="E5">
        <v>5.6770904779450992</v>
      </c>
      <c r="F5">
        <v>171.11905245556184</v>
      </c>
      <c r="G5">
        <v>0.68210000000000004</v>
      </c>
      <c r="H5">
        <f>Paq_F_1* EXP(-1*(dE0_F_1*EXP((-1 * (18-zMid_F_1) ^ 2) / (2 * (n_F_1^ 2))))/(0.00198717*298))</f>
        <v>0.91865371342959334</v>
      </c>
      <c r="I5">
        <f t="shared" si="0"/>
        <v>1.6719468911498472E-2</v>
      </c>
      <c r="J5">
        <f>Paq_F_2* EXP(-1*(dE0_F_2*EXP((-1 * (18-(-1*zMid_F_2)) ^ 2) / (2 * (n_F_2^ 2))))/(0.00198717*298))</f>
        <v>1.2796561495752832</v>
      </c>
      <c r="K5">
        <f t="shared" si="1"/>
        <v>7.466296039107731E-2</v>
      </c>
      <c r="M5">
        <v>-21</v>
      </c>
      <c r="N5">
        <f>Paq_F_1* EXP(-1*(dE0_F_1*EXP((-1 * (21-zMid_F_1) ^ 2) / (2 * (n_F_1^ 2))))/(0.00198717*298))</f>
        <v>0.90065616132912496</v>
      </c>
      <c r="O5">
        <f>Paq_F_2* EXP(-1*(dE0_F_2*EXP((-1 * (21-(-1*zMid_F_2)) ^ 2) / (2 * (n_F_2^ 2))))/(0.00198717*298))</f>
        <v>1.1054545248820409</v>
      </c>
    </row>
    <row r="6" spans="1:15" ht="18" x14ac:dyDescent="0.35">
      <c r="A6" s="2" t="s">
        <v>4</v>
      </c>
      <c r="B6">
        <v>11</v>
      </c>
      <c r="D6" s="8">
        <v>-16.5</v>
      </c>
      <c r="E6">
        <v>8.2061756726503319</v>
      </c>
      <c r="F6">
        <v>239.24085021505925</v>
      </c>
      <c r="G6">
        <v>0.70520000000000005</v>
      </c>
      <c r="H6">
        <f>Paq_F_1* EXP(-1*(dE0_F_1*EXP((-1 * (16.5-zMid_F_1) ^ 2) / (2 * (n_F_1^ 2))))/(0.00198717*298))</f>
        <v>0.96523383497621529</v>
      </c>
      <c r="I6">
        <f t="shared" si="0"/>
        <v>1.8583206057757953E-2</v>
      </c>
      <c r="J6">
        <f>Paq_F_2* EXP(-1*(dE0_F_2*EXP((-1 * (16.5-(-1*zMid_F_2)) ^ 2) / (2 * (n_F_2^ 2))))/(0.00198717*298))</f>
        <v>1.40199212801534</v>
      </c>
      <c r="K6">
        <f t="shared" si="1"/>
        <v>8.9062417543559813E-2</v>
      </c>
      <c r="M6">
        <v>-20</v>
      </c>
      <c r="N6">
        <f>Paq_F_1* EXP(-1*(dE0_F_1*EXP((-1 * (20-zMid_F_1) ^ 2) / (2 * (n_F_1^ 2))))/(0.00198717*298))</f>
        <v>0.90227715518271123</v>
      </c>
      <c r="O6">
        <f>Paq_F_2* EXP(-1*(dE0_F_2*EXP((-1 * (20-(-1*zMid_F_2)) ^ 2) / (2 * (n_F_2^ 2))))/(0.00198717*298))</f>
        <v>1.1512579886995897</v>
      </c>
    </row>
    <row r="7" spans="1:15" x14ac:dyDescent="0.25">
      <c r="A7" s="2" t="s">
        <v>5</v>
      </c>
      <c r="B7">
        <v>2.7641431334592701</v>
      </c>
      <c r="D7" s="9">
        <v>-15</v>
      </c>
      <c r="E7">
        <v>13.394085059161233</v>
      </c>
      <c r="F7">
        <v>301.1099037843893</v>
      </c>
      <c r="G7">
        <v>0.91449999999999998</v>
      </c>
      <c r="H7">
        <f>Paq_F_1* EXP(-1*(dE0_F_1*EXP((-1 * (15-zMid_F_1) ^ 2) / (2 * (n_F_1^ 2))))/(0.00198717*298))</f>
        <v>1.0751315247200486</v>
      </c>
      <c r="I7">
        <f t="shared" si="0"/>
        <v>4.9389813310062609E-3</v>
      </c>
      <c r="J7">
        <f>Paq_F_2* EXP(-1*(dE0_F_2*EXP((-1 * (15-(-1*zMid_F_2)) ^ 2) / (2 * (n_F_2^ 2))))/(0.00198717*298))</f>
        <v>1.5267671857473832</v>
      </c>
      <c r="K7">
        <f t="shared" si="1"/>
        <v>4.9545910747091061E-2</v>
      </c>
      <c r="M7">
        <v>-19</v>
      </c>
      <c r="N7">
        <f>Paq_F_1* EXP(-1*(dE0_F_1*EXP((-1 * (19-zMid_F_1) ^ 2) / (2 * (n_F_1^ 2))))/(0.00198717*298))</f>
        <v>0.90694487230516962</v>
      </c>
      <c r="O7">
        <f>Paq_F_2* EXP(-1*(dE0_F_2*EXP((-1 * (19-(-1*zMid_F_2)) ^ 2) / (2 * (n_F_2^ 2))))/(0.00198717*298))</f>
        <v>1.2094124905854271</v>
      </c>
    </row>
    <row r="8" spans="1:15" x14ac:dyDescent="0.25">
      <c r="D8" s="10">
        <v>-13.5</v>
      </c>
      <c r="E8">
        <v>20.942879034129405</v>
      </c>
      <c r="F8">
        <v>325.144691447757</v>
      </c>
      <c r="G8">
        <v>1.3242</v>
      </c>
      <c r="H8">
        <f>Paq_F_1* EXP(-1*(dE0_F_1*EXP((-1 * (13.5-zMid_F_1) ^ 2) / (2 * (n_F_1^ 2))))/(0.00198717*298))</f>
        <v>1.2600897994253488</v>
      </c>
      <c r="I8">
        <f t="shared" si="0"/>
        <v>4.6449248120796377E-4</v>
      </c>
      <c r="J8">
        <f>Paq_F_2* EXP(-1*(dE0_F_2*EXP((-1 * (13.5-(-1*zMid_F_2)) ^ 2) / (2 * (n_F_2^ 2))))/(0.00198717*298))</f>
        <v>1.6230606522261342</v>
      </c>
      <c r="K8">
        <f t="shared" si="1"/>
        <v>7.8112304600538853E-3</v>
      </c>
      <c r="M8">
        <v>-18</v>
      </c>
      <c r="N8">
        <f>Paq_F_1* EXP(-1*(dE0_F_1*EXP((-1 * (18-zMid_F_1) ^ 2) / (2 * (n_F_1^ 2))))/(0.00198717*298))</f>
        <v>0.91865371342959334</v>
      </c>
      <c r="O8">
        <f>Paq_F_2* EXP(-1*(dE0_F_2*EXP((-1 * (18-(-1*zMid_F_2)) ^ 2) / (2 * (n_F_2^ 2))))/(0.00198717*298))</f>
        <v>1.2796561495752832</v>
      </c>
    </row>
    <row r="9" spans="1:15" ht="18" x14ac:dyDescent="0.35">
      <c r="A9" s="3" t="s">
        <v>6</v>
      </c>
      <c r="B9">
        <v>1</v>
      </c>
      <c r="D9" s="11">
        <v>-12</v>
      </c>
      <c r="E9">
        <v>28.607478506707277</v>
      </c>
      <c r="F9">
        <v>335.09215104301728</v>
      </c>
      <c r="G9">
        <v>1.7552000000000001</v>
      </c>
      <c r="H9">
        <f>Paq_F_1* EXP(-1*(dE0_F_1*EXP((-1 * (12-zMid_F_1) ^ 2) / (2 * (n_F_1^ 2))))/(0.00198717*298))</f>
        <v>1.4465101360195673</v>
      </c>
      <c r="I9">
        <f t="shared" si="0"/>
        <v>7.0568617046150488E-3</v>
      </c>
      <c r="J9">
        <f>Paq_F_2* EXP(-1*(dE0_F_2*EXP((-1 * (12-(-1*zMid_F_2)) ^ 2) / (2 * (n_F_2^ 2))))/(0.00198717*298))</f>
        <v>1.6596480793313979</v>
      </c>
      <c r="K9">
        <f t="shared" si="1"/>
        <v>5.9100539666245649E-4</v>
      </c>
      <c r="M9">
        <v>-17</v>
      </c>
      <c r="N9">
        <f>Paq_F_1* EXP(-1*(dE0_F_1*EXP((-1 * (17-zMid_F_1) ^ 2) / (2 * (n_F_1^ 2))))/(0.00198717*298))</f>
        <v>0.94428356171692018</v>
      </c>
      <c r="O9">
        <f>Paq_F_2* EXP(-1*(dE0_F_2*EXP((-1 * (17-(-1*zMid_F_2)) ^ 2) / (2 * (n_F_2^ 2))))/(0.00198717*298))</f>
        <v>1.3597105093834376</v>
      </c>
    </row>
    <row r="10" spans="1:15" ht="18" x14ac:dyDescent="0.35">
      <c r="A10" s="3" t="s">
        <v>7</v>
      </c>
      <c r="B10">
        <v>-0.3</v>
      </c>
      <c r="D10" s="12">
        <v>-10.5</v>
      </c>
      <c r="E10">
        <v>28.233631072991994</v>
      </c>
      <c r="F10">
        <v>329.71261028763035</v>
      </c>
      <c r="G10">
        <v>1.7605</v>
      </c>
      <c r="H10">
        <f>Paq_F_1* EXP(-1*(dE0_F_1*EXP((-1 * (10.5-zMid_F_1) ^ 2) / (2 * (n_F_1^ 2))))/(0.00198717*298))</f>
        <v>1.4814544156617384</v>
      </c>
      <c r="I10">
        <f t="shared" si="0"/>
        <v>5.6171632247031568E-3</v>
      </c>
      <c r="J10">
        <f>Paq_F_2* EXP(-1*(dE0_F_2*EXP((-1 * (10.5-(-1*zMid_F_2)) ^ 2) / (2 * (n_F_2^ 2))))/(0.00198717*298))</f>
        <v>1.6230606522261342</v>
      </c>
      <c r="K10">
        <f t="shared" si="1"/>
        <v>1.2461803771789848E-3</v>
      </c>
      <c r="M10">
        <v>-16</v>
      </c>
      <c r="N10">
        <f>Paq_F_1* EXP(-1*(dE0_F_1*EXP((-1 * (16-zMid_F_1) ^ 2) / (2 * (n_F_1^ 2))))/(0.00198717*298))</f>
        <v>0.99332500341401953</v>
      </c>
      <c r="O10">
        <f>Paq_F_2* EXP(-1*(dE0_F_2*EXP((-1 * (16-(-1*zMid_F_2)) ^ 2) / (2 * (n_F_2^ 2))))/(0.00198717*298))</f>
        <v>1.4446558884491447</v>
      </c>
    </row>
    <row r="11" spans="1:15" ht="18" x14ac:dyDescent="0.35">
      <c r="A11" s="3" t="s">
        <v>8</v>
      </c>
      <c r="B11">
        <v>-12</v>
      </c>
      <c r="D11" s="13">
        <v>-9</v>
      </c>
      <c r="E11">
        <v>21.891201884767007</v>
      </c>
      <c r="F11">
        <v>284.46716551243782</v>
      </c>
      <c r="G11">
        <v>1.5821000000000001</v>
      </c>
      <c r="H11">
        <f>Paq_F_1* EXP(-1*(dE0_F_1*EXP((-1 * (9-zMid_F_1) ^ 2) / (2 * (n_F_1^ 2))))/(0.00198717*298))</f>
        <v>1.3291907590952627</v>
      </c>
      <c r="I11">
        <f t="shared" si="0"/>
        <v>5.7224107022837457E-3</v>
      </c>
      <c r="J11">
        <f>Paq_F_2* EXP(-1*(dE0_F_2*EXP((-1 * (9-(-1*zMid_F_2)) ^ 2) / (2 * (n_F_2^ 2))))/(0.00198717*298))</f>
        <v>1.5267671857473832</v>
      </c>
      <c r="K11">
        <f t="shared" si="1"/>
        <v>2.3904602426215552E-4</v>
      </c>
      <c r="M11">
        <v>-15</v>
      </c>
      <c r="N11">
        <f>Paq_F_1* EXP(-1*(dE0_F_1*EXP((-1 * (15-zMid_F_1) ^ 2) / (2 * (n_F_1^ 2))))/(0.00198717*298))</f>
        <v>1.0751315247200486</v>
      </c>
      <c r="O11">
        <f>Paq_F_2* EXP(-1*(dE0_F_2*EXP((-1 * (15-(-1*zMid_F_2)) ^ 2) / (2 * (n_F_2^ 2))))/(0.00198717*298))</f>
        <v>1.5267671857473832</v>
      </c>
    </row>
    <row r="12" spans="1:15" x14ac:dyDescent="0.25">
      <c r="A12" s="3" t="s">
        <v>9</v>
      </c>
      <c r="B12">
        <v>5</v>
      </c>
      <c r="D12" s="14">
        <v>-7.5</v>
      </c>
      <c r="E12">
        <v>16.768112274313435</v>
      </c>
      <c r="F12">
        <v>233.0137027127592</v>
      </c>
      <c r="G12">
        <v>1.4795</v>
      </c>
      <c r="H12">
        <f>Paq_F_1* EXP(-1*(dE0_F_1*EXP((-1 * (7.5-zMid_F_1) ^ 2) / (2 * (n_F_1^ 2))))/(0.00198717*298))</f>
        <v>1.1296373588447666</v>
      </c>
      <c r="I12">
        <f t="shared" si="0"/>
        <v>1.373019687582569E-2</v>
      </c>
      <c r="J12">
        <f>Paq_F_2* EXP(-1*(dE0_F_2*EXP((-1 * (7.5-(-1*zMid_F_2)) ^ 2) / (2 * (n_F_2^ 2))))/(0.00198717*298))</f>
        <v>1.40199212801534</v>
      </c>
      <c r="K12">
        <f t="shared" si="1"/>
        <v>5.4612859277074091E-4</v>
      </c>
      <c r="M12">
        <v>-14</v>
      </c>
      <c r="N12">
        <f>Paq_F_1* EXP(-1*(dE0_F_1*EXP((-1 * (14-zMid_F_1) ^ 2) / (2 * (n_F_1^ 2))))/(0.00198717*298))</f>
        <v>1.192145748026094</v>
      </c>
      <c r="O12">
        <f>Paq_F_2* EXP(-1*(dE0_F_2*EXP((-1 * (14-(-1*zMid_F_2)) ^ 2) / (2 * (n_F_2^ 2))))/(0.00198717*298))</f>
        <v>1.5962480258129612</v>
      </c>
    </row>
    <row r="13" spans="1:15" x14ac:dyDescent="0.25">
      <c r="D13" s="15">
        <v>-6</v>
      </c>
      <c r="E13">
        <v>14.017233032482219</v>
      </c>
      <c r="F13">
        <v>229.72199232624777</v>
      </c>
      <c r="G13">
        <v>1.2544999999999999</v>
      </c>
      <c r="H13">
        <f>Paq_F_1* EXP(-1*(dE0_F_1*EXP((-1 * (6-zMid_F_1) ^ 2) / (2 * (n_F_1^ 2))))/(0.00198717*298))</f>
        <v>0.99332500341401953</v>
      </c>
      <c r="I13">
        <f t="shared" si="0"/>
        <v>1.0277762108948141E-2</v>
      </c>
      <c r="J13">
        <f>Paq_F_2* EXP(-1*(dE0_F_2*EXP((-1 * (6-(-1*zMid_F_2)) ^ 2) / (2 * (n_F_2^ 2))))/(0.00198717*298))</f>
        <v>1.2796561495752832</v>
      </c>
      <c r="K13">
        <f t="shared" si="1"/>
        <v>7.4349617605506439E-5</v>
      </c>
      <c r="M13">
        <v>-13</v>
      </c>
      <c r="N13">
        <f>Paq_F_1* EXP(-1*(dE0_F_1*EXP((-1 * (13-zMid_F_1) ^ 2) / (2 * (n_F_1^ 2))))/(0.00198717*298))</f>
        <v>1.3291907590952627</v>
      </c>
      <c r="O13">
        <f>Paq_F_2* EXP(-1*(dE0_F_2*EXP((-1 * (13-(-1*zMid_F_2)) ^ 2) / (2 * (n_F_2^ 2))))/(0.00198717*298))</f>
        <v>1.6430826085861563</v>
      </c>
    </row>
    <row r="14" spans="1:15" x14ac:dyDescent="0.25">
      <c r="D14" s="16">
        <v>-4.5</v>
      </c>
      <c r="E14">
        <v>14.585645212032805</v>
      </c>
      <c r="F14">
        <v>238.06457551464311</v>
      </c>
      <c r="G14">
        <v>1.2596000000000001</v>
      </c>
      <c r="H14">
        <f>Paq_F_1* EXP(-1*(dE0_F_1*EXP((-1 * (4.5-zMid_F_1) ^ 2) / (2 * (n_F_1^ 2))))/(0.00198717*298))</f>
        <v>0.92918026538890819</v>
      </c>
      <c r="I14">
        <f t="shared" si="0"/>
        <v>1.7459043697658088E-2</v>
      </c>
      <c r="J14">
        <f>Paq_F_2* EXP(-1*(dE0_F_2*EXP((-1 * (4.5-(-1*zMid_F_2)) ^ 2) / (2 * (n_F_2^ 2))))/(0.00198717*298))</f>
        <v>1.1787690916534934</v>
      </c>
      <c r="K14">
        <f t="shared" si="1"/>
        <v>8.2966535887676125E-4</v>
      </c>
      <c r="M14">
        <v>-12</v>
      </c>
      <c r="N14">
        <f>Paq_F_1* EXP(-1*(dE0_F_1*EXP((-1 * (12-zMid_F_1) ^ 2) / (2 * (n_F_1^ 2))))/(0.00198717*298))</f>
        <v>1.4465101360195673</v>
      </c>
      <c r="O14">
        <f>Paq_F_2* EXP(-1*(dE0_F_2*EXP((-1 * (12-(-1*zMid_F_2)) ^ 2) / (2 * (n_F_2^ 2))))/(0.00198717*298))</f>
        <v>1.6596480793313979</v>
      </c>
    </row>
    <row r="15" spans="1:15" x14ac:dyDescent="0.25">
      <c r="D15" s="17">
        <v>-3</v>
      </c>
      <c r="E15">
        <v>13.262463360516634</v>
      </c>
      <c r="F15">
        <v>209.69845561618712</v>
      </c>
      <c r="G15">
        <v>1.3003</v>
      </c>
      <c r="H15">
        <f>Paq_F_1* EXP(-1*(dE0_F_1*EXP((-1 * (3-zMid_F_1) ^ 2) / (2 * (n_F_1^ 2))))/(0.00198717*298))</f>
        <v>0.90694487230516962</v>
      </c>
      <c r="I15">
        <f t="shared" si="0"/>
        <v>2.4480567986373113E-2</v>
      </c>
      <c r="J15">
        <f>Paq_F_2* EXP(-1*(dE0_F_2*EXP((-1 * (3-(-1*zMid_F_2)) ^ 2) / (2 * (n_F_2^ 2))))/(0.00198717*298))</f>
        <v>1.1054545248820409</v>
      </c>
      <c r="K15">
        <f t="shared" si="1"/>
        <v>4.9706280072914638E-3</v>
      </c>
      <c r="M15">
        <v>-11</v>
      </c>
      <c r="N15">
        <f>Paq_F_1* EXP(-1*(dE0_F_1*EXP((-1 * (11-zMid_F_1) ^ 2) / (2 * (n_F_1^ 2))))/(0.00198717*298))</f>
        <v>1.4936832713982582</v>
      </c>
      <c r="O15">
        <f>Paq_F_2* EXP(-1*(dE0_F_2*EXP((-1 * (11-(-1*zMid_F_2)) ^ 2) / (2 * (n_F_2^ 2))))/(0.00198717*298))</f>
        <v>1.6430826085861563</v>
      </c>
    </row>
    <row r="16" spans="1:15" x14ac:dyDescent="0.25">
      <c r="D16" s="18">
        <v>-1.5</v>
      </c>
      <c r="E16">
        <v>13.115875860264339</v>
      </c>
      <c r="F16">
        <v>193.12505159558162</v>
      </c>
      <c r="G16">
        <v>1.3962000000000001</v>
      </c>
      <c r="H16">
        <f>Paq_F_1* EXP(-1*(dE0_F_1*EXP((-1 * (1.5-zMid_F_1) ^ 2) / (2 * (n_F_1^ 2))))/(0.00198717*298))</f>
        <v>0.90124237529611817</v>
      </c>
      <c r="I16">
        <f t="shared" si="0"/>
        <v>3.6140302700097181E-2</v>
      </c>
      <c r="J16">
        <f>Paq_F_2* EXP(-1*(dE0_F_2*EXP((-1 * (1.5-(-1*zMid_F_2)) ^ 2) / (2 * (n_F_2^ 2))))/(0.00198717*298))</f>
        <v>1.0574427900813228</v>
      </c>
      <c r="K16">
        <f t="shared" si="1"/>
        <v>1.4566257919789244E-2</v>
      </c>
      <c r="M16">
        <v>-10</v>
      </c>
      <c r="N16">
        <f>Paq_F_1* EXP(-1*(dE0_F_1*EXP((-1 * (10-zMid_F_1) ^ 2) / (2 * (n_F_1^ 2))))/(0.00198717*298))</f>
        <v>1.4465101360195673</v>
      </c>
      <c r="O16">
        <f>Paq_F_2* EXP(-1*(dE0_F_2*EXP((-1 * (10-(-1*zMid_F_2)) ^ 2) / (2 * (n_F_2^ 2))))/(0.00198717*298))</f>
        <v>1.5962480258129612</v>
      </c>
    </row>
    <row r="17" spans="4:15" x14ac:dyDescent="0.25">
      <c r="D17" s="19">
        <v>0</v>
      </c>
      <c r="E17">
        <v>12.489250574326535</v>
      </c>
      <c r="F17">
        <v>197.31337553026106</v>
      </c>
      <c r="G17">
        <v>1.3012999999999999</v>
      </c>
      <c r="H17">
        <f>Paq_F_1* EXP(-1*(dE0_F_1*EXP((-1 * (0-zMid_F_1) ^ 2) / (2 * (n_F_1^ 2))))/(0.00198717*298))</f>
        <v>0.90016598153813743</v>
      </c>
      <c r="I17">
        <f t="shared" si="0"/>
        <v>2.561754970619249E-2</v>
      </c>
      <c r="J17">
        <f>Paq_F_2* EXP(-1*(dE0_F_2*EXP((-1 * (0-(-1*zMid_F_2)) ^ 2) / (2 * (n_F_2^ 2))))/(0.00198717*298))</f>
        <v>1.0288464097558325</v>
      </c>
      <c r="K17">
        <f t="shared" si="1"/>
        <v>1.0409484931350018E-2</v>
      </c>
      <c r="M17">
        <v>-9</v>
      </c>
      <c r="N17">
        <f>Paq_F_1* EXP(-1*(dE0_F_1*EXP((-1 * (9-zMid_F_1) ^ 2) / (2 * (n_F_1^ 2))))/(0.00198717*298))</f>
        <v>1.3291907590952627</v>
      </c>
      <c r="O17">
        <f>Paq_F_2* EXP(-1*(dE0_F_2*EXP((-1 * (9-(-1*zMid_F_2)) ^ 2) / (2 * (n_F_2^ 2))))/(0.00198717*298))</f>
        <v>1.5267671857473832</v>
      </c>
    </row>
    <row r="18" spans="4:15" x14ac:dyDescent="0.25">
      <c r="D18" s="20">
        <v>1.5</v>
      </c>
      <c r="E18">
        <v>10.124917066023338</v>
      </c>
      <c r="F18">
        <v>211.87289009819162</v>
      </c>
      <c r="G18">
        <v>0.98250000000000004</v>
      </c>
      <c r="H18">
        <f>Paq_F_1* EXP(-1*(dE0_F_1*EXP((-1 * (1.5-zMid_F_1) ^ 2) / (2 * (n_F_1^ 2))))/(0.00198717*298))</f>
        <v>0.90124237529611817</v>
      </c>
      <c r="I18">
        <f t="shared" si="0"/>
        <v>1.4055717464732239E-3</v>
      </c>
      <c r="J18">
        <f>Paq_F_2* EXP(-1*(dE0_F_2*EXP((-1 * (1.5-(-1*zMid_F_2)) ^ 2) / (2 * (n_F_2^ 2))))/(0.00198717*298))</f>
        <v>1.0574427900813228</v>
      </c>
      <c r="K18">
        <f t="shared" si="1"/>
        <v>1.0191622951903976E-3</v>
      </c>
      <c r="M18">
        <v>-8</v>
      </c>
      <c r="N18">
        <f>Paq_F_1* EXP(-1*(dE0_F_1*EXP((-1 * (8-zMid_F_1) ^ 2) / (2 * (n_F_1^ 2))))/(0.00198717*298))</f>
        <v>1.192145748026094</v>
      </c>
      <c r="O18">
        <f>Paq_F_2* EXP(-1*(dE0_F_2*EXP((-1 * (8-(-1*zMid_F_2)) ^ 2) / (2 * (n_F_2^ 2))))/(0.00198717*298))</f>
        <v>1.4446558884491447</v>
      </c>
    </row>
    <row r="19" spans="4:15" x14ac:dyDescent="0.25">
      <c r="D19" s="21">
        <v>3</v>
      </c>
      <c r="E19">
        <v>9.8629472382774122</v>
      </c>
      <c r="F19">
        <v>212.60048258233337</v>
      </c>
      <c r="G19">
        <v>0.95379999999999998</v>
      </c>
      <c r="H19">
        <f>Paq_F_1* EXP(-1*(dE0_F_1*EXP((-1 * (3-zMid_F_1) ^ 2) / (2 * (n_F_1^ 2))))/(0.00198717*298))</f>
        <v>0.90694487230516962</v>
      </c>
      <c r="I19">
        <f t="shared" si="0"/>
        <v>4.7857811827290792E-4</v>
      </c>
      <c r="J19">
        <f>Paq_F_2* EXP(-1*(dE0_F_2*EXP((-1 * (3-(-1*zMid_F_2)) ^ 2) / (2 * (n_F_2^ 2))))/(0.00198717*298))</f>
        <v>1.1054545248820409</v>
      </c>
      <c r="K19">
        <f t="shared" si="1"/>
        <v>4.1067031234732782E-3</v>
      </c>
      <c r="M19">
        <v>-7</v>
      </c>
      <c r="N19">
        <f>Paq_F_1* EXP(-1*(dE0_F_1*EXP((-1 * (7-zMid_F_1) ^ 2) / (2 * (n_F_1^ 2))))/(0.00198717*298))</f>
        <v>1.0751315247200486</v>
      </c>
      <c r="O19">
        <f>Paq_F_2* EXP(-1*(dE0_F_2*EXP((-1 * (7-(-1*zMid_F_2)) ^ 2) / (2 * (n_F_2^ 2))))/(0.00198717*298))</f>
        <v>1.3597105093834376</v>
      </c>
    </row>
    <row r="20" spans="4:15" x14ac:dyDescent="0.25">
      <c r="D20" s="22">
        <v>4.5</v>
      </c>
      <c r="E20">
        <v>9.7757632073199474</v>
      </c>
      <c r="F20">
        <v>207.82615645104704</v>
      </c>
      <c r="G20">
        <v>0.96709999999999996</v>
      </c>
      <c r="H20">
        <f>Paq_F_1* EXP(-1*(dE0_F_1*EXP((-1 * (4.5-zMid_F_1) ^ 2) / (2 * (n_F_1^ 2))))/(0.00198717*298))</f>
        <v>0.92918026538890819</v>
      </c>
      <c r="I20">
        <f t="shared" si="0"/>
        <v>3.0176574390711159E-4</v>
      </c>
      <c r="J20">
        <f>Paq_F_2* EXP(-1*(dE0_F_2*EXP((-1 * (4.5-(-1*zMid_F_2)) ^ 2) / (2 * (n_F_2^ 2))))/(0.00198717*298))</f>
        <v>1.1787690916534934</v>
      </c>
      <c r="K20">
        <f t="shared" si="1"/>
        <v>7.3886671296153087E-3</v>
      </c>
      <c r="M20">
        <v>-6</v>
      </c>
      <c r="N20">
        <f>Paq_F_1* EXP(-1*(dE0_F_1*EXP((-1 * (6-zMid_F_1) ^ 2) / (2 * (n_F_1^ 2))))/(0.00198717*298))</f>
        <v>0.99332500341401953</v>
      </c>
      <c r="O20">
        <f>Paq_F_2* EXP(-1*(dE0_F_2*EXP((-1 * (6-(-1*zMid_F_2)) ^ 2) / (2 * (n_F_2^ 2))))/(0.00198717*298))</f>
        <v>1.2796561495752832</v>
      </c>
    </row>
    <row r="21" spans="4:15" x14ac:dyDescent="0.25">
      <c r="D21" s="23">
        <v>6</v>
      </c>
      <c r="E21">
        <v>10.391787008341415</v>
      </c>
      <c r="F21">
        <v>218.70380004479716</v>
      </c>
      <c r="G21">
        <v>0.97689999999999999</v>
      </c>
      <c r="H21">
        <f>Paq_F_1* EXP(-1*(dE0_F_1*EXP((-1 * (6-zMid_F_1) ^ 2) / (2 * (n_F_1^ 2))))/(0.00198717*298))</f>
        <v>0.99332500341401953</v>
      </c>
      <c r="I21">
        <f t="shared" si="0"/>
        <v>5.2435814825845376E-5</v>
      </c>
      <c r="J21">
        <f>Paq_F_2* EXP(-1*(dE0_F_2*EXP((-1 * (6-(-1*zMid_F_2)) ^ 2) / (2 * (n_F_2^ 2))))/(0.00198717*298))</f>
        <v>1.2796561495752832</v>
      </c>
      <c r="K21">
        <f t="shared" si="1"/>
        <v>1.3745962899973112E-2</v>
      </c>
      <c r="M21">
        <v>-5</v>
      </c>
      <c r="N21">
        <f>Paq_F_1* EXP(-1*(dE0_F_1*EXP((-1 * (5-zMid_F_1) ^ 2) / (2 * (n_F_1^ 2))))/(0.00198717*298))</f>
        <v>0.94428356171692018</v>
      </c>
      <c r="O21">
        <f>Paq_F_2* EXP(-1*(dE0_F_2*EXP((-1 * (5-(-1*zMid_F_2)) ^ 2) / (2 * (n_F_2^ 2))))/(0.00198717*298))</f>
        <v>1.2094124905854271</v>
      </c>
    </row>
    <row r="22" spans="4:15" x14ac:dyDescent="0.25">
      <c r="D22" s="24">
        <v>7.5</v>
      </c>
      <c r="E22">
        <v>11.710308639413585</v>
      </c>
      <c r="F22">
        <v>210.91142211418727</v>
      </c>
      <c r="G22">
        <v>1.1415</v>
      </c>
      <c r="H22">
        <f>Paq_F_1* EXP(-1*(dE0_F_1*EXP((-1 * (7.5-zMid_F_1) ^ 2) / (2 * (n_F_1^ 2))))/(0.00198717*298))</f>
        <v>1.1296373588447666</v>
      </c>
      <c r="I22">
        <f t="shared" si="0"/>
        <v>2.0583181181419076E-5</v>
      </c>
      <c r="J22">
        <f>Paq_F_2* EXP(-1*(dE0_F_2*EXP((-1 * (7.5-(-1*zMid_F_2)) ^ 2) / (2 * (n_F_2^ 2))))/(0.00198717*298))</f>
        <v>1.40199212801534</v>
      </c>
      <c r="K22">
        <f t="shared" si="1"/>
        <v>7.9690720733274836E-3</v>
      </c>
      <c r="M22">
        <v>-4</v>
      </c>
      <c r="N22">
        <f>Paq_F_1* EXP(-1*(dE0_F_1*EXP((-1 * (4-zMid_F_1) ^ 2) / (2 * (n_F_1^ 2))))/(0.00198717*298))</f>
        <v>0.91865371342959334</v>
      </c>
      <c r="O22">
        <f>Paq_F_2* EXP(-1*(dE0_F_2*EXP((-1 * (4-(-1*zMid_F_2)) ^ 2) / (2 * (n_F_2^ 2))))/(0.00198717*298))</f>
        <v>1.1512579886995897</v>
      </c>
    </row>
    <row r="23" spans="4:15" x14ac:dyDescent="0.25">
      <c r="D23" s="25">
        <v>9</v>
      </c>
      <c r="E23">
        <v>12.6450937773714</v>
      </c>
      <c r="F23">
        <v>213.79921748310556</v>
      </c>
      <c r="G23">
        <v>1.216</v>
      </c>
      <c r="H23">
        <f>Paq_F_1* EXP(-1*(dE0_F_1*EXP((-1 * (9-zMid_F_1) ^ 2) / (2 * (n_F_1^ 2))))/(0.00198717*298))</f>
        <v>1.3291907590952627</v>
      </c>
      <c r="I23">
        <f t="shared" si="0"/>
        <v>1.4941114879766864E-3</v>
      </c>
      <c r="J23">
        <f>Paq_F_2* EXP(-1*(dE0_F_2*EXP((-1 * (9-(-1*zMid_F_2)) ^ 2) / (2 * (n_F_2^ 2))))/(0.00198717*298))</f>
        <v>1.5267671857473832</v>
      </c>
      <c r="K23">
        <f t="shared" si="1"/>
        <v>9.7691958198382663E-3</v>
      </c>
      <c r="M23">
        <v>-3</v>
      </c>
      <c r="N23">
        <f>Paq_F_1* EXP(-1*(dE0_F_1*EXP((-1 * (3-zMid_F_1) ^ 2) / (2 * (n_F_1^ 2))))/(0.00198717*298))</f>
        <v>0.90694487230516962</v>
      </c>
      <c r="O23">
        <f>Paq_F_2* EXP(-1*(dE0_F_2*EXP((-1 * (3-(-1*zMid_F_2)) ^ 2) / (2 * (n_F_2^ 2))))/(0.00198717*298))</f>
        <v>1.1054545248820409</v>
      </c>
    </row>
    <row r="24" spans="4:15" x14ac:dyDescent="0.25">
      <c r="D24" s="26">
        <v>10.5</v>
      </c>
      <c r="E24">
        <v>13.421656557346259</v>
      </c>
      <c r="F24">
        <v>220.63045274559784</v>
      </c>
      <c r="G24">
        <v>1.2506999999999999</v>
      </c>
      <c r="H24">
        <f>Paq_F_1* EXP(-1*(dE0_F_1*EXP((-1 * (10.5-zMid_F_1) ^ 2) / (2 * (n_F_1^ 2))))/(0.00198717*298))</f>
        <v>1.4814544156617384</v>
      </c>
      <c r="I24">
        <f t="shared" si="0"/>
        <v>5.407417247004301E-3</v>
      </c>
      <c r="J24">
        <f>Paq_F_2* EXP(-1*(dE0_F_2*EXP((-1 * (10.5-(-1*zMid_F_2)) ^ 2) / (2 * (n_F_2^ 2))))/(0.00198717*298))</f>
        <v>1.6230606522261342</v>
      </c>
      <c r="K24">
        <f t="shared" si="1"/>
        <v>1.2810074454838918E-2</v>
      </c>
      <c r="M24">
        <v>-2</v>
      </c>
      <c r="N24">
        <f>Paq_F_1* EXP(-1*(dE0_F_1*EXP((-1 * (2-zMid_F_1) ^ 2) / (2 * (n_F_1^ 2))))/(0.00198717*298))</f>
        <v>0.90227715518271123</v>
      </c>
      <c r="O24">
        <f>Paq_F_2* EXP(-1*(dE0_F_2*EXP((-1 * (2-(-1*zMid_F_2)) ^ 2) / (2 * (n_F_2^ 2))))/(0.00198717*298))</f>
        <v>1.0709666047314406</v>
      </c>
    </row>
    <row r="25" spans="4:15" x14ac:dyDescent="0.25">
      <c r="D25" s="27">
        <v>12</v>
      </c>
      <c r="E25">
        <v>14.702010176210905</v>
      </c>
      <c r="F25">
        <v>225.0124392487848</v>
      </c>
      <c r="G25">
        <v>1.3432999999999999</v>
      </c>
      <c r="H25">
        <f>Paq_F_1* EXP(-1*(dE0_F_1*EXP((-1 * (12-zMid_F_1) ^ 2) / (2 * (n_F_1^ 2))))/(0.00198717*298))</f>
        <v>1.4465101360195673</v>
      </c>
      <c r="I25">
        <f t="shared" si="0"/>
        <v>1.0335238946598334E-3</v>
      </c>
      <c r="J25">
        <f>Paq_F_2* EXP(-1*(dE0_F_2*EXP((-1 * (12-(-1*zMid_F_2)) ^ 2) / (2 * (n_F_2^ 2))))/(0.00198717*298))</f>
        <v>1.6596480793313979</v>
      </c>
      <c r="K25">
        <f t="shared" si="1"/>
        <v>8.4351353493038964E-3</v>
      </c>
      <c r="M25">
        <v>-1</v>
      </c>
      <c r="N25">
        <f>Paq_F_1* EXP(-1*(dE0_F_1*EXP((-1 * (1-zMid_F_1) ^ 2) / (2 * (n_F_1^ 2))))/(0.00198717*298))</f>
        <v>0.90065616132912496</v>
      </c>
      <c r="O25">
        <f>Paq_F_2* EXP(-1*(dE0_F_2*EXP((-1 * (1-(-1*zMid_F_2)) ^ 2) / (2 * (n_F_2^ 2))))/(0.00198717*298))</f>
        <v>1.0460782666348765</v>
      </c>
    </row>
    <row r="26" spans="4:15" x14ac:dyDescent="0.25">
      <c r="D26" s="28">
        <v>13.5</v>
      </c>
      <c r="E26">
        <v>12.907254514857945</v>
      </c>
      <c r="F26">
        <v>218.45557134306293</v>
      </c>
      <c r="G26">
        <v>1.2146999999999999</v>
      </c>
      <c r="H26">
        <f>Paq_F_1* EXP(-1*(dE0_F_1*EXP((-1 * (13.5-zMid_F_1) ^ 2) / (2 * (n_F_1^ 2))))/(0.00198717*298))</f>
        <v>1.2600897994253488</v>
      </c>
      <c r="I26">
        <f t="shared" si="0"/>
        <v>2.5384342272711429E-4</v>
      </c>
      <c r="J26">
        <f>Paq_F_2* EXP(-1*(dE0_F_2*EXP((-1 * (13.5-(-1*zMid_F_2)) ^ 2) / (2 * (n_F_2^ 2))))/(0.00198717*298))</f>
        <v>1.6230606522261342</v>
      </c>
      <c r="K26">
        <f t="shared" si="1"/>
        <v>1.5842178920159829E-2</v>
      </c>
      <c r="M26">
        <v>0</v>
      </c>
      <c r="N26">
        <f>Paq_F_1* EXP(-1*(dE0_F_1*EXP((-1 * (0-zMid_F_1) ^ 2) / (2 * (n_F_1^ 2))))/(0.00198717*298))</f>
        <v>0.90016598153813743</v>
      </c>
      <c r="O26">
        <f>Paq_F_2* EXP(-1*(dE0_F_2*EXP((-1 * (0-(-1*zMid_F_2)) ^ 2) / (2 * (n_F_2^ 2))))/(0.00198717*298))</f>
        <v>1.0288464097558325</v>
      </c>
    </row>
    <row r="27" spans="4:15" x14ac:dyDescent="0.25">
      <c r="D27" s="29">
        <v>15</v>
      </c>
      <c r="E27">
        <v>8.9253568736356925</v>
      </c>
      <c r="F27">
        <v>224.03276726794545</v>
      </c>
      <c r="G27">
        <v>0.81910000000000005</v>
      </c>
      <c r="H27">
        <f>Paq_F_1* EXP(-1*(dE0_F_1*EXP((-1 * (15-zMid_F_1) ^ 2) / (2 * (n_F_1^ 2))))/(0.00198717*298))</f>
        <v>1.0751315247200486</v>
      </c>
      <c r="I27">
        <f t="shared" si="0"/>
        <v>1.3953437752506376E-2</v>
      </c>
      <c r="J27">
        <f>Paq_F_2* EXP(-1*(dE0_F_2*EXP((-1 * (15-(-1*zMid_F_2)) ^ 2) / (2 * (n_F_2^ 2))))/(0.00198717*298))</f>
        <v>1.5267671857473832</v>
      </c>
      <c r="K27">
        <f t="shared" si="1"/>
        <v>7.3135571309270148E-2</v>
      </c>
      <c r="M27">
        <v>1</v>
      </c>
      <c r="N27">
        <f>Paq_F_1* EXP(-1*(dE0_F_1*EXP((-1 * (1-zMid_F_1) ^ 2) / (2 * (n_F_1^ 2))))/(0.00198717*298))</f>
        <v>0.90065616132912496</v>
      </c>
      <c r="O27">
        <f>Paq_F_2* EXP(-1*(dE0_F_2*EXP((-1 * (1-(-1*zMid_F_2)) ^ 2) / (2 * (n_F_2^ 2))))/(0.00198717*298))</f>
        <v>1.0460782666348765</v>
      </c>
    </row>
    <row r="28" spans="4:15" x14ac:dyDescent="0.25">
      <c r="D28" s="30">
        <v>16.5</v>
      </c>
      <c r="E28">
        <v>6.6534656794772129</v>
      </c>
      <c r="F28">
        <v>233.75708221892813</v>
      </c>
      <c r="G28">
        <v>0.58520000000000005</v>
      </c>
      <c r="H28">
        <f>Paq_F_1* EXP(-1*(dE0_F_1*EXP((-1 * (16.5-zMid_F_1) ^ 2) / (2 * (n_F_1^ 2))))/(0.00198717*298))</f>
        <v>0.96523383497621529</v>
      </c>
      <c r="I28">
        <f t="shared" si="0"/>
        <v>4.7231555060718237E-2</v>
      </c>
      <c r="J28">
        <f>Paq_F_2* EXP(-1*(dE0_F_2*EXP((-1 * (16.5-(-1*zMid_F_2)) ^ 2) / (2 * (n_F_2^ 2))))/(0.00198717*298))</f>
        <v>1.40199212801534</v>
      </c>
      <c r="K28">
        <f t="shared" si="1"/>
        <v>0.1439756680320593</v>
      </c>
      <c r="M28">
        <v>2</v>
      </c>
      <c r="N28">
        <f>Paq_F_1* EXP(-1*(dE0_F_1*EXP((-1 * (2-zMid_F_1) ^ 2) / (2 * (n_F_1^ 2))))/(0.00198717*298))</f>
        <v>0.90227715518271123</v>
      </c>
      <c r="O28">
        <f>Paq_F_2* EXP(-1*(dE0_F_2*EXP((-1 * (2-(-1*zMid_F_2)) ^ 2) / (2 * (n_F_2^ 2))))/(0.00198717*298))</f>
        <v>1.0709666047314406</v>
      </c>
    </row>
    <row r="29" spans="4:15" x14ac:dyDescent="0.25">
      <c r="D29" s="31">
        <v>18</v>
      </c>
      <c r="E29">
        <v>6.5379636055758885</v>
      </c>
      <c r="F29">
        <v>221.14244125881021</v>
      </c>
      <c r="G29">
        <v>0.60780000000000001</v>
      </c>
      <c r="H29">
        <f>Paq_F_1* EXP(-1*(dE0_F_1*EXP((-1 * (18-zMid_F_1) ^ 2) / (2 * (n_F_1^ 2))))/(0.00198717*298))</f>
        <v>0.91865371342959334</v>
      </c>
      <c r="I29">
        <f t="shared" si="0"/>
        <v>3.2181180808802792E-2</v>
      </c>
      <c r="J29">
        <f>Paq_F_2* EXP(-1*(dE0_F_2*EXP((-1 * (18-(-1*zMid_F_2)) ^ 2) / (2 * (n_F_2^ 2))))/(0.00198717*298))</f>
        <v>1.2796561495752832</v>
      </c>
      <c r="K29">
        <f t="shared" si="1"/>
        <v>0.10454396526849274</v>
      </c>
      <c r="M29">
        <v>3</v>
      </c>
      <c r="N29">
        <f>Paq_F_1* EXP(-1*(dE0_F_1*EXP((-1 * (3-zMid_F_1) ^ 2) / (2 * (n_F_1^ 2))))/(0.00198717*298))</f>
        <v>0.90694487230516962</v>
      </c>
      <c r="O29">
        <f>Paq_F_2* EXP(-1*(dE0_F_2*EXP((-1 * (3-(-1*zMid_F_2)) ^ 2) / (2 * (n_F_2^ 2))))/(0.00198717*298))</f>
        <v>1.1054545248820409</v>
      </c>
    </row>
    <row r="30" spans="4:15" x14ac:dyDescent="0.25">
      <c r="D30" s="32">
        <v>19.5</v>
      </c>
      <c r="E30">
        <v>5.8370710447859651</v>
      </c>
      <c r="F30">
        <v>203.08284087537984</v>
      </c>
      <c r="G30">
        <v>0.59089999999999998</v>
      </c>
      <c r="H30">
        <f>Paq_F_1* EXP(-1*(dE0_F_1*EXP((-1 * (19.5-zMid_F_1) ^ 2) / (2 * (n_F_1^ 2))))/(0.00198717*298))</f>
        <v>0.90404107803356215</v>
      </c>
      <c r="I30">
        <f t="shared" si="0"/>
        <v>3.4104550734651205E-2</v>
      </c>
      <c r="J30">
        <f>Paq_F_2* EXP(-1*(dE0_F_2*EXP((-1 * (19.5-(-1*zMid_F_2)) ^ 2) / (2 * (n_F_2^ 2))))/(0.00198717*298))</f>
        <v>1.1787690916534934</v>
      </c>
      <c r="K30">
        <f t="shared" si="1"/>
        <v>8.994885712963753E-2</v>
      </c>
      <c r="M30">
        <v>4</v>
      </c>
      <c r="N30">
        <f>Paq_F_1* EXP(-1*(dE0_F_1*EXP((-1 * (4-zMid_F_1) ^ 2) / (2 * (n_F_1^ 2))))/(0.00198717*298))</f>
        <v>0.91865371342959334</v>
      </c>
      <c r="O30">
        <f>Paq_F_2* EXP(-1*(dE0_F_2*EXP((-1 * (4-(-1*zMid_F_2)) ^ 2) / (2 * (n_F_2^ 2))))/(0.00198717*298))</f>
        <v>1.1512579886995897</v>
      </c>
    </row>
    <row r="31" spans="4:15" x14ac:dyDescent="0.25">
      <c r="D31" s="33">
        <v>21</v>
      </c>
      <c r="E31">
        <v>5.9186224641504053</v>
      </c>
      <c r="F31">
        <v>202.23586360890673</v>
      </c>
      <c r="G31">
        <v>0.60170000000000001</v>
      </c>
      <c r="H31">
        <f>Paq_F_1* EXP(-1*(dE0_F_1*EXP((-1 * (21-zMid_F_1) ^ 2) / (2 * (n_F_1^ 2))))/(0.00198717*298))</f>
        <v>0.90065616132912496</v>
      </c>
      <c r="I31">
        <f t="shared" si="0"/>
        <v>3.0687686544101877E-2</v>
      </c>
      <c r="J31">
        <f>Paq_F_2* EXP(-1*(dE0_F_2*EXP((-1 * (21-(-1*zMid_F_2)) ^ 2) / (2 * (n_F_2^ 2))))/(0.00198717*298))</f>
        <v>1.1054545248820409</v>
      </c>
      <c r="K31">
        <f t="shared" si="1"/>
        <v>6.9780965347260318E-2</v>
      </c>
      <c r="M31">
        <v>5</v>
      </c>
      <c r="N31">
        <f>Paq_F_1* EXP(-1*(dE0_F_1*EXP((-1 * (5-zMid_F_1) ^ 2) / (2 * (n_F_1^ 2))))/(0.00198717*298))</f>
        <v>0.94428356171692018</v>
      </c>
      <c r="O31">
        <f>Paq_F_2* EXP(-1*(dE0_F_2*EXP((-1 * (5-(-1*zMid_F_2)) ^ 2) / (2 * (n_F_2^ 2))))/(0.00198717*298))</f>
        <v>1.2094124905854271</v>
      </c>
    </row>
    <row r="32" spans="4:15" x14ac:dyDescent="0.25">
      <c r="D32" s="34">
        <v>22.5</v>
      </c>
      <c r="E32">
        <v>5.4861012912098923</v>
      </c>
      <c r="F32">
        <v>185.59265872251723</v>
      </c>
      <c r="G32">
        <v>0.60770000000000002</v>
      </c>
      <c r="H32">
        <f>Paq_F_1* EXP(-1*(dE0_F_1*EXP((-1 * (22.5-zMid_F_1) ^ 2) / (2 * (n_F_1^ 2))))/(0.00198717*298))</f>
        <v>0.90007948902243184</v>
      </c>
      <c r="I32">
        <f t="shared" si="0"/>
        <v>2.9101503809895211E-2</v>
      </c>
      <c r="J32">
        <f>Paq_F_2* EXP(-1*(dE0_F_2*EXP((-1 * (22.5-(-1*zMid_F_2)) ^ 2) / (2 * (n_F_2^ 2))))/(0.00198717*298))</f>
        <v>1.0574427900813228</v>
      </c>
      <c r="K32">
        <f t="shared" si="1"/>
        <v>5.7872791375385646E-2</v>
      </c>
      <c r="M32">
        <v>6</v>
      </c>
      <c r="N32">
        <f>Paq_F_1* EXP(-1*(dE0_F_1*EXP((-1 * (6-zMid_F_1) ^ 2) / (2 * (n_F_1^ 2))))/(0.00198717*298))</f>
        <v>0.99332500341401953</v>
      </c>
      <c r="O32">
        <f>Paq_F_2* EXP(-1*(dE0_F_2*EXP((-1 * (6-(-1*zMid_F_2)) ^ 2) / (2 * (n_F_2^ 2))))/(0.00198717*298))</f>
        <v>1.2796561495752832</v>
      </c>
    </row>
    <row r="33" spans="7:15" x14ac:dyDescent="0.25">
      <c r="M33">
        <v>7</v>
      </c>
      <c r="N33">
        <f>Paq_F_1* EXP(-1*(dE0_F_1*EXP((-1 * (7-zMid_F_1) ^ 2) / (2 * (n_F_1^ 2))))/(0.00198717*298))</f>
        <v>1.0751315247200486</v>
      </c>
      <c r="O33">
        <f>Paq_F_2* EXP(-1*(dE0_F_2*EXP((-1 * (7-(-1*zMid_F_2)) ^ 2) / (2 * (n_F_2^ 2))))/(0.00198717*298))</f>
        <v>1.3597105093834376</v>
      </c>
    </row>
    <row r="34" spans="7:15" x14ac:dyDescent="0.25">
      <c r="G34" t="s">
        <v>18</v>
      </c>
      <c r="H34" s="1" t="s">
        <v>20</v>
      </c>
      <c r="I34">
        <f>SQRT(AVERAGE(I$17:I$32))</f>
        <v>0.1181432644805388</v>
      </c>
      <c r="M34">
        <v>8</v>
      </c>
      <c r="N34">
        <f>Paq_F_1* EXP(-1*(dE0_F_1*EXP((-1 * (8-zMid_F_1) ^ 2) / (2 * (n_F_1^ 2))))/(0.00198717*298))</f>
        <v>1.192145748026094</v>
      </c>
      <c r="O34">
        <f>Paq_F_2* EXP(-1*(dE0_F_2*EXP((-1 * (8-(-1*zMid_F_2)) ^ 2) / (2 * (n_F_2^ 2))))/(0.00198717*298))</f>
        <v>1.4446558884491447</v>
      </c>
    </row>
    <row r="35" spans="7:15" x14ac:dyDescent="0.25">
      <c r="G35" t="s">
        <v>19</v>
      </c>
      <c r="J35" s="1" t="s">
        <v>20</v>
      </c>
      <c r="K35">
        <f>SQRT(AVERAGE(K$2:K$17))</f>
        <v>0.18503646589105646</v>
      </c>
      <c r="M35">
        <v>9</v>
      </c>
      <c r="N35">
        <f>Paq_F_1* EXP(-1*(dE0_F_1*EXP((-1 * (9-zMid_F_1) ^ 2) / (2 * (n_F_1^ 2))))/(0.00198717*298))</f>
        <v>1.3291907590952627</v>
      </c>
      <c r="O35">
        <f>Paq_F_2* EXP(-1*(dE0_F_2*EXP((-1 * (9-(-1*zMid_F_2)) ^ 2) / (2 * (n_F_2^ 2))))/(0.00198717*298))</f>
        <v>1.5267671857473832</v>
      </c>
    </row>
    <row r="36" spans="7:15" x14ac:dyDescent="0.25">
      <c r="M36">
        <v>10</v>
      </c>
      <c r="N36">
        <f>Paq_F_1* EXP(-1*(dE0_F_1*EXP((-1 * (10-zMid_F_1) ^ 2) / (2 * (n_F_1^ 2))))/(0.00198717*298))</f>
        <v>1.4465101360195673</v>
      </c>
      <c r="O36">
        <f>Paq_F_2* EXP(-1*(dE0_F_2*EXP((-1 * (10-(-1*zMid_F_2)) ^ 2) / (2 * (n_F_2^ 2))))/(0.00198717*298))</f>
        <v>1.5962480258129612</v>
      </c>
    </row>
    <row r="37" spans="7:15" x14ac:dyDescent="0.25">
      <c r="M37">
        <v>11</v>
      </c>
      <c r="N37">
        <f>Paq_F_1* EXP(-1*(dE0_F_1*EXP((-1 * (11-zMid_F_1) ^ 2) / (2 * (n_F_1^ 2))))/(0.00198717*298))</f>
        <v>1.4936832713982582</v>
      </c>
      <c r="O37">
        <f>Paq_F_2* EXP(-1*(dE0_F_2*EXP((-1 * (11-(-1*zMid_F_2)) ^ 2) / (2 * (n_F_2^ 2))))/(0.00198717*298))</f>
        <v>1.6430826085861563</v>
      </c>
    </row>
    <row r="38" spans="7:15" x14ac:dyDescent="0.25">
      <c r="M38">
        <v>12</v>
      </c>
      <c r="N38">
        <f>Paq_F_1* EXP(-1*(dE0_F_1*EXP((-1 * (12-zMid_F_1) ^ 2) / (2 * (n_F_1^ 2))))/(0.00198717*298))</f>
        <v>1.4465101360195673</v>
      </c>
      <c r="O38">
        <f>Paq_F_2* EXP(-1*(dE0_F_2*EXP((-1 * (12-(-1*zMid_F_2)) ^ 2) / (2 * (n_F_2^ 2))))/(0.00198717*298))</f>
        <v>1.6596480793313979</v>
      </c>
    </row>
    <row r="39" spans="7:15" x14ac:dyDescent="0.25">
      <c r="M39">
        <v>13</v>
      </c>
      <c r="N39">
        <f>Paq_F_1* EXP(-1*(dE0_F_1*EXP((-1 * (13-zMid_F_1) ^ 2) / (2 * (n_F_1^ 2))))/(0.00198717*298))</f>
        <v>1.3291907590952627</v>
      </c>
      <c r="O39">
        <f>Paq_F_2* EXP(-1*(dE0_F_2*EXP((-1 * (13-(-1*zMid_F_2)) ^ 2) / (2 * (n_F_2^ 2))))/(0.00198717*298))</f>
        <v>1.6430826085861563</v>
      </c>
    </row>
    <row r="40" spans="7:15" x14ac:dyDescent="0.25">
      <c r="M40">
        <v>14</v>
      </c>
      <c r="N40">
        <f>Paq_F_1* EXP(-1*(dE0_F_1*EXP((-1 * (14-zMid_F_1) ^ 2) / (2 * (n_F_1^ 2))))/(0.00198717*298))</f>
        <v>1.192145748026094</v>
      </c>
      <c r="O40">
        <f>Paq_F_2* EXP(-1*(dE0_F_2*EXP((-1 * (14-(-1*zMid_F_2)) ^ 2) / (2 * (n_F_2^ 2))))/(0.00198717*298))</f>
        <v>1.5962480258129612</v>
      </c>
    </row>
    <row r="41" spans="7:15" x14ac:dyDescent="0.25">
      <c r="M41">
        <v>15</v>
      </c>
      <c r="N41">
        <f>Paq_F_1* EXP(-1*(dE0_F_1*EXP((-1 * (15-zMid_F_1) ^ 2) / (2 * (n_F_1^ 2))))/(0.00198717*298))</f>
        <v>1.0751315247200486</v>
      </c>
      <c r="O41">
        <f>Paq_F_2* EXP(-1*(dE0_F_2*EXP((-1 * (15-(-1*zMid_F_2)) ^ 2) / (2 * (n_F_2^ 2))))/(0.00198717*298))</f>
        <v>1.5267671857473832</v>
      </c>
    </row>
    <row r="42" spans="7:15" x14ac:dyDescent="0.25">
      <c r="M42">
        <v>16</v>
      </c>
      <c r="N42">
        <f>Paq_F_1* EXP(-1*(dE0_F_1*EXP((-1 * (16-zMid_F_1) ^ 2) / (2 * (n_F_1^ 2))))/(0.00198717*298))</f>
        <v>0.99332500341401953</v>
      </c>
      <c r="O42">
        <f>Paq_F_2* EXP(-1*(dE0_F_2*EXP((-1 * (16-(-1*zMid_F_2)) ^ 2) / (2 * (n_F_2^ 2))))/(0.00198717*298))</f>
        <v>1.4446558884491447</v>
      </c>
    </row>
    <row r="43" spans="7:15" x14ac:dyDescent="0.25">
      <c r="M43">
        <v>17</v>
      </c>
      <c r="N43">
        <f>Paq_F_1* EXP(-1*(dE0_F_1*EXP((-1 * (17-zMid_F_1) ^ 2) / (2 * (n_F_1^ 2))))/(0.00198717*298))</f>
        <v>0.94428356171692018</v>
      </c>
      <c r="O43">
        <f>Paq_F_2* EXP(-1*(dE0_F_2*EXP((-1 * (17-(-1*zMid_F_2)) ^ 2) / (2 * (n_F_2^ 2))))/(0.00198717*298))</f>
        <v>1.3597105093834376</v>
      </c>
    </row>
    <row r="44" spans="7:15" x14ac:dyDescent="0.25">
      <c r="M44">
        <v>18</v>
      </c>
      <c r="N44">
        <f>Paq_F_1* EXP(-1*(dE0_F_1*EXP((-1 * (18-zMid_F_1) ^ 2) / (2 * (n_F_1^ 2))))/(0.00198717*298))</f>
        <v>0.91865371342959334</v>
      </c>
      <c r="O44">
        <f>Paq_F_2* EXP(-1*(dE0_F_2*EXP((-1 * (18-(-1*zMid_F_2)) ^ 2) / (2 * (n_F_2^ 2))))/(0.00198717*298))</f>
        <v>1.2796561495752832</v>
      </c>
    </row>
    <row r="45" spans="7:15" x14ac:dyDescent="0.25">
      <c r="M45">
        <v>19</v>
      </c>
      <c r="N45">
        <f>Paq_F_1* EXP(-1*(dE0_F_1*EXP((-1 * (19-zMid_F_1) ^ 2) / (2 * (n_F_1^ 2))))/(0.00198717*298))</f>
        <v>0.90694487230516962</v>
      </c>
      <c r="O45">
        <f>Paq_F_2* EXP(-1*(dE0_F_2*EXP((-1 * (19-(-1*zMid_F_2)) ^ 2) / (2 * (n_F_2^ 2))))/(0.00198717*298))</f>
        <v>1.2094124905854271</v>
      </c>
    </row>
    <row r="46" spans="7:15" x14ac:dyDescent="0.25">
      <c r="M46">
        <v>20</v>
      </c>
      <c r="N46">
        <f>Paq_F_1* EXP(-1*(dE0_F_1*EXP((-1 * (20-zMid_F_1) ^ 2) / (2 * (n_F_1^ 2))))/(0.00198717*298))</f>
        <v>0.90227715518271123</v>
      </c>
      <c r="O46">
        <f>Paq_F_2* EXP(-1*(dE0_F_2*EXP((-1 * (20-(-1*zMid_F_2)) ^ 2) / (2 * (n_F_2^ 2))))/(0.00198717*298))</f>
        <v>1.1512579886995897</v>
      </c>
    </row>
    <row r="47" spans="7:15" x14ac:dyDescent="0.25">
      <c r="M47">
        <v>21</v>
      </c>
      <c r="N47">
        <f>Paq_F_1* EXP(-1*(dE0_F_1*EXP((-1 * (21-zMid_F_1) ^ 2) / (2 * (n_F_1^ 2))))/(0.00198717*298))</f>
        <v>0.90065616132912496</v>
      </c>
      <c r="O47">
        <f>Paq_F_2* EXP(-1*(dE0_F_2*EXP((-1 * (21-(-1*zMid_F_2)) ^ 2) / (2 * (n_F_2^ 2))))/(0.00198717*298))</f>
        <v>1.1054545248820409</v>
      </c>
    </row>
    <row r="48" spans="7:15" x14ac:dyDescent="0.25">
      <c r="M48">
        <v>22</v>
      </c>
      <c r="N48">
        <f>Paq_F_1* EXP(-1*(dE0_F_1*EXP((-1 * (22-zMid_F_1) ^ 2) / (2 * (n_F_1^ 2))))/(0.00198717*298))</f>
        <v>0.90016598153813743</v>
      </c>
      <c r="O48">
        <f>Paq_F_2* EXP(-1*(dE0_F_2*EXP((-1 * (22-(-1*zMid_F_2)) ^ 2) / (2 * (n_F_2^ 2))))/(0.00198717*298))</f>
        <v>1.0709666047314406</v>
      </c>
    </row>
    <row r="49" spans="13:15" x14ac:dyDescent="0.25">
      <c r="M49">
        <v>23</v>
      </c>
      <c r="N49">
        <f>Paq_F_1* EXP(-1*(dE0_F_1*EXP((-1 * (23-zMid_F_1) ^ 2) / (2 * (n_F_1^ 2))))/(0.00198717*298))</f>
        <v>0.90003684298453701</v>
      </c>
      <c r="O49">
        <f>Paq_F_2* EXP(-1*(dE0_F_2*EXP((-1 * (23-(-1*zMid_F_2)) ^ 2) / (2 * (n_F_2^ 2))))/(0.00198717*298))</f>
        <v>1.0460782666348765</v>
      </c>
    </row>
    <row r="50" spans="13:15" x14ac:dyDescent="0.25">
      <c r="M50">
        <v>24</v>
      </c>
      <c r="N50">
        <f>Paq_F_1* EXP(-1*(dE0_F_1*EXP((-1 * (24-zMid_F_1) ^ 2) / (2 * (n_F_1^ 2))))/(0.00198717*298))</f>
        <v>0.90000717517697737</v>
      </c>
      <c r="O50">
        <f>Paq_F_2* EXP(-1*(dE0_F_2*EXP((-1 * (24-(-1*zMid_F_2)) ^ 2) / (2 * (n_F_2^ 2))))/(0.00198717*298))</f>
        <v>1.0288464097558325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O50"/>
  <sheetViews>
    <sheetView topLeftCell="A37" workbookViewId="0"/>
  </sheetViews>
  <sheetFormatPr defaultRowHeight="15" x14ac:dyDescent="0.25"/>
  <cols>
    <col min="1" max="1" width="6" bestFit="1" customWidth="1"/>
    <col min="2" max="2" width="12.7109375" bestFit="1" customWidth="1"/>
    <col min="4" max="4" width="10.42578125" bestFit="1" customWidth="1"/>
    <col min="5" max="6" width="12" bestFit="1" customWidth="1"/>
    <col min="7" max="7" width="16.140625" bestFit="1" customWidth="1"/>
    <col min="8" max="11" width="12" bestFit="1" customWidth="1"/>
    <col min="13" max="13" width="3.7109375" bestFit="1" customWidth="1"/>
    <col min="14" max="15" width="12" bestFit="1" customWidth="1"/>
  </cols>
  <sheetData>
    <row r="1" spans="1:15" ht="18" x14ac:dyDescent="0.35">
      <c r="A1" s="1" t="s">
        <v>0</v>
      </c>
      <c r="B1">
        <v>4425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M1" s="1" t="s">
        <v>21</v>
      </c>
      <c r="N1" s="1" t="s">
        <v>22</v>
      </c>
      <c r="O1" s="1" t="s">
        <v>23</v>
      </c>
    </row>
    <row r="2" spans="1:15" ht="18" x14ac:dyDescent="0.35">
      <c r="A2" s="1" t="s">
        <v>1</v>
      </c>
      <c r="B2">
        <v>107.11798619375553</v>
      </c>
      <c r="D2" s="4">
        <v>-22.5</v>
      </c>
      <c r="E2">
        <v>0.52902923786059042</v>
      </c>
      <c r="F2">
        <v>37.146305786227806</v>
      </c>
      <c r="G2">
        <v>0.58830000000000005</v>
      </c>
      <c r="H2">
        <f>Paq_W_1* EXP(-1*(dE0_W_1*EXP((-1 * (22.5-zMid_W_1) ^ 2) / (2 * (n_W_1^ 2))))/(0.00198717*298))</f>
        <v>0.57398688515816254</v>
      </c>
      <c r="I2">
        <f t="shared" ref="I2:I32" si="0">IF(ISERROR((LOG(H2)-LOG(G2))^2),0,(LOG(H2)-LOG(G2))^2)</f>
        <v>1.1442321886721844E-4</v>
      </c>
      <c r="J2">
        <f>Paq_W_2* EXP(-1*(dE0_W_2*EXP((-1 * (22.5-(-1*zMid_W_2)) ^ 2) / (2 * (n_W_2^ 2))))/(0.00198717*298))</f>
        <v>0.70291340846415951</v>
      </c>
      <c r="K2">
        <f t="shared" ref="K2:K32" si="1">IF(ISERROR((LOG(J2)-LOG(G2))^2),0,(LOG(J2)-LOG(G2))^2)</f>
        <v>5.9757506267373644E-3</v>
      </c>
      <c r="M2">
        <v>-24</v>
      </c>
      <c r="N2">
        <f>Paq_W_1* EXP(-1*(dE0_W_1*EXP((-1 * (24-zMid_W_1) ^ 2) / (2 * (n_W_1^ 2))))/(0.00198717*298))</f>
        <v>0.57328951053465904</v>
      </c>
      <c r="O2">
        <f>Paq_W_2* EXP(-1*(dE0_W_2*EXP((-1 * (24-(-1*zMid_W_2)) ^ 2) / (2 * (n_W_2^ 2))))/(0.00198717*298))</f>
        <v>0.70195319843715298</v>
      </c>
    </row>
    <row r="3" spans="1:15" x14ac:dyDescent="0.25">
      <c r="D3" s="5">
        <v>-21</v>
      </c>
      <c r="E3">
        <v>1.1694425403968507</v>
      </c>
      <c r="F3">
        <v>53.383067205069459</v>
      </c>
      <c r="G3">
        <v>0.90500000000000003</v>
      </c>
      <c r="H3">
        <f>Paq_W_1* EXP(-1*(dE0_W_1*EXP((-1 * (21-zMid_W_1) ^ 2) / (2 * (n_W_1^ 2))))/(0.00198717*298))</f>
        <v>0.57769148374869195</v>
      </c>
      <c r="I3">
        <f t="shared" si="0"/>
        <v>3.8006521677479657E-2</v>
      </c>
      <c r="J3">
        <f>Paq_W_2* EXP(-1*(dE0_W_2*EXP((-1 * (21-(-1*zMid_W_2)) ^ 2) / (2 * (n_W_2^ 2))))/(0.00198717*298))</f>
        <v>0.70650364857412296</v>
      </c>
      <c r="K3">
        <f t="shared" si="1"/>
        <v>1.1563597760984708E-2</v>
      </c>
      <c r="M3">
        <v>-23</v>
      </c>
      <c r="N3">
        <f>Paq_W_1* EXP(-1*(dE0_W_1*EXP((-1 * (23-zMid_W_1) ^ 2) / (2 * (n_W_1^ 2))))/(0.00198717*298))</f>
        <v>0.57360943628671268</v>
      </c>
      <c r="O3">
        <f>Paq_W_2* EXP(-1*(dE0_W_2*EXP((-1 * (23-(-1*zMid_W_2)) ^ 2) / (2 * (n_W_2^ 2))))/(0.00198717*298))</f>
        <v>0.70243701706287109</v>
      </c>
    </row>
    <row r="4" spans="1:15" ht="18" x14ac:dyDescent="0.35">
      <c r="A4" s="2" t="s">
        <v>2</v>
      </c>
      <c r="B4">
        <v>0.57317432934753232</v>
      </c>
      <c r="D4" s="6">
        <v>-19.5</v>
      </c>
      <c r="E4">
        <v>2.1340632402012303</v>
      </c>
      <c r="F4">
        <v>104.67349192897072</v>
      </c>
      <c r="G4">
        <v>0.84219999999999995</v>
      </c>
      <c r="H4">
        <f>Paq_W_1* EXP(-1*(dE0_W_1*EXP((-1 * (19.5-zMid_W_1) ^ 2) / (2 * (n_W_1^ 2))))/(0.00198717*298))</f>
        <v>0.59310969429498406</v>
      </c>
      <c r="I4">
        <f t="shared" si="0"/>
        <v>2.318926373131671E-2</v>
      </c>
      <c r="J4">
        <f>Paq_W_2* EXP(-1*(dE0_W_2*EXP((-1 * (19.5-(-1*zMid_W_2)) ^ 2) / (2 * (n_W_2^ 2))))/(0.00198717*298))</f>
        <v>0.71781433348533785</v>
      </c>
      <c r="K4">
        <f t="shared" si="1"/>
        <v>4.8167918034503158E-3</v>
      </c>
      <c r="M4">
        <v>-22</v>
      </c>
      <c r="N4">
        <f>Paq_W_1* EXP(-1*(dE0_W_1*EXP((-1 * (22-zMid_W_1) ^ 2) / (2 * (n_W_1^ 2))))/(0.00198717*298))</f>
        <v>0.57465206774350386</v>
      </c>
      <c r="O4">
        <f>Paq_W_2* EXP(-1*(dE0_W_2*EXP((-1 * (22-(-1*zMid_W_2)) ^ 2) / (2 * (n_W_2^ 2))))/(0.00198717*298))</f>
        <v>0.70365692331364438</v>
      </c>
    </row>
    <row r="5" spans="1:15" ht="18" x14ac:dyDescent="0.35">
      <c r="A5" s="2" t="s">
        <v>3</v>
      </c>
      <c r="B5">
        <v>-0.89528623511692806</v>
      </c>
      <c r="D5" s="7">
        <v>-18</v>
      </c>
      <c r="E5">
        <v>3.2020233497221571</v>
      </c>
      <c r="F5">
        <v>171.11905245556184</v>
      </c>
      <c r="G5">
        <v>0.77300000000000002</v>
      </c>
      <c r="H5">
        <f>Paq_W_1* EXP(-1*(dE0_W_1*EXP((-1 * (18-zMid_W_1) ^ 2) / (2 * (n_W_1^ 2))))/(0.00198717*298))</f>
        <v>0.64433932020036411</v>
      </c>
      <c r="I5">
        <f t="shared" si="0"/>
        <v>6.2512519842625614E-3</v>
      </c>
      <c r="J5">
        <f>Paq_W_2* EXP(-1*(dE0_W_2*EXP((-1 * (18-(-1*zMid_W_2)) ^ 2) / (2 * (n_W_2^ 2))))/(0.00198717*298))</f>
        <v>0.74803298422131237</v>
      </c>
      <c r="K5">
        <f t="shared" si="1"/>
        <v>2.0331182570478026E-4</v>
      </c>
      <c r="M5">
        <v>-21</v>
      </c>
      <c r="N5">
        <f>Paq_W_1* EXP(-1*(dE0_W_1*EXP((-1 * (21-zMid_W_1) ^ 2) / (2 * (n_W_1^ 2))))/(0.00198717*298))</f>
        <v>0.57769148374869195</v>
      </c>
      <c r="O5">
        <f>Paq_W_2* EXP(-1*(dE0_W_2*EXP((-1 * (21-(-1*zMid_W_2)) ^ 2) / (2 * (n_W_2^ 2))))/(0.00198717*298))</f>
        <v>0.70650364857412296</v>
      </c>
    </row>
    <row r="6" spans="1:15" ht="18" x14ac:dyDescent="0.35">
      <c r="A6" s="2" t="s">
        <v>4</v>
      </c>
      <c r="B6">
        <v>11.085709333849806</v>
      </c>
      <c r="D6" s="8">
        <v>-16.5</v>
      </c>
      <c r="E6">
        <v>5.1410073512609857</v>
      </c>
      <c r="F6">
        <v>239.24085021505925</v>
      </c>
      <c r="G6">
        <v>0.88770000000000004</v>
      </c>
      <c r="H6">
        <f>Paq_W_1* EXP(-1*(dE0_W_1*EXP((-1 * (16.5-zMid_W_1) ^ 2) / (2 * (n_W_1^ 2))))/(0.00198717*298))</f>
        <v>0.78530581384444931</v>
      </c>
      <c r="I6">
        <f t="shared" si="0"/>
        <v>2.8331568782256149E-3</v>
      </c>
      <c r="J6">
        <f>Paq_W_2* EXP(-1*(dE0_W_2*EXP((-1 * (16.5-(-1*zMid_W_2)) ^ 2) / (2 * (n_W_2^ 2))))/(0.00198717*298))</f>
        <v>0.81730604878504265</v>
      </c>
      <c r="K6">
        <f t="shared" si="1"/>
        <v>1.2874825293555368E-3</v>
      </c>
      <c r="M6">
        <v>-20</v>
      </c>
      <c r="N6">
        <f>Paq_W_1* EXP(-1*(dE0_W_1*EXP((-1 * (20-zMid_W_1) ^ 2) / (2 * (n_W_1^ 2))))/(0.00198717*298))</f>
        <v>0.58563299850834571</v>
      </c>
      <c r="O6">
        <f>Paq_W_2* EXP(-1*(dE0_W_2*EXP((-1 * (20-(-1*zMid_W_2)) ^ 2) / (2 * (n_W_2^ 2))))/(0.00198717*298))</f>
        <v>0.71265660334746217</v>
      </c>
    </row>
    <row r="7" spans="1:15" x14ac:dyDescent="0.25">
      <c r="A7" s="2" t="s">
        <v>5</v>
      </c>
      <c r="B7">
        <v>3.0565400655753656</v>
      </c>
      <c r="D7" s="9">
        <v>-15</v>
      </c>
      <c r="E7">
        <v>7.4747651002973772</v>
      </c>
      <c r="F7">
        <v>301.1099037843893</v>
      </c>
      <c r="G7">
        <v>1.0255000000000001</v>
      </c>
      <c r="H7">
        <f>Paq_W_1* EXP(-1*(dE0_W_1*EXP((-1 * (15-zMid_W_1) ^ 2) / (2 * (n_W_1^ 2))))/(0.00198717*298))</f>
        <v>1.1154986377866272</v>
      </c>
      <c r="I7">
        <f t="shared" si="0"/>
        <v>1.3346878226917955E-3</v>
      </c>
      <c r="J7">
        <f>Paq_W_2* EXP(-1*(dE0_W_2*EXP((-1 * (15-(-1*zMid_W_2)) ^ 2) / (2 * (n_W_2^ 2))))/(0.00198717*298))</f>
        <v>0.95493827168300205</v>
      </c>
      <c r="K7">
        <f t="shared" si="1"/>
        <v>9.5854423264568373E-4</v>
      </c>
      <c r="M7">
        <v>-19</v>
      </c>
      <c r="N7">
        <f>Paq_W_1* EXP(-1*(dE0_W_1*EXP((-1 * (19-zMid_W_1) ^ 2) / (2 * (n_W_1^ 2))))/(0.00198717*298))</f>
        <v>0.60432629211145872</v>
      </c>
      <c r="O7">
        <f>Paq_W_2* EXP(-1*(dE0_W_2*EXP((-1 * (19-(-1*zMid_W_2)) ^ 2) / (2 * (n_W_2^ 2))))/(0.00198717*298))</f>
        <v>0.7249969758471253</v>
      </c>
    </row>
    <row r="8" spans="1:15" x14ac:dyDescent="0.25">
      <c r="D8" s="10">
        <v>-13.5</v>
      </c>
      <c r="E8">
        <v>9.496489994529373</v>
      </c>
      <c r="F8">
        <v>325.144691447757</v>
      </c>
      <c r="G8">
        <v>1.2064999999999999</v>
      </c>
      <c r="H8">
        <f>Paq_W_1* EXP(-1*(dE0_W_1*EXP((-1 * (13.5-zMid_W_1) ^ 2) / (2 * (n_W_1^ 2))))/(0.00198717*298))</f>
        <v>1.7334922090306777</v>
      </c>
      <c r="I8">
        <f t="shared" si="0"/>
        <v>2.4773049994484587E-2</v>
      </c>
      <c r="J8">
        <f>Paq_W_2* EXP(-1*(dE0_W_2*EXP((-1 * (13.5-(-1*zMid_W_2)) ^ 2) / (2 * (n_W_2^ 2))))/(0.00198717*298))</f>
        <v>1.1891011273050953</v>
      </c>
      <c r="K8">
        <f t="shared" si="1"/>
        <v>3.9797618997887722E-5</v>
      </c>
      <c r="M8">
        <v>-18</v>
      </c>
      <c r="N8">
        <f>Paq_W_1* EXP(-1*(dE0_W_1*EXP((-1 * (18-zMid_W_1) ^ 2) / (2 * (n_W_1^ 2))))/(0.00198717*298))</f>
        <v>0.64433932020036411</v>
      </c>
      <c r="O8">
        <f>Paq_W_2* EXP(-1*(dE0_W_2*EXP((-1 * (18-(-1*zMid_W_2)) ^ 2) / (2 * (n_W_2^ 2))))/(0.00198717*298))</f>
        <v>0.74803298422131237</v>
      </c>
    </row>
    <row r="9" spans="1:15" ht="18" x14ac:dyDescent="0.35">
      <c r="A9" s="3" t="s">
        <v>6</v>
      </c>
      <c r="B9">
        <v>0.70168884985017377</v>
      </c>
      <c r="D9" s="11">
        <v>-12</v>
      </c>
      <c r="E9">
        <v>11.736530563488241</v>
      </c>
      <c r="F9">
        <v>335.09215104301728</v>
      </c>
      <c r="G9">
        <v>1.4469000000000001</v>
      </c>
      <c r="H9">
        <f>Paq_W_1* EXP(-1*(dE0_W_1*EXP((-1 * (12-zMid_W_1) ^ 2) / (2 * (n_W_1^ 2))))/(0.00198717*298))</f>
        <v>2.4330467002022251</v>
      </c>
      <c r="I9">
        <f t="shared" si="0"/>
        <v>5.0945874564173717E-2</v>
      </c>
      <c r="J9">
        <f>Paq_W_2* EXP(-1*(dE0_W_2*EXP((-1 * (12-(-1*zMid_W_2)) ^ 2) / (2 * (n_W_2^ 2))))/(0.00198717*298))</f>
        <v>1.5077570726434055</v>
      </c>
      <c r="K9">
        <f t="shared" si="1"/>
        <v>3.2015435706830386E-4</v>
      </c>
      <c r="M9">
        <v>-17</v>
      </c>
      <c r="N9">
        <f>Paq_W_1* EXP(-1*(dE0_W_1*EXP((-1 * (17-zMid_W_1) ^ 2) / (2 * (n_W_1^ 2))))/(0.00198717*298))</f>
        <v>0.72323044886167065</v>
      </c>
      <c r="O9">
        <f>Paq_W_2* EXP(-1*(dE0_W_2*EXP((-1 * (17-(-1*zMid_W_2)) ^ 2) / (2 * (n_W_2^ 2))))/(0.00198717*298))</f>
        <v>0.78821798068597826</v>
      </c>
    </row>
    <row r="10" spans="1:15" ht="18" x14ac:dyDescent="0.35">
      <c r="A10" s="3" t="s">
        <v>7</v>
      </c>
      <c r="B10">
        <v>-0.58240974364054299</v>
      </c>
      <c r="D10" s="12">
        <v>-10.5</v>
      </c>
      <c r="E10">
        <v>13.201480884525635</v>
      </c>
      <c r="F10">
        <v>329.71261028763035</v>
      </c>
      <c r="G10">
        <v>1.6539999999999999</v>
      </c>
      <c r="H10">
        <f>Paq_W_1* EXP(-1*(dE0_W_1*EXP((-1 * (10.5-zMid_W_1) ^ 2) / (2 * (n_W_1^ 2))))/(0.00198717*298))</f>
        <v>2.5289059774057487</v>
      </c>
      <c r="I10">
        <f t="shared" si="0"/>
        <v>3.4002319152937971E-2</v>
      </c>
      <c r="J10">
        <f>Paq_W_2* EXP(-1*(dE0_W_2*EXP((-1 * (10.5-(-1*zMid_W_2)) ^ 2) / (2 * (n_W_2^ 2))))/(0.00198717*298))</f>
        <v>1.7957746125700826</v>
      </c>
      <c r="K10">
        <f t="shared" si="1"/>
        <v>1.275655678149147E-3</v>
      </c>
      <c r="M10">
        <v>-16</v>
      </c>
      <c r="N10">
        <f>Paq_W_1* EXP(-1*(dE0_W_1*EXP((-1 * (16-zMid_W_1) ^ 2) / (2 * (n_W_1^ 2))))/(0.00198717*298))</f>
        <v>0.86811099857198892</v>
      </c>
      <c r="O10">
        <f>Paq_W_2* EXP(-1*(dE0_W_2*EXP((-1 * (16-(-1*zMid_W_2)) ^ 2) / (2 * (n_W_2^ 2))))/(0.00198717*298))</f>
        <v>0.85396818260026741</v>
      </c>
    </row>
    <row r="11" spans="1:15" ht="18" x14ac:dyDescent="0.35">
      <c r="A11" s="3" t="s">
        <v>8</v>
      </c>
      <c r="B11">
        <v>-9.3880355799558419</v>
      </c>
      <c r="D11" s="13">
        <v>-9</v>
      </c>
      <c r="E11">
        <v>11.191495500862398</v>
      </c>
      <c r="F11">
        <v>284.46716551243782</v>
      </c>
      <c r="G11">
        <v>1.6252</v>
      </c>
      <c r="H11">
        <f>Paq_W_1* EXP(-1*(dE0_W_1*EXP((-1 * (9-zMid_W_1) ^ 2) / (2 * (n_W_1^ 2))))/(0.00198717*298))</f>
        <v>1.8988999585643556</v>
      </c>
      <c r="I11">
        <f t="shared" si="0"/>
        <v>4.5691207106141867E-3</v>
      </c>
      <c r="J11">
        <f>Paq_W_2* EXP(-1*(dE0_W_2*EXP((-1 * (9-(-1*zMid_W_2)) ^ 2) / (2 * (n_W_2^ 2))))/(0.00198717*298))</f>
        <v>1.8660050472986496</v>
      </c>
      <c r="K11">
        <f t="shared" si="1"/>
        <v>3.6007200920752801E-3</v>
      </c>
      <c r="M11">
        <v>-15</v>
      </c>
      <c r="N11">
        <f>Paq_W_1* EXP(-1*(dE0_W_1*EXP((-1 * (15-zMid_W_1) ^ 2) / (2 * (n_W_1^ 2))))/(0.00198717*298))</f>
        <v>1.1154986377866272</v>
      </c>
      <c r="O11">
        <f>Paq_W_2* EXP(-1*(dE0_W_2*EXP((-1 * (15-(-1*zMid_W_2)) ^ 2) / (2 * (n_W_2^ 2))))/(0.00198717*298))</f>
        <v>0.95493827168300205</v>
      </c>
    </row>
    <row r="12" spans="1:15" x14ac:dyDescent="0.25">
      <c r="A12" s="3" t="s">
        <v>9</v>
      </c>
      <c r="B12">
        <v>3.6836154549829372</v>
      </c>
      <c r="D12" s="14">
        <v>-7.5</v>
      </c>
      <c r="E12">
        <v>10.362903247310159</v>
      </c>
      <c r="F12">
        <v>233.0137027127592</v>
      </c>
      <c r="G12">
        <v>1.8371999999999999</v>
      </c>
      <c r="H12">
        <f>Paq_W_1* EXP(-1*(dE0_W_1*EXP((-1 * (7.5-zMid_W_1) ^ 2) / (2 * (n_W_1^ 2))))/(0.00198717*298))</f>
        <v>1.2252902792219358</v>
      </c>
      <c r="I12">
        <f t="shared" si="0"/>
        <v>3.0946948747903939E-2</v>
      </c>
      <c r="J12">
        <f>Paq_W_2* EXP(-1*(dE0_W_2*EXP((-1 * (7.5-(-1*zMid_W_2)) ^ 2) / (2 * (n_W_2^ 2))))/(0.00198717*298))</f>
        <v>1.6622621823083124</v>
      </c>
      <c r="K12">
        <f t="shared" si="1"/>
        <v>1.8885032243879827E-3</v>
      </c>
      <c r="M12">
        <v>-14</v>
      </c>
      <c r="N12">
        <f>Paq_W_1* EXP(-1*(dE0_W_1*EXP((-1 * (14-zMid_W_1) ^ 2) / (2 * (n_W_1^ 2))))/(0.00198717*298))</f>
        <v>1.4964069974104877</v>
      </c>
      <c r="O12">
        <f>Paq_W_2* EXP(-1*(dE0_W_2*EXP((-1 * (14-(-1*zMid_W_2)) ^ 2) / (2 * (n_W_2^ 2))))/(0.00198717*298))</f>
        <v>1.0995268051168292</v>
      </c>
    </row>
    <row r="13" spans="1:15" x14ac:dyDescent="0.25">
      <c r="D13" s="15">
        <v>-6</v>
      </c>
      <c r="E13">
        <v>10.251803195604351</v>
      </c>
      <c r="F13">
        <v>229.72199232624777</v>
      </c>
      <c r="G13">
        <v>1.8434999999999999</v>
      </c>
      <c r="H13">
        <f>Paq_W_1* EXP(-1*(dE0_W_1*EXP((-1 * (6-zMid_W_1) ^ 2) / (2 * (n_W_1^ 2))))/(0.00198717*298))</f>
        <v>0.83708828944811198</v>
      </c>
      <c r="I13">
        <f t="shared" si="0"/>
        <v>0.11756112306930602</v>
      </c>
      <c r="J13">
        <f>Paq_W_2* EXP(-1*(dE0_W_2*EXP((-1 * (6-(-1*zMid_W_2)) ^ 2) / (2 * (n_W_2^ 2))))/(0.00198717*298))</f>
        <v>1.3364588830077473</v>
      </c>
      <c r="K13">
        <f t="shared" si="1"/>
        <v>1.9512608827070226E-2</v>
      </c>
      <c r="M13">
        <v>-13</v>
      </c>
      <c r="N13">
        <f>Paq_W_1* EXP(-1*(dE0_W_1*EXP((-1 * (13-zMid_W_1) ^ 2) / (2 * (n_W_1^ 2))))/(0.00198717*298))</f>
        <v>1.985852148530062</v>
      </c>
      <c r="O13">
        <f>Paq_W_2* EXP(-1*(dE0_W_2*EXP((-1 * (13-(-1*zMid_W_2)) ^ 2) / (2 * (n_W_2^ 2))))/(0.00198717*298))</f>
        <v>1.2889958899745517</v>
      </c>
    </row>
    <row r="14" spans="1:15" x14ac:dyDescent="0.25">
      <c r="D14" s="16">
        <v>-4.5</v>
      </c>
      <c r="E14">
        <v>6.1395955874776105</v>
      </c>
      <c r="F14">
        <v>238.06457551464311</v>
      </c>
      <c r="G14">
        <v>1.0653999999999999</v>
      </c>
      <c r="H14">
        <f>Paq_W_1* EXP(-1*(dE0_W_1*EXP((-1 * (4.5-zMid_W_1) ^ 2) / (2 * (n_W_1^ 2))))/(0.00198717*298))</f>
        <v>0.6648659354520754</v>
      </c>
      <c r="I14">
        <f t="shared" si="0"/>
        <v>4.1934279153575206E-2</v>
      </c>
      <c r="J14">
        <f>Paq_W_2* EXP(-1*(dE0_W_2*EXP((-1 * (4.5-(-1*zMid_W_2)) ^ 2) / (2 * (n_W_2^ 2))))/(0.00198717*298))</f>
        <v>1.0549623531373</v>
      </c>
      <c r="K14">
        <f t="shared" si="1"/>
        <v>1.8281871785921505E-5</v>
      </c>
      <c r="M14">
        <v>-12</v>
      </c>
      <c r="N14">
        <f>Paq_W_1* EXP(-1*(dE0_W_1*EXP((-1 * (12-zMid_W_1) ^ 2) / (2 * (n_W_1^ 2))))/(0.00198717*298))</f>
        <v>2.4330467002022251</v>
      </c>
      <c r="O14">
        <f>Paq_W_2* EXP(-1*(dE0_W_2*EXP((-1 * (12-(-1*zMid_W_2)) ^ 2) / (2 * (n_W_2^ 2))))/(0.00198717*298))</f>
        <v>1.5077570726434055</v>
      </c>
    </row>
    <row r="15" spans="1:15" x14ac:dyDescent="0.25">
      <c r="D15" s="17">
        <v>-3</v>
      </c>
      <c r="E15">
        <v>2.9786233899772072</v>
      </c>
      <c r="F15">
        <v>209.69845561618712</v>
      </c>
      <c r="G15">
        <v>0.58679999999999999</v>
      </c>
      <c r="H15">
        <f>Paq_W_1* EXP(-1*(dE0_W_1*EXP((-1 * (3-zMid_W_1) ^ 2) / (2 * (n_W_1^ 2))))/(0.00198717*298))</f>
        <v>0.59997555926964041</v>
      </c>
      <c r="I15">
        <f t="shared" si="0"/>
        <v>9.2996206236791251E-5</v>
      </c>
      <c r="J15">
        <f>Paq_W_2* EXP(-1*(dE0_W_2*EXP((-1 * (3-(-1*zMid_W_2)) ^ 2) / (2 * (n_W_2^ 2))))/(0.00198717*298))</f>
        <v>0.8731728212939347</v>
      </c>
      <c r="K15">
        <f t="shared" si="1"/>
        <v>2.9794248024515444E-2</v>
      </c>
      <c r="M15">
        <v>-11</v>
      </c>
      <c r="N15">
        <f>Paq_W_1* EXP(-1*(dE0_W_1*EXP((-1 * (11-zMid_W_1) ^ 2) / (2 * (n_W_1^ 2))))/(0.00198717*298))</f>
        <v>2.5978833675299233</v>
      </c>
      <c r="O15">
        <f>Paq_W_2* EXP(-1*(dE0_W_2*EXP((-1 * (11-(-1*zMid_W_2)) ^ 2) / (2 * (n_W_2^ 2))))/(0.00198717*298))</f>
        <v>1.7150460909601364</v>
      </c>
    </row>
    <row r="16" spans="1:15" x14ac:dyDescent="0.25">
      <c r="D16" s="18">
        <v>-1.5</v>
      </c>
      <c r="E16">
        <v>3.1631975458524955</v>
      </c>
      <c r="F16">
        <v>193.12505159558162</v>
      </c>
      <c r="G16">
        <v>0.67659999999999998</v>
      </c>
      <c r="H16">
        <f>Paq_W_1* EXP(-1*(dE0_W_1*EXP((-1 * (1.5-zMid_W_1) ^ 2) / (2 * (n_W_1^ 2))))/(0.00198717*298))</f>
        <v>0.57954946874966695</v>
      </c>
      <c r="I16">
        <f t="shared" si="0"/>
        <v>4.5214168191056075E-3</v>
      </c>
      <c r="J16">
        <f>Paq_W_2* EXP(-1*(dE0_W_2*EXP((-1 * (1.5-(-1*zMid_W_2)) ^ 2) / (2 * (n_W_2^ 2))))/(0.00198717*298))</f>
        <v>0.77496008304598818</v>
      </c>
      <c r="K16">
        <f t="shared" si="1"/>
        <v>3.4747888714436207E-3</v>
      </c>
      <c r="M16">
        <v>-10</v>
      </c>
      <c r="N16">
        <f>Paq_W_1* EXP(-1*(dE0_W_1*EXP((-1 * (10-zMid_W_1) ^ 2) / (2 * (n_W_1^ 2))))/(0.00198717*298))</f>
        <v>2.3699282802625921</v>
      </c>
      <c r="O16">
        <f>Paq_W_2* EXP(-1*(dE0_W_2*EXP((-1 * (10-(-1*zMid_W_2)) ^ 2) / (2 * (n_W_2^ 2))))/(0.00198717*298))</f>
        <v>1.8510675669938177</v>
      </c>
    </row>
    <row r="17" spans="4:15" x14ac:dyDescent="0.25">
      <c r="D17" s="19">
        <v>0</v>
      </c>
      <c r="E17">
        <v>3.2552342190744543</v>
      </c>
      <c r="F17">
        <v>197.31337553026106</v>
      </c>
      <c r="G17">
        <v>0.68149999999999999</v>
      </c>
      <c r="H17">
        <f>Paq_W_1* EXP(-1*(dE0_W_1*EXP((-1 * (0-zMid_W_1) ^ 2) / (2 * (n_W_1^ 2))))/(0.00198717*298))</f>
        <v>0.57438170019467794</v>
      </c>
      <c r="I17">
        <f t="shared" si="0"/>
        <v>5.5153296362465245E-3</v>
      </c>
      <c r="J17">
        <f>Paq_W_2* EXP(-1*(dE0_W_2*EXP((-1 * (0-(-1*zMid_W_2)) ^ 2) / (2 * (n_W_2^ 2))))/(0.00198717*298))</f>
        <v>0.72902936529887463</v>
      </c>
      <c r="K17">
        <f t="shared" si="1"/>
        <v>8.5726932033555129E-4</v>
      </c>
      <c r="M17">
        <v>-9</v>
      </c>
      <c r="N17">
        <f>Paq_W_1* EXP(-1*(dE0_W_1*EXP((-1 * (9-zMid_W_1) ^ 2) / (2 * (n_W_1^ 2))))/(0.00198717*298))</f>
        <v>1.8988999585643556</v>
      </c>
      <c r="O17">
        <f>Paq_W_2* EXP(-1*(dE0_W_2*EXP((-1 * (9-(-1*zMid_W_2)) ^ 2) / (2 * (n_W_2^ 2))))/(0.00198717*298))</f>
        <v>1.8660050472986496</v>
      </c>
    </row>
    <row r="18" spans="4:15" x14ac:dyDescent="0.25">
      <c r="D18" s="20">
        <v>1.5</v>
      </c>
      <c r="E18">
        <v>2.0975747507525262</v>
      </c>
      <c r="F18">
        <v>211.87289009819162</v>
      </c>
      <c r="G18">
        <v>0.40899999999999997</v>
      </c>
      <c r="H18">
        <f>Paq_W_1* EXP(-1*(dE0_W_1*EXP((-1 * (1.5-zMid_W_1) ^ 2) / (2 * (n_W_1^ 2))))/(0.00198717*298))</f>
        <v>0.57954946874966695</v>
      </c>
      <c r="I18">
        <f t="shared" si="0"/>
        <v>2.2912030464249673E-2</v>
      </c>
      <c r="J18">
        <f>Paq_W_2* EXP(-1*(dE0_W_2*EXP((-1 * (1.5-(-1*zMid_W_2)) ^ 2) / (2 * (n_W_2^ 2))))/(0.00198717*298))</f>
        <v>0.77496008304598818</v>
      </c>
      <c r="K18">
        <f t="shared" si="1"/>
        <v>7.703734715875947E-2</v>
      </c>
      <c r="M18">
        <v>-8</v>
      </c>
      <c r="N18">
        <f>Paq_W_1* EXP(-1*(dE0_W_1*EXP((-1 * (8-zMid_W_1) ^ 2) / (2 * (n_W_1^ 2))))/(0.00198717*298))</f>
        <v>1.4214412172287625</v>
      </c>
      <c r="O18">
        <f>Paq_W_2* EXP(-1*(dE0_W_2*EXP((-1 * (8-(-1*zMid_W_2)) ^ 2) / (2 * (n_W_2^ 2))))/(0.00198717*298))</f>
        <v>1.7538953048424544</v>
      </c>
    </row>
    <row r="19" spans="4:15" x14ac:dyDescent="0.25">
      <c r="D19" s="21">
        <v>3</v>
      </c>
      <c r="E19">
        <v>1.7768960694930187</v>
      </c>
      <c r="F19">
        <v>212.60048258233337</v>
      </c>
      <c r="G19">
        <v>0.3453</v>
      </c>
      <c r="H19">
        <f>Paq_W_1* EXP(-1*(dE0_W_1*EXP((-1 * (3-zMid_W_1) ^ 2) / (2 * (n_W_1^ 2))))/(0.00198717*298))</f>
        <v>0.59997555926964041</v>
      </c>
      <c r="I19">
        <f t="shared" si="0"/>
        <v>5.7569754795401863E-2</v>
      </c>
      <c r="J19">
        <f>Paq_W_2* EXP(-1*(dE0_W_2*EXP((-1 * (3-(-1*zMid_W_2)) ^ 2) / (2 * (n_W_2^ 2))))/(0.00198717*298))</f>
        <v>0.8731728212939347</v>
      </c>
      <c r="K19">
        <f t="shared" si="1"/>
        <v>0.16233133577985775</v>
      </c>
      <c r="M19">
        <v>-7</v>
      </c>
      <c r="N19">
        <f>Paq_W_1* EXP(-1*(dE0_W_1*EXP((-1 * (7-zMid_W_1) ^ 2) / (2 * (n_W_1^ 2))))/(0.00198717*298))</f>
        <v>1.0641554495089904</v>
      </c>
      <c r="O19">
        <f>Paq_W_2* EXP(-1*(dE0_W_2*EXP((-1 * (7-(-1*zMid_W_2)) ^ 2) / (2 * (n_W_2^ 2))))/(0.00198717*298))</f>
        <v>1.5571239099194503</v>
      </c>
    </row>
    <row r="20" spans="4:15" x14ac:dyDescent="0.25">
      <c r="D20" s="22">
        <v>4.5</v>
      </c>
      <c r="E20">
        <v>3.3052690322739271</v>
      </c>
      <c r="F20">
        <v>207.82615645104704</v>
      </c>
      <c r="G20">
        <v>0.65700000000000003</v>
      </c>
      <c r="H20">
        <f>Paq_W_1* EXP(-1*(dE0_W_1*EXP((-1 * (4.5-zMid_W_1) ^ 2) / (2 * (n_W_1^ 2))))/(0.00198717*298))</f>
        <v>0.6648659354520754</v>
      </c>
      <c r="I20">
        <f t="shared" si="0"/>
        <v>2.6715591918517464E-5</v>
      </c>
      <c r="J20">
        <f>Paq_W_2* EXP(-1*(dE0_W_2*EXP((-1 * (4.5-(-1*zMid_W_2)) ^ 2) / (2 * (n_W_2^ 2))))/(0.00198717*298))</f>
        <v>1.0549623531373</v>
      </c>
      <c r="K20">
        <f t="shared" si="1"/>
        <v>4.2300803892880608E-2</v>
      </c>
      <c r="M20">
        <v>-6</v>
      </c>
      <c r="N20">
        <f>Paq_W_1* EXP(-1*(dE0_W_1*EXP((-1 * (6-zMid_W_1) ^ 2) / (2 * (n_W_1^ 2))))/(0.00198717*298))</f>
        <v>0.83708828944811198</v>
      </c>
      <c r="O20">
        <f>Paq_W_2* EXP(-1*(dE0_W_2*EXP((-1 * (6-(-1*zMid_W_2)) ^ 2) / (2 * (n_W_2^ 2))))/(0.00198717*298))</f>
        <v>1.3364588830077473</v>
      </c>
    </row>
    <row r="21" spans="4:15" x14ac:dyDescent="0.25">
      <c r="D21" s="23">
        <v>6</v>
      </c>
      <c r="E21">
        <v>4.3031450773278577</v>
      </c>
      <c r="F21">
        <v>218.70380004479716</v>
      </c>
      <c r="G21">
        <v>0.81279999999999997</v>
      </c>
      <c r="H21">
        <f>Paq_W_1* EXP(-1*(dE0_W_1*EXP((-1 * (6-zMid_W_1) ^ 2) / (2 * (n_W_1^ 2))))/(0.00198717*298))</f>
        <v>0.83708828944811198</v>
      </c>
      <c r="I21">
        <f t="shared" si="0"/>
        <v>1.6352198267287365E-4</v>
      </c>
      <c r="J21">
        <f>Paq_W_2* EXP(-1*(dE0_W_2*EXP((-1 * (6-(-1*zMid_W_2)) ^ 2) / (2 * (n_W_2^ 2))))/(0.00198717*298))</f>
        <v>1.3364588830077473</v>
      </c>
      <c r="K21">
        <f t="shared" si="1"/>
        <v>4.6643864620671202E-2</v>
      </c>
      <c r="M21">
        <v>-5</v>
      </c>
      <c r="N21">
        <f>Paq_W_1* EXP(-1*(dE0_W_1*EXP((-1 * (5-zMid_W_1) ^ 2) / (2 * (n_W_1^ 2))))/(0.00198717*298))</f>
        <v>0.70590916841640527</v>
      </c>
      <c r="O21">
        <f>Paq_W_2* EXP(-1*(dE0_W_2*EXP((-1 * (5-(-1*zMid_W_2)) ^ 2) / (2 * (n_W_2^ 2))))/(0.00198717*298))</f>
        <v>1.1382644032927662</v>
      </c>
    </row>
    <row r="22" spans="4:15" x14ac:dyDescent="0.25">
      <c r="D22" s="24">
        <v>7.5</v>
      </c>
      <c r="E22">
        <v>6.7807217350140236</v>
      </c>
      <c r="F22">
        <v>210.91142211418727</v>
      </c>
      <c r="G22">
        <v>1.3281000000000001</v>
      </c>
      <c r="H22">
        <f>Paq_W_1* EXP(-1*(dE0_W_1*EXP((-1 * (7.5-zMid_W_1) ^ 2) / (2 * (n_W_1^ 2))))/(0.00198717*298))</f>
        <v>1.2252902792219358</v>
      </c>
      <c r="I22">
        <f t="shared" si="0"/>
        <v>1.2244252712773436E-3</v>
      </c>
      <c r="J22">
        <f>Paq_W_2* EXP(-1*(dE0_W_2*EXP((-1 * (7.5-(-1*zMid_W_2)) ^ 2) / (2 * (n_W_2^ 2))))/(0.00198717*298))</f>
        <v>1.6622621823083124</v>
      </c>
      <c r="K22">
        <f t="shared" si="1"/>
        <v>9.5001567925147041E-3</v>
      </c>
      <c r="M22">
        <v>-4</v>
      </c>
      <c r="N22">
        <f>Paq_W_1* EXP(-1*(dE0_W_1*EXP((-1 * (4-zMid_W_1) ^ 2) / (2 * (n_W_1^ 2))))/(0.00198717*298))</f>
        <v>0.63531369618574551</v>
      </c>
      <c r="O22">
        <f>Paq_W_2* EXP(-1*(dE0_W_2*EXP((-1 * (4-(-1*zMid_W_2)) ^ 2) / (2 * (n_W_2^ 2))))/(0.00198717*298))</f>
        <v>0.98331112420590738</v>
      </c>
    </row>
    <row r="23" spans="4:15" x14ac:dyDescent="0.25">
      <c r="D23" s="25">
        <v>9</v>
      </c>
      <c r="E23">
        <v>10.506524524656781</v>
      </c>
      <c r="F23">
        <v>213.79921748310556</v>
      </c>
      <c r="G23">
        <v>2.0299999999999998</v>
      </c>
      <c r="H23">
        <f>Paq_W_1* EXP(-1*(dE0_W_1*EXP((-1 * (9-zMid_W_1) ^ 2) / (2 * (n_W_1^ 2))))/(0.00198717*298))</f>
        <v>1.8988999585643556</v>
      </c>
      <c r="I23">
        <f t="shared" si="0"/>
        <v>8.4064930453617097E-4</v>
      </c>
      <c r="J23">
        <f>Paq_W_2* EXP(-1*(dE0_W_2*EXP((-1 * (9-(-1*zMid_W_2)) ^ 2) / (2 * (n_W_2^ 2))))/(0.00198717*298))</f>
        <v>1.8660050472986496</v>
      </c>
      <c r="K23">
        <f t="shared" si="1"/>
        <v>1.3383322629856754E-3</v>
      </c>
      <c r="M23">
        <v>-3</v>
      </c>
      <c r="N23">
        <f>Paq_W_1* EXP(-1*(dE0_W_1*EXP((-1 * (3-zMid_W_1) ^ 2) / (2 * (n_W_1^ 2))))/(0.00198717*298))</f>
        <v>0.59997555926964041</v>
      </c>
      <c r="O23">
        <f>Paq_W_2* EXP(-1*(dE0_W_2*EXP((-1 * (3-(-1*zMid_W_2)) ^ 2) / (2 * (n_W_2^ 2))))/(0.00198717*298))</f>
        <v>0.8731728212939347</v>
      </c>
    </row>
    <row r="24" spans="4:15" x14ac:dyDescent="0.25">
      <c r="D24" s="26">
        <v>10.5</v>
      </c>
      <c r="E24">
        <v>13.108116512530616</v>
      </c>
      <c r="F24">
        <v>220.63045274559784</v>
      </c>
      <c r="G24">
        <v>2.4542999999999999</v>
      </c>
      <c r="H24">
        <f>Paq_W_1* EXP(-1*(dE0_W_1*EXP((-1 * (10.5-zMid_W_1) ^ 2) / (2 * (n_W_1^ 2))))/(0.00198717*298))</f>
        <v>2.5289059774057487</v>
      </c>
      <c r="I24">
        <f t="shared" si="0"/>
        <v>1.6913094993125795E-4</v>
      </c>
      <c r="J24">
        <f>Paq_W_2* EXP(-1*(dE0_W_2*EXP((-1 * (10.5-(-1*zMid_W_2)) ^ 2) / (2 * (n_W_2^ 2))))/(0.00198717*298))</f>
        <v>1.7957746125700826</v>
      </c>
      <c r="K24">
        <f t="shared" si="1"/>
        <v>1.8407928097739445E-2</v>
      </c>
      <c r="M24">
        <v>-2</v>
      </c>
      <c r="N24">
        <f>Paq_W_1* EXP(-1*(dE0_W_1*EXP((-1 * (2-zMid_W_1) ^ 2) / (2 * (n_W_1^ 2))))/(0.00198717*298))</f>
        <v>0.5837191957628447</v>
      </c>
      <c r="O24">
        <f>Paq_W_2* EXP(-1*(dE0_W_2*EXP((-1 * (2-(-1*zMid_W_2)) ^ 2) / (2 * (n_W_2^ 2))))/(0.00198717*298))</f>
        <v>0.80038758561831103</v>
      </c>
    </row>
    <row r="25" spans="4:15" x14ac:dyDescent="0.25">
      <c r="D25" s="27">
        <v>12</v>
      </c>
      <c r="E25">
        <v>12.693292318064238</v>
      </c>
      <c r="F25">
        <v>225.0124392487848</v>
      </c>
      <c r="G25">
        <v>2.3302999999999998</v>
      </c>
      <c r="H25">
        <f>Paq_W_1* EXP(-1*(dE0_W_1*EXP((-1 * (12-zMid_W_1) ^ 2) / (2 * (n_W_1^ 2))))/(0.00198717*298))</f>
        <v>2.4330467002022251</v>
      </c>
      <c r="I25">
        <f t="shared" si="0"/>
        <v>3.511354950787127E-4</v>
      </c>
      <c r="J25">
        <f>Paq_W_2* EXP(-1*(dE0_W_2*EXP((-1 * (12-(-1*zMid_W_2)) ^ 2) / (2 * (n_W_2^ 2))))/(0.00198717*298))</f>
        <v>1.5077570726434055</v>
      </c>
      <c r="K25">
        <f t="shared" si="1"/>
        <v>3.5751420663267218E-2</v>
      </c>
      <c r="M25">
        <v>-1</v>
      </c>
      <c r="N25">
        <f>Paq_W_1* EXP(-1*(dE0_W_1*EXP((-1 * (1-zMid_W_1) ^ 2) / (2 * (n_W_1^ 2))))/(0.00198717*298))</f>
        <v>0.57693177580537325</v>
      </c>
      <c r="O25">
        <f>Paq_W_2* EXP(-1*(dE0_W_2*EXP((-1 * (1-(-1*zMid_W_2)) ^ 2) / (2 * (n_W_2^ 2))))/(0.00198717*298))</f>
        <v>0.75527231902764469</v>
      </c>
    </row>
    <row r="26" spans="4:15" x14ac:dyDescent="0.25">
      <c r="D26" s="28">
        <v>13.5</v>
      </c>
      <c r="E26">
        <v>9.3251538335189785</v>
      </c>
      <c r="F26">
        <v>218.45557134306293</v>
      </c>
      <c r="G26">
        <v>1.7634000000000001</v>
      </c>
      <c r="H26">
        <f>Paq_W_1* EXP(-1*(dE0_W_1*EXP((-1 * (13.5-zMid_W_1) ^ 2) / (2 * (n_W_1^ 2))))/(0.00198717*298))</f>
        <v>1.7334922090306777</v>
      </c>
      <c r="I26">
        <f t="shared" si="0"/>
        <v>5.5189184336186353E-5</v>
      </c>
      <c r="J26">
        <f>Paq_W_2* EXP(-1*(dE0_W_2*EXP((-1 * (13.5-(-1*zMid_W_2)) ^ 2) / (2 * (n_W_2^ 2))))/(0.00198717*298))</f>
        <v>1.1891011273050953</v>
      </c>
      <c r="K26">
        <f t="shared" si="1"/>
        <v>2.9286177038003819E-2</v>
      </c>
      <c r="M26">
        <v>0</v>
      </c>
      <c r="N26">
        <f>Paq_W_1* EXP(-1*(dE0_W_1*EXP((-1 * (0-zMid_W_1) ^ 2) / (2 * (n_W_1^ 2))))/(0.00198717*298))</f>
        <v>0.57438170019467794</v>
      </c>
      <c r="O26">
        <f>Paq_W_2* EXP(-1*(dE0_W_2*EXP((-1 * (0-(-1*zMid_W_2)) ^ 2) / (2 * (n_W_2^ 2))))/(0.00198717*298))</f>
        <v>0.72902936529887463</v>
      </c>
    </row>
    <row r="27" spans="4:15" x14ac:dyDescent="0.25">
      <c r="D27" s="29">
        <v>15</v>
      </c>
      <c r="E27">
        <v>5.7254402439722432</v>
      </c>
      <c r="F27">
        <v>224.03276726794545</v>
      </c>
      <c r="G27">
        <v>1.0557000000000001</v>
      </c>
      <c r="H27">
        <f>Paq_W_1* EXP(-1*(dE0_W_1*EXP((-1 * (15-zMid_W_1) ^ 2) / (2 * (n_W_1^ 2))))/(0.00198717*298))</f>
        <v>1.1154986377866272</v>
      </c>
      <c r="I27">
        <f t="shared" si="0"/>
        <v>5.7257419946450932E-4</v>
      </c>
      <c r="J27">
        <f>Paq_W_2* EXP(-1*(dE0_W_2*EXP((-1 * (15-(-1*zMid_W_2)) ^ 2) / (2 * (n_W_2^ 2))))/(0.00198717*298))</f>
        <v>0.95493827168300205</v>
      </c>
      <c r="K27">
        <f t="shared" si="1"/>
        <v>1.8979285995040986E-3</v>
      </c>
      <c r="M27">
        <v>1</v>
      </c>
      <c r="N27">
        <f>Paq_W_1* EXP(-1*(dE0_W_1*EXP((-1 * (1-zMid_W_1) ^ 2) / (2 * (n_W_1^ 2))))/(0.00198717*298))</f>
        <v>0.57693177580537325</v>
      </c>
      <c r="O27">
        <f>Paq_W_2* EXP(-1*(dE0_W_2*EXP((-1 * (1-(-1*zMid_W_2)) ^ 2) / (2 * (n_W_2^ 2))))/(0.00198717*298))</f>
        <v>0.75527231902764469</v>
      </c>
    </row>
    <row r="28" spans="4:15" x14ac:dyDescent="0.25">
      <c r="D28" s="30">
        <v>16.5</v>
      </c>
      <c r="E28">
        <v>4.264229220201579</v>
      </c>
      <c r="F28">
        <v>233.75708221892813</v>
      </c>
      <c r="G28">
        <v>0.75360000000000005</v>
      </c>
      <c r="H28">
        <f>Paq_W_1* EXP(-1*(dE0_W_1*EXP((-1 * (16.5-zMid_W_1) ^ 2) / (2 * (n_W_1^ 2))))/(0.00198717*298))</f>
        <v>0.78530581384444931</v>
      </c>
      <c r="I28">
        <f t="shared" si="0"/>
        <v>3.2033564363912175E-4</v>
      </c>
      <c r="J28">
        <f>Paq_W_2* EXP(-1*(dE0_W_2*EXP((-1 * (16.5-(-1*zMid_W_2)) ^ 2) / (2 * (n_W_2^ 2))))/(0.00198717*298))</f>
        <v>0.81730604878504265</v>
      </c>
      <c r="K28">
        <f t="shared" si="1"/>
        <v>1.2421270813498498E-3</v>
      </c>
      <c r="M28">
        <v>2</v>
      </c>
      <c r="N28">
        <f>Paq_W_1* EXP(-1*(dE0_W_1*EXP((-1 * (2-zMid_W_1) ^ 2) / (2 * (n_W_1^ 2))))/(0.00198717*298))</f>
        <v>0.5837191957628447</v>
      </c>
      <c r="O28">
        <f>Paq_W_2* EXP(-1*(dE0_W_2*EXP((-1 * (2-(-1*zMid_W_2)) ^ 2) / (2 * (n_W_2^ 2))))/(0.00198717*298))</f>
        <v>0.80038758561831103</v>
      </c>
    </row>
    <row r="29" spans="4:15" x14ac:dyDescent="0.25">
      <c r="D29" s="31">
        <v>18</v>
      </c>
      <c r="E29">
        <v>4.4177133315469037</v>
      </c>
      <c r="F29">
        <v>221.14244125881021</v>
      </c>
      <c r="G29">
        <v>0.82520000000000004</v>
      </c>
      <c r="H29">
        <f>Paq_W_1* EXP(-1*(dE0_W_1*EXP((-1 * (18-zMid_W_1) ^ 2) / (2 * (n_W_1^ 2))))/(0.00198717*298))</f>
        <v>0.64433932020036411</v>
      </c>
      <c r="I29">
        <f t="shared" si="0"/>
        <v>1.1544338788710347E-2</v>
      </c>
      <c r="J29">
        <f>Paq_W_2* EXP(-1*(dE0_W_2*EXP((-1 * (18-(-1*zMid_W_2)) ^ 2) / (2 * (n_W_2^ 2))))/(0.00198717*298))</f>
        <v>0.74803298422131237</v>
      </c>
      <c r="K29">
        <f t="shared" si="1"/>
        <v>1.8180392066116059E-3</v>
      </c>
      <c r="M29">
        <v>3</v>
      </c>
      <c r="N29">
        <f>Paq_W_1* EXP(-1*(dE0_W_1*EXP((-1 * (3-zMid_W_1) ^ 2) / (2 * (n_W_1^ 2))))/(0.00198717*298))</f>
        <v>0.59997555926964041</v>
      </c>
      <c r="O29">
        <f>Paq_W_2* EXP(-1*(dE0_W_2*EXP((-1 * (3-(-1*zMid_W_2)) ^ 2) / (2 * (n_W_2^ 2))))/(0.00198717*298))</f>
        <v>0.8731728212939347</v>
      </c>
    </row>
    <row r="30" spans="4:15" x14ac:dyDescent="0.25">
      <c r="D30" s="32">
        <v>19.5</v>
      </c>
      <c r="E30">
        <v>3.5631577813336377</v>
      </c>
      <c r="F30">
        <v>203.08284087537984</v>
      </c>
      <c r="G30">
        <v>0.7248</v>
      </c>
      <c r="H30">
        <f>Paq_W_1* EXP(-1*(dE0_W_1*EXP((-1 * (19.5-zMid_W_1) ^ 2) / (2 * (n_W_1^ 2))))/(0.00198717*298))</f>
        <v>0.59310969429498406</v>
      </c>
      <c r="I30">
        <f t="shared" si="0"/>
        <v>7.5834771204388784E-3</v>
      </c>
      <c r="J30">
        <f>Paq_W_2* EXP(-1*(dE0_W_2*EXP((-1 * (19.5-(-1*zMid_W_2)) ^ 2) / (2 * (n_W_2^ 2))))/(0.00198717*298))</f>
        <v>0.71781433348533785</v>
      </c>
      <c r="K30">
        <f t="shared" si="1"/>
        <v>1.7690928026793516E-5</v>
      </c>
      <c r="M30">
        <v>4</v>
      </c>
      <c r="N30">
        <f>Paq_W_1* EXP(-1*(dE0_W_1*EXP((-1 * (4-zMid_W_1) ^ 2) / (2 * (n_W_1^ 2))))/(0.00198717*298))</f>
        <v>0.63531369618574551</v>
      </c>
      <c r="O30">
        <f>Paq_W_2* EXP(-1*(dE0_W_2*EXP((-1 * (4-(-1*zMid_W_2)) ^ 2) / (2 * (n_W_2^ 2))))/(0.00198717*298))</f>
        <v>0.98331112420590738</v>
      </c>
    </row>
    <row r="31" spans="4:15" x14ac:dyDescent="0.25">
      <c r="D31" s="33">
        <v>21</v>
      </c>
      <c r="E31">
        <v>3.7151927460952052</v>
      </c>
      <c r="F31">
        <v>202.23586360890673</v>
      </c>
      <c r="G31">
        <v>0.75890000000000002</v>
      </c>
      <c r="H31">
        <f>Paq_W_1* EXP(-1*(dE0_W_1*EXP((-1 * (21-zMid_W_1) ^ 2) / (2 * (n_W_1^ 2))))/(0.00198717*298))</f>
        <v>0.57769148374869195</v>
      </c>
      <c r="I31">
        <f t="shared" si="0"/>
        <v>1.4039545379484408E-2</v>
      </c>
      <c r="J31">
        <f>Paq_W_2* EXP(-1*(dE0_W_2*EXP((-1 * (21-(-1*zMid_W_2)) ^ 2) / (2 * (n_W_2^ 2))))/(0.00198717*298))</f>
        <v>0.70650364857412296</v>
      </c>
      <c r="K31">
        <f t="shared" si="1"/>
        <v>9.6535383718233773E-4</v>
      </c>
      <c r="M31">
        <v>5</v>
      </c>
      <c r="N31">
        <f>Paq_W_1* EXP(-1*(dE0_W_1*EXP((-1 * (5-zMid_W_1) ^ 2) / (2 * (n_W_1^ 2))))/(0.00198717*298))</f>
        <v>0.70590916841640527</v>
      </c>
      <c r="O31">
        <f>Paq_W_2* EXP(-1*(dE0_W_2*EXP((-1 * (5-(-1*zMid_W_2)) ^ 2) / (2 * (n_W_2^ 2))))/(0.00198717*298))</f>
        <v>1.1382644032927662</v>
      </c>
    </row>
    <row r="32" spans="4:15" x14ac:dyDescent="0.25">
      <c r="D32" s="34">
        <v>22.5</v>
      </c>
      <c r="E32">
        <v>2.7259774306923212</v>
      </c>
      <c r="F32">
        <v>185.59265872251723</v>
      </c>
      <c r="G32">
        <v>0.60680000000000001</v>
      </c>
      <c r="H32">
        <f>Paq_W_1* EXP(-1*(dE0_W_1*EXP((-1 * (22.5-zMid_W_1) ^ 2) / (2 * (n_W_1^ 2))))/(0.00198717*298))</f>
        <v>0.57398688515816254</v>
      </c>
      <c r="I32">
        <f t="shared" si="0"/>
        <v>5.8291354932548062E-4</v>
      </c>
      <c r="J32">
        <f>Paq_W_2* EXP(-1*(dE0_W_2*EXP((-1 * (22.5-(-1*zMid_W_2)) ^ 2) / (2 * (n_W_2^ 2))))/(0.00198717*298))</f>
        <v>0.70291340846415951</v>
      </c>
      <c r="K32">
        <f t="shared" si="1"/>
        <v>4.0776213907087822E-3</v>
      </c>
      <c r="M32">
        <v>6</v>
      </c>
      <c r="N32">
        <f>Paq_W_1* EXP(-1*(dE0_W_1*EXP((-1 * (6-zMid_W_1) ^ 2) / (2 * (n_W_1^ 2))))/(0.00198717*298))</f>
        <v>0.83708828944811198</v>
      </c>
      <c r="O32">
        <f>Paq_W_2* EXP(-1*(dE0_W_2*EXP((-1 * (6-(-1*zMid_W_2)) ^ 2) / (2 * (n_W_2^ 2))))/(0.00198717*298))</f>
        <v>1.3364588830077473</v>
      </c>
    </row>
    <row r="33" spans="7:15" x14ac:dyDescent="0.25">
      <c r="M33">
        <v>7</v>
      </c>
      <c r="N33">
        <f>Paq_W_1* EXP(-1*(dE0_W_1*EXP((-1 * (7-zMid_W_1) ^ 2) / (2 * (n_W_1^ 2))))/(0.00198717*298))</f>
        <v>1.0641554495089904</v>
      </c>
      <c r="O33">
        <f>Paq_W_2* EXP(-1*(dE0_W_2*EXP((-1 * (7-(-1*zMid_W_2)) ^ 2) / (2 * (n_W_2^ 2))))/(0.00198717*298))</f>
        <v>1.5571239099194503</v>
      </c>
    </row>
    <row r="34" spans="7:15" x14ac:dyDescent="0.25">
      <c r="G34" t="s">
        <v>18</v>
      </c>
      <c r="H34" s="1" t="s">
        <v>20</v>
      </c>
      <c r="I34">
        <f>SQRT(AVERAGE(I$17:I$32))</f>
        <v>8.7846125183723908E-2</v>
      </c>
      <c r="M34">
        <v>8</v>
      </c>
      <c r="N34">
        <f>Paq_W_1* EXP(-1*(dE0_W_1*EXP((-1 * (8-zMid_W_1) ^ 2) / (2 * (n_W_1^ 2))))/(0.00198717*298))</f>
        <v>1.4214412172287625</v>
      </c>
      <c r="O34">
        <f>Paq_W_2* EXP(-1*(dE0_W_2*EXP((-1 * (8-(-1*zMid_W_2)) ^ 2) / (2 * (n_W_2^ 2))))/(0.00198717*298))</f>
        <v>1.7538953048424544</v>
      </c>
    </row>
    <row r="35" spans="7:15" x14ac:dyDescent="0.25">
      <c r="G35" t="s">
        <v>19</v>
      </c>
      <c r="J35" s="1" t="s">
        <v>20</v>
      </c>
      <c r="K35">
        <f>SQRT(AVERAGE(K$2:K$17))</f>
        <v>7.3138356329249254E-2</v>
      </c>
      <c r="M35">
        <v>9</v>
      </c>
      <c r="N35">
        <f>Paq_W_1* EXP(-1*(dE0_W_1*EXP((-1 * (9-zMid_W_1) ^ 2) / (2 * (n_W_1^ 2))))/(0.00198717*298))</f>
        <v>1.8988999585643556</v>
      </c>
      <c r="O35">
        <f>Paq_W_2* EXP(-1*(dE0_W_2*EXP((-1 * (9-(-1*zMid_W_2)) ^ 2) / (2 * (n_W_2^ 2))))/(0.00198717*298))</f>
        <v>1.8660050472986496</v>
      </c>
    </row>
    <row r="36" spans="7:15" x14ac:dyDescent="0.25">
      <c r="M36">
        <v>10</v>
      </c>
      <c r="N36">
        <f>Paq_W_1* EXP(-1*(dE0_W_1*EXP((-1 * (10-zMid_W_1) ^ 2) / (2 * (n_W_1^ 2))))/(0.00198717*298))</f>
        <v>2.3699282802625921</v>
      </c>
      <c r="O36">
        <f>Paq_W_2* EXP(-1*(dE0_W_2*EXP((-1 * (10-(-1*zMid_W_2)) ^ 2) / (2 * (n_W_2^ 2))))/(0.00198717*298))</f>
        <v>1.8510675669938177</v>
      </c>
    </row>
    <row r="37" spans="7:15" x14ac:dyDescent="0.25">
      <c r="M37">
        <v>11</v>
      </c>
      <c r="N37">
        <f>Paq_W_1* EXP(-1*(dE0_W_1*EXP((-1 * (11-zMid_W_1) ^ 2) / (2 * (n_W_1^ 2))))/(0.00198717*298))</f>
        <v>2.5978833675299233</v>
      </c>
      <c r="O37">
        <f>Paq_W_2* EXP(-1*(dE0_W_2*EXP((-1 * (11-(-1*zMid_W_2)) ^ 2) / (2 * (n_W_2^ 2))))/(0.00198717*298))</f>
        <v>1.7150460909601364</v>
      </c>
    </row>
    <row r="38" spans="7:15" x14ac:dyDescent="0.25">
      <c r="M38">
        <v>12</v>
      </c>
      <c r="N38">
        <f>Paq_W_1* EXP(-1*(dE0_W_1*EXP((-1 * (12-zMid_W_1) ^ 2) / (2 * (n_W_1^ 2))))/(0.00198717*298))</f>
        <v>2.4330467002022251</v>
      </c>
      <c r="O38">
        <f>Paq_W_2* EXP(-1*(dE0_W_2*EXP((-1 * (12-(-1*zMid_W_2)) ^ 2) / (2 * (n_W_2^ 2))))/(0.00198717*298))</f>
        <v>1.5077570726434055</v>
      </c>
    </row>
    <row r="39" spans="7:15" x14ac:dyDescent="0.25">
      <c r="M39">
        <v>13</v>
      </c>
      <c r="N39">
        <f>Paq_W_1* EXP(-1*(dE0_W_1*EXP((-1 * (13-zMid_W_1) ^ 2) / (2 * (n_W_1^ 2))))/(0.00198717*298))</f>
        <v>1.985852148530062</v>
      </c>
      <c r="O39">
        <f>Paq_W_2* EXP(-1*(dE0_W_2*EXP((-1 * (13-(-1*zMid_W_2)) ^ 2) / (2 * (n_W_2^ 2))))/(0.00198717*298))</f>
        <v>1.2889958899745517</v>
      </c>
    </row>
    <row r="40" spans="7:15" x14ac:dyDescent="0.25">
      <c r="M40">
        <v>14</v>
      </c>
      <c r="N40">
        <f>Paq_W_1* EXP(-1*(dE0_W_1*EXP((-1 * (14-zMid_W_1) ^ 2) / (2 * (n_W_1^ 2))))/(0.00198717*298))</f>
        <v>1.4964069974104877</v>
      </c>
      <c r="O40">
        <f>Paq_W_2* EXP(-1*(dE0_W_2*EXP((-1 * (14-(-1*zMid_W_2)) ^ 2) / (2 * (n_W_2^ 2))))/(0.00198717*298))</f>
        <v>1.0995268051168292</v>
      </c>
    </row>
    <row r="41" spans="7:15" x14ac:dyDescent="0.25">
      <c r="M41">
        <v>15</v>
      </c>
      <c r="N41">
        <f>Paq_W_1* EXP(-1*(dE0_W_1*EXP((-1 * (15-zMid_W_1) ^ 2) / (2 * (n_W_1^ 2))))/(0.00198717*298))</f>
        <v>1.1154986377866272</v>
      </c>
      <c r="O41">
        <f>Paq_W_2* EXP(-1*(dE0_W_2*EXP((-1 * (15-(-1*zMid_W_2)) ^ 2) / (2 * (n_W_2^ 2))))/(0.00198717*298))</f>
        <v>0.95493827168300205</v>
      </c>
    </row>
    <row r="42" spans="7:15" x14ac:dyDescent="0.25">
      <c r="M42">
        <v>16</v>
      </c>
      <c r="N42">
        <f>Paq_W_1* EXP(-1*(dE0_W_1*EXP((-1 * (16-zMid_W_1) ^ 2) / (2 * (n_W_1^ 2))))/(0.00198717*298))</f>
        <v>0.86811099857198892</v>
      </c>
      <c r="O42">
        <f>Paq_W_2* EXP(-1*(dE0_W_2*EXP((-1 * (16-(-1*zMid_W_2)) ^ 2) / (2 * (n_W_2^ 2))))/(0.00198717*298))</f>
        <v>0.85396818260026741</v>
      </c>
    </row>
    <row r="43" spans="7:15" x14ac:dyDescent="0.25">
      <c r="M43">
        <v>17</v>
      </c>
      <c r="N43">
        <f>Paq_W_1* EXP(-1*(dE0_W_1*EXP((-1 * (17-zMid_W_1) ^ 2) / (2 * (n_W_1^ 2))))/(0.00198717*298))</f>
        <v>0.72323044886167065</v>
      </c>
      <c r="O43">
        <f>Paq_W_2* EXP(-1*(dE0_W_2*EXP((-1 * (17-(-1*zMid_W_2)) ^ 2) / (2 * (n_W_2^ 2))))/(0.00198717*298))</f>
        <v>0.78821798068597826</v>
      </c>
    </row>
    <row r="44" spans="7:15" x14ac:dyDescent="0.25">
      <c r="M44">
        <v>18</v>
      </c>
      <c r="N44">
        <f>Paq_W_1* EXP(-1*(dE0_W_1*EXP((-1 * (18-zMid_W_1) ^ 2) / (2 * (n_W_1^ 2))))/(0.00198717*298))</f>
        <v>0.64433932020036411</v>
      </c>
      <c r="O44">
        <f>Paq_W_2* EXP(-1*(dE0_W_2*EXP((-1 * (18-(-1*zMid_W_2)) ^ 2) / (2 * (n_W_2^ 2))))/(0.00198717*298))</f>
        <v>0.74803298422131237</v>
      </c>
    </row>
    <row r="45" spans="7:15" x14ac:dyDescent="0.25">
      <c r="M45">
        <v>19</v>
      </c>
      <c r="N45">
        <f>Paq_W_1* EXP(-1*(dE0_W_1*EXP((-1 * (19-zMid_W_1) ^ 2) / (2 * (n_W_1^ 2))))/(0.00198717*298))</f>
        <v>0.60432629211145872</v>
      </c>
      <c r="O45">
        <f>Paq_W_2* EXP(-1*(dE0_W_2*EXP((-1 * (19-(-1*zMid_W_2)) ^ 2) / (2 * (n_W_2^ 2))))/(0.00198717*298))</f>
        <v>0.7249969758471253</v>
      </c>
    </row>
    <row r="46" spans="7:15" x14ac:dyDescent="0.25">
      <c r="M46">
        <v>20</v>
      </c>
      <c r="N46">
        <f>Paq_W_1* EXP(-1*(dE0_W_1*EXP((-1 * (20-zMid_W_1) ^ 2) / (2 * (n_W_1^ 2))))/(0.00198717*298))</f>
        <v>0.58563299850834571</v>
      </c>
      <c r="O46">
        <f>Paq_W_2* EXP(-1*(dE0_W_2*EXP((-1 * (20-(-1*zMid_W_2)) ^ 2) / (2 * (n_W_2^ 2))))/(0.00198717*298))</f>
        <v>0.71265660334746217</v>
      </c>
    </row>
    <row r="47" spans="7:15" x14ac:dyDescent="0.25">
      <c r="M47">
        <v>21</v>
      </c>
      <c r="N47">
        <f>Paq_W_1* EXP(-1*(dE0_W_1*EXP((-1 * (21-zMid_W_1) ^ 2) / (2 * (n_W_1^ 2))))/(0.00198717*298))</f>
        <v>0.57769148374869195</v>
      </c>
      <c r="O47">
        <f>Paq_W_2* EXP(-1*(dE0_W_2*EXP((-1 * (21-(-1*zMid_W_2)) ^ 2) / (2 * (n_W_2^ 2))))/(0.00198717*298))</f>
        <v>0.70650364857412296</v>
      </c>
    </row>
    <row r="48" spans="7:15" x14ac:dyDescent="0.25">
      <c r="M48">
        <v>22</v>
      </c>
      <c r="N48">
        <f>Paq_W_1* EXP(-1*(dE0_W_1*EXP((-1 * (22-zMid_W_1) ^ 2) / (2 * (n_W_1^ 2))))/(0.00198717*298))</f>
        <v>0.57465206774350386</v>
      </c>
      <c r="O48">
        <f>Paq_W_2* EXP(-1*(dE0_W_2*EXP((-1 * (22-(-1*zMid_W_2)) ^ 2) / (2 * (n_W_2^ 2))))/(0.00198717*298))</f>
        <v>0.70365692331364438</v>
      </c>
    </row>
    <row r="49" spans="13:15" x14ac:dyDescent="0.25">
      <c r="M49">
        <v>23</v>
      </c>
      <c r="N49">
        <f>Paq_W_1* EXP(-1*(dE0_W_1*EXP((-1 * (23-zMid_W_1) ^ 2) / (2 * (n_W_1^ 2))))/(0.00198717*298))</f>
        <v>0.57360943628671268</v>
      </c>
      <c r="O49">
        <f>Paq_W_2* EXP(-1*(dE0_W_2*EXP((-1 * (23-(-1*zMid_W_2)) ^ 2) / (2 * (n_W_2^ 2))))/(0.00198717*298))</f>
        <v>0.70243701706287109</v>
      </c>
    </row>
    <row r="50" spans="13:15" x14ac:dyDescent="0.25">
      <c r="M50">
        <v>24</v>
      </c>
      <c r="N50">
        <f>Paq_W_1* EXP(-1*(dE0_W_1*EXP((-1 * (24-zMid_W_1) ^ 2) / (2 * (n_W_1^ 2))))/(0.00198717*298))</f>
        <v>0.57328951053465904</v>
      </c>
      <c r="O50">
        <f>Paq_W_2* EXP(-1*(dE0_W_2*EXP((-1 * (24-(-1*zMid_W_2)) ^ 2) / (2 * (n_W_2^ 2))))/(0.00198717*298))</f>
        <v>0.70195319843715298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O50"/>
  <sheetViews>
    <sheetView topLeftCell="A37" workbookViewId="0">
      <selection activeCell="B12" sqref="B12"/>
    </sheetView>
  </sheetViews>
  <sheetFormatPr defaultRowHeight="15" x14ac:dyDescent="0.25"/>
  <cols>
    <col min="1" max="1" width="6" bestFit="1" customWidth="1"/>
    <col min="2" max="2" width="12.7109375" bestFit="1" customWidth="1"/>
    <col min="4" max="4" width="10.42578125" bestFit="1" customWidth="1"/>
    <col min="5" max="6" width="12" bestFit="1" customWidth="1"/>
    <col min="7" max="7" width="16.140625" bestFit="1" customWidth="1"/>
    <col min="8" max="11" width="12" bestFit="1" customWidth="1"/>
    <col min="13" max="13" width="3.7109375" bestFit="1" customWidth="1"/>
    <col min="14" max="15" width="12" bestFit="1" customWidth="1"/>
  </cols>
  <sheetData>
    <row r="1" spans="1:15" ht="18" x14ac:dyDescent="0.35">
      <c r="A1" s="1" t="s">
        <v>0</v>
      </c>
      <c r="B1">
        <v>4425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M1" s="1" t="s">
        <v>21</v>
      </c>
      <c r="N1" s="1" t="s">
        <v>22</v>
      </c>
      <c r="O1" s="1" t="s">
        <v>23</v>
      </c>
    </row>
    <row r="2" spans="1:15" ht="18" x14ac:dyDescent="0.35">
      <c r="A2" s="1" t="s">
        <v>1</v>
      </c>
      <c r="B2">
        <v>257.94222971939661</v>
      </c>
      <c r="D2" s="4">
        <v>-22.5</v>
      </c>
      <c r="E2">
        <v>0.76014022702512607</v>
      </c>
      <c r="F2">
        <v>37.146305786227806</v>
      </c>
      <c r="G2">
        <v>0.35099999999999998</v>
      </c>
      <c r="H2">
        <f>Paq_Y_1* EXP(-1*(dE0_Y_1*EXP((-1 * (22.5-zMid_Y_1) ^ 2) / (2 * (n_Y_1^ 2))))/(0.00198717*298))</f>
        <v>0.8282998026095173</v>
      </c>
      <c r="I2">
        <f t="shared" ref="I2:I32" si="0">IF(ISERROR((LOG(H2)-LOG(G2))^2),0,(LOG(H2)-LOG(G2))^2)</f>
        <v>0.1390398235766136</v>
      </c>
      <c r="J2">
        <f>Paq_Y_2* EXP(-1*(dE0_Y_2*EXP((-1 * (22.5-(-1*zMid_Y_2)) ^ 2) / (2 * (n_Y_2^ 2))))/(0.00198717*298))</f>
        <v>0.38491093653346758</v>
      </c>
      <c r="K2">
        <f t="shared" ref="K2:K32" si="1">IF(ISERROR((LOG(J2)-LOG(G2))^2),0,(LOG(J2)-LOG(G2))^2)</f>
        <v>1.6042535816561496E-3</v>
      </c>
      <c r="M2">
        <v>-24</v>
      </c>
      <c r="N2">
        <f>Paq_Y_1* EXP(-1*(dE0_Y_1*EXP((-1 * (24-zMid_Y_1) ^ 2) / (2 * (n_Y_1^ 2))))/(0.00198717*298))</f>
        <v>0.8282996626056951</v>
      </c>
      <c r="O2">
        <f>Paq_Y_2* EXP(-1*(dE0_Y_2*EXP((-1 * (24-(-1*zMid_Y_2)) ^ 2) / (2 * (n_Y_2^ 2))))/(0.00198717*298))</f>
        <v>0.37531002656255191</v>
      </c>
    </row>
    <row r="3" spans="1:15" x14ac:dyDescent="0.25">
      <c r="D3" s="5">
        <v>-21</v>
      </c>
      <c r="E3">
        <v>1.5804216759536511</v>
      </c>
      <c r="F3">
        <v>53.383067205069459</v>
      </c>
      <c r="G3">
        <v>0.50790000000000002</v>
      </c>
      <c r="H3">
        <f>Paq_Y_1* EXP(-1*(dE0_Y_1*EXP((-1 * (21-zMid_Y_1) ^ 2) / (2 * (n_Y_1^ 2))))/(0.00198717*298))</f>
        <v>0.82830280126703437</v>
      </c>
      <c r="I3">
        <f t="shared" si="0"/>
        <v>4.5118397783528795E-2</v>
      </c>
      <c r="J3">
        <f>Paq_Y_2* EXP(-1*(dE0_Y_2*EXP((-1 * (21-(-1*zMid_Y_2)) ^ 2) / (2 * (n_Y_2^ 2))))/(0.00198717*298))</f>
        <v>0.40175022551508982</v>
      </c>
      <c r="K3">
        <f t="shared" si="1"/>
        <v>1.0367736710669283E-2</v>
      </c>
      <c r="M3">
        <v>-23</v>
      </c>
      <c r="N3">
        <f>Paq_Y_1* EXP(-1*(dE0_Y_1*EXP((-1 * (23-zMid_Y_1) ^ 2) / (2 * (n_Y_1^ 2))))/(0.00198717*298))</f>
        <v>0.8282997059718763</v>
      </c>
      <c r="O3">
        <f>Paq_Y_2* EXP(-1*(dE0_Y_2*EXP((-1 * (23-(-1*zMid_Y_2)) ^ 2) / (2 * (n_Y_2^ 2))))/(0.00198717*298))</f>
        <v>0.38106912891856087</v>
      </c>
    </row>
    <row r="4" spans="1:15" ht="18" x14ac:dyDescent="0.35">
      <c r="A4" s="2" t="s">
        <v>2</v>
      </c>
      <c r="B4">
        <v>0.82829965785893367</v>
      </c>
      <c r="D4" s="6">
        <v>-19.5</v>
      </c>
      <c r="E4">
        <v>2.5799135946104577</v>
      </c>
      <c r="F4">
        <v>104.67349192897072</v>
      </c>
      <c r="G4">
        <v>0.42280000000000001</v>
      </c>
      <c r="H4">
        <f>Paq_Y_1* EXP(-1*(dE0_Y_1*EXP((-1 * (19.5-zMid_Y_1) ^ 2) / (2 * (n_Y_1^ 2))))/(0.00198717*298))</f>
        <v>0.82834827049000304</v>
      </c>
      <c r="I4">
        <f t="shared" si="0"/>
        <v>8.5309552933252542E-2</v>
      </c>
      <c r="J4">
        <f>Paq_Y_2* EXP(-1*(dE0_Y_2*EXP((-1 * (19.5-(-1*zMid_Y_2)) ^ 2) / (2 * (n_Y_2^ 2))))/(0.00198717*298))</f>
        <v>0.42992072289211808</v>
      </c>
      <c r="K4">
        <f t="shared" si="1"/>
        <v>5.2611821725106377E-5</v>
      </c>
      <c r="M4">
        <v>-22</v>
      </c>
      <c r="N4">
        <f>Paq_Y_1* EXP(-1*(dE0_Y_1*EXP((-1 * (22-zMid_Y_1) ^ 2) / (2 * (n_Y_1^ 2))))/(0.00198717*298))</f>
        <v>0.82830007722780885</v>
      </c>
      <c r="O4">
        <f>Paq_Y_2* EXP(-1*(dE0_Y_2*EXP((-1 * (22-(-1*zMid_Y_2)) ^ 2) / (2 * (n_Y_2^ 2))))/(0.00198717*298))</f>
        <v>0.38954667089099343</v>
      </c>
    </row>
    <row r="5" spans="1:15" ht="18" x14ac:dyDescent="0.35">
      <c r="A5" s="2" t="s">
        <v>3</v>
      </c>
      <c r="B5">
        <v>-0.5775584329467629</v>
      </c>
      <c r="D5" s="7">
        <v>-18</v>
      </c>
      <c r="E5">
        <v>3.7581934811330839</v>
      </c>
      <c r="F5">
        <v>171.11905245556184</v>
      </c>
      <c r="G5">
        <v>0.37680000000000002</v>
      </c>
      <c r="H5">
        <f>Paq_Y_1* EXP(-1*(dE0_Y_1*EXP((-1 * (18-zMid_Y_1) ^ 2) / (2 * (n_Y_1^ 2))))/(0.00198717*298))</f>
        <v>0.82883517078144764</v>
      </c>
      <c r="I5">
        <f t="shared" si="0"/>
        <v>0.1172085054695642</v>
      </c>
      <c r="J5">
        <f>Paq_Y_2* EXP(-1*(dE0_Y_2*EXP((-1 * (18-(-1*zMid_Y_2)) ^ 2) / (2 * (n_Y_2^ 2))))/(0.00198717*298))</f>
        <v>0.4750971505396247</v>
      </c>
      <c r="K5">
        <f t="shared" si="1"/>
        <v>1.0134757267724845E-2</v>
      </c>
      <c r="M5">
        <v>-21</v>
      </c>
      <c r="N5">
        <f>Paq_Y_1* EXP(-1*(dE0_Y_1*EXP((-1 * (21-zMid_Y_1) ^ 2) / (2 * (n_Y_1^ 2))))/(0.00198717*298))</f>
        <v>0.82830280126703437</v>
      </c>
      <c r="O5">
        <f>Paq_Y_2* EXP(-1*(dE0_Y_2*EXP((-1 * (21-(-1*zMid_Y_2)) ^ 2) / (2 * (n_Y_2^ 2))))/(0.00198717*298))</f>
        <v>0.40175022551508982</v>
      </c>
    </row>
    <row r="6" spans="1:15" ht="18" x14ac:dyDescent="0.35">
      <c r="A6" s="2" t="s">
        <v>4</v>
      </c>
      <c r="B6">
        <v>8.1503953768149664</v>
      </c>
      <c r="D6" s="8">
        <v>-16.5</v>
      </c>
      <c r="E6">
        <v>7.1547056821953721</v>
      </c>
      <c r="F6">
        <v>239.24085021505925</v>
      </c>
      <c r="G6">
        <v>0.51300000000000001</v>
      </c>
      <c r="H6">
        <f>Paq_Y_1* EXP(-1*(dE0_Y_1*EXP((-1 * (16.5-zMid_Y_1) ^ 2) / (2 * (n_Y_1^ 2))))/(0.00198717*298))</f>
        <v>0.83250867516203964</v>
      </c>
      <c r="I6">
        <f t="shared" si="0"/>
        <v>4.4214062776007208E-2</v>
      </c>
      <c r="J6">
        <f>Paq_Y_2* EXP(-1*(dE0_Y_2*EXP((-1 * (16.5-(-1*zMid_Y_2)) ^ 2) / (2 * (n_Y_2^ 2))))/(0.00198717*298))</f>
        <v>0.54474048406637832</v>
      </c>
      <c r="K6">
        <f t="shared" si="1"/>
        <v>6.7976416465599632E-4</v>
      </c>
      <c r="M6">
        <v>-20</v>
      </c>
      <c r="N6">
        <f>Paq_Y_1* EXP(-1*(dE0_Y_1*EXP((-1 * (20-zMid_Y_1) ^ 2) / (2 * (n_Y_1^ 2))))/(0.00198717*298))</f>
        <v>0.82831991969490015</v>
      </c>
      <c r="O6">
        <f>Paq_Y_2* EXP(-1*(dE0_Y_2*EXP((-1 * (20-(-1*zMid_Y_2)) ^ 2) / (2 * (n_Y_2^ 2))))/(0.00198717*298))</f>
        <v>0.41895716984564718</v>
      </c>
    </row>
    <row r="7" spans="1:15" x14ac:dyDescent="0.25">
      <c r="A7" s="2" t="s">
        <v>5</v>
      </c>
      <c r="B7">
        <v>2.5743702751224791</v>
      </c>
      <c r="D7" s="9">
        <v>-15</v>
      </c>
      <c r="E7">
        <v>12.497995060531316</v>
      </c>
      <c r="F7">
        <v>301.1099037843893</v>
      </c>
      <c r="G7">
        <v>0.71199999999999997</v>
      </c>
      <c r="H7">
        <f>Paq_Y_1* EXP(-1*(dE0_Y_1*EXP((-1 * (15-zMid_Y_1) ^ 2) / (2 * (n_Y_1^ 2))))/(0.00198717*298))</f>
        <v>0.85208162325742565</v>
      </c>
      <c r="I7">
        <f t="shared" si="0"/>
        <v>6.0841880427930477E-3</v>
      </c>
      <c r="J7">
        <f>Paq_Y_2* EXP(-1*(dE0_Y_2*EXP((-1 * (15-(-1*zMid_Y_2)) ^ 2) / (2 * (n_Y_2^ 2))))/(0.00198717*298))</f>
        <v>0.64767064576017108</v>
      </c>
      <c r="K7">
        <f t="shared" si="1"/>
        <v>1.691329745566107E-3</v>
      </c>
      <c r="M7">
        <v>-19</v>
      </c>
      <c r="N7">
        <f>Paq_Y_1* EXP(-1*(dE0_Y_1*EXP((-1 * (19-zMid_Y_1) ^ 2) / (2 * (n_Y_1^ 2))))/(0.00198717*298))</f>
        <v>0.8284119750274298</v>
      </c>
      <c r="O7">
        <f>Paq_Y_2* EXP(-1*(dE0_Y_2*EXP((-1 * (19-(-1*zMid_Y_2)) ^ 2) / (2 * (n_Y_2^ 2))))/(0.00198717*298))</f>
        <v>0.44275857427087167</v>
      </c>
    </row>
    <row r="8" spans="1:15" x14ac:dyDescent="0.25">
      <c r="D8" s="10">
        <v>-13.5</v>
      </c>
      <c r="E8">
        <v>17.006736755873131</v>
      </c>
      <c r="F8">
        <v>325.144691447757</v>
      </c>
      <c r="G8">
        <v>0.89729999999999999</v>
      </c>
      <c r="H8">
        <f>Paq_Y_1* EXP(-1*(dE0_Y_1*EXP((-1 * (13.5-zMid_Y_1) ^ 2) / (2 * (n_Y_1^ 2))))/(0.00198717*298))</f>
        <v>0.92700161777082934</v>
      </c>
      <c r="I8">
        <f t="shared" si="0"/>
        <v>2.0001947945592587E-4</v>
      </c>
      <c r="J8">
        <f>Paq_Y_2* EXP(-1*(dE0_Y_2*EXP((-1 * (13.5-(-1*zMid_Y_2)) ^ 2) / (2 * (n_Y_2^ 2))))/(0.00198717*298))</f>
        <v>0.7917961426073733</v>
      </c>
      <c r="K8">
        <f t="shared" si="1"/>
        <v>2.9511280582882188E-3</v>
      </c>
      <c r="M8">
        <v>-18</v>
      </c>
      <c r="N8">
        <f>Paq_Y_1* EXP(-1*(dE0_Y_1*EXP((-1 * (18-zMid_Y_1) ^ 2) / (2 * (n_Y_1^ 2))))/(0.00198717*298))</f>
        <v>0.82883517078144764</v>
      </c>
      <c r="O8">
        <f>Paq_Y_2* EXP(-1*(dE0_Y_2*EXP((-1 * (18-(-1*zMid_Y_2)) ^ 2) / (2 * (n_Y_2^ 2))))/(0.00198717*298))</f>
        <v>0.4750971505396247</v>
      </c>
    </row>
    <row r="9" spans="1:15" ht="18" x14ac:dyDescent="0.35">
      <c r="A9" s="3" t="s">
        <v>6</v>
      </c>
      <c r="B9">
        <v>0.36519772997062722</v>
      </c>
      <c r="D9" s="11">
        <v>-12</v>
      </c>
      <c r="E9">
        <v>15.740474895849625</v>
      </c>
      <c r="F9">
        <v>335.09215104301728</v>
      </c>
      <c r="G9">
        <v>0.80579999999999996</v>
      </c>
      <c r="H9">
        <f>Paq_Y_1* EXP(-1*(dE0_Y_1*EXP((-1 * (12-zMid_Y_1) ^ 2) / (2 * (n_Y_1^ 2))))/(0.00198717*298))</f>
        <v>1.1393604105246073</v>
      </c>
      <c r="I9">
        <f t="shared" si="0"/>
        <v>2.2630346792509803E-2</v>
      </c>
      <c r="J9">
        <f>Paq_Y_2* EXP(-1*(dE0_Y_2*EXP((-1 * (12-(-1*zMid_Y_2)) ^ 2) / (2 * (n_Y_2^ 2))))/(0.00198717*298))</f>
        <v>0.97824983249724706</v>
      </c>
      <c r="K9">
        <f t="shared" si="1"/>
        <v>7.0934327332249601E-3</v>
      </c>
      <c r="M9">
        <v>-17</v>
      </c>
      <c r="N9">
        <f>Paq_Y_1* EXP(-1*(dE0_Y_1*EXP((-1 * (17-zMid_Y_1) ^ 2) / (2 * (n_Y_1^ 2))))/(0.00198717*298))</f>
        <v>0.83049694892422499</v>
      </c>
      <c r="O9">
        <f>Paq_Y_2* EXP(-1*(dE0_Y_2*EXP((-1 * (17-(-1*zMid_Y_2)) ^ 2) / (2 * (n_Y_2^ 2))))/(0.00198717*298))</f>
        <v>0.51827776570562989</v>
      </c>
    </row>
    <row r="10" spans="1:15" ht="18" x14ac:dyDescent="0.35">
      <c r="A10" s="3" t="s">
        <v>7</v>
      </c>
      <c r="B10">
        <v>-0.85395826957588161</v>
      </c>
      <c r="D10" s="12">
        <v>-10.5</v>
      </c>
      <c r="E10">
        <v>20.002076523688491</v>
      </c>
      <c r="F10">
        <v>329.71261028763035</v>
      </c>
      <c r="G10">
        <v>1.0407</v>
      </c>
      <c r="H10">
        <f>Paq_Y_1* EXP(-1*(dE0_Y_1*EXP((-1 * (10.5-zMid_Y_1) ^ 2) / (2 * (n_Y_1^ 2))))/(0.00198717*298))</f>
        <v>1.5756883157116401</v>
      </c>
      <c r="I10">
        <f t="shared" si="0"/>
        <v>3.2452134561655063E-2</v>
      </c>
      <c r="J10">
        <f>Paq_Y_2* EXP(-1*(dE0_Y_2*EXP((-1 * (10.5-(-1*zMid_Y_2)) ^ 2) / (2 * (n_Y_2^ 2))))/(0.00198717*298))</f>
        <v>1.1916432059705191</v>
      </c>
      <c r="K10">
        <f t="shared" si="1"/>
        <v>3.4598731823180214E-3</v>
      </c>
      <c r="M10">
        <v>-16</v>
      </c>
      <c r="N10">
        <f>Paq_Y_1* EXP(-1*(dE0_Y_1*EXP((-1 * (16-zMid_Y_1) ^ 2) / (2 * (n_Y_1^ 2))))/(0.00198717*298))</f>
        <v>0.83607096100510236</v>
      </c>
      <c r="O10">
        <f>Paq_Y_2* EXP(-1*(dE0_Y_2*EXP((-1 * (16-(-1*zMid_Y_2)) ^ 2) / (2 * (n_Y_2^ 2))))/(0.00198717*298))</f>
        <v>0.57490526639659822</v>
      </c>
    </row>
    <row r="11" spans="1:15" ht="18" x14ac:dyDescent="0.35">
      <c r="A11" s="3" t="s">
        <v>8</v>
      </c>
      <c r="B11">
        <v>-6.6119358485690549</v>
      </c>
      <c r="D11" s="13">
        <v>-9</v>
      </c>
      <c r="E11">
        <v>30.406090750555517</v>
      </c>
      <c r="F11">
        <v>284.46716551243782</v>
      </c>
      <c r="G11">
        <v>1.8337000000000001</v>
      </c>
      <c r="H11">
        <f>Paq_Y_1* EXP(-1*(dE0_Y_1*EXP((-1 * (9-zMid_Y_1) ^ 2) / (2 * (n_Y_1^ 2))))/(0.00198717*298))</f>
        <v>2.0859842124958958</v>
      </c>
      <c r="I11">
        <f t="shared" si="0"/>
        <v>3.134066306212394E-3</v>
      </c>
      <c r="J11">
        <f>Paq_Y_2* EXP(-1*(dE0_Y_2*EXP((-1 * (9-(-1*zMid_Y_2)) ^ 2) / (2 * (n_Y_2^ 2))))/(0.00198717*298))</f>
        <v>1.392079282656371</v>
      </c>
      <c r="K11">
        <f t="shared" si="1"/>
        <v>1.4319548229231368E-2</v>
      </c>
      <c r="M11">
        <v>-15</v>
      </c>
      <c r="N11">
        <f>Paq_Y_1* EXP(-1*(dE0_Y_1*EXP((-1 * (15-zMid_Y_1) ^ 2) / (2 * (n_Y_1^ 2))))/(0.00198717*298))</f>
        <v>0.85208162325742565</v>
      </c>
      <c r="O11">
        <f>Paq_Y_2* EXP(-1*(dE0_Y_2*EXP((-1 * (15-(-1*zMid_Y_2)) ^ 2) / (2 * (n_Y_2^ 2))))/(0.00198717*298))</f>
        <v>0.64767064576017108</v>
      </c>
    </row>
    <row r="12" spans="1:15" x14ac:dyDescent="0.25">
      <c r="A12" s="3" t="s">
        <v>9</v>
      </c>
      <c r="B12">
        <v>6.1735524022339963</v>
      </c>
      <c r="D12" s="14">
        <v>-7.5</v>
      </c>
      <c r="E12">
        <v>25.856452382218261</v>
      </c>
      <c r="F12">
        <v>233.0137027127592</v>
      </c>
      <c r="G12">
        <v>1.9036</v>
      </c>
      <c r="H12">
        <f>Paq_Y_1* EXP(-1*(dE0_Y_1*EXP((-1 * (7.5-zMid_Y_1) ^ 2) / (2 * (n_Y_1^ 2))))/(0.00198717*298))</f>
        <v>2.1303776665297076</v>
      </c>
      <c r="I12">
        <f t="shared" si="0"/>
        <v>2.3893428219959323E-3</v>
      </c>
      <c r="J12">
        <f>Paq_Y_2* EXP(-1*(dE0_Y_2*EXP((-1 * (7.5-(-1*zMid_Y_2)) ^ 2) / (2 * (n_Y_2^ 2))))/(0.00198717*298))</f>
        <v>1.5218202482020382</v>
      </c>
      <c r="K12">
        <f t="shared" si="1"/>
        <v>9.450238645074268E-3</v>
      </c>
      <c r="M12">
        <v>-14</v>
      </c>
      <c r="N12">
        <f>Paq_Y_1* EXP(-1*(dE0_Y_1*EXP((-1 * (14-zMid_Y_1) ^ 2) / (2 * (n_Y_1^ 2))))/(0.00198717*298))</f>
        <v>0.8917303667198796</v>
      </c>
      <c r="O12">
        <f>Paq_Y_2* EXP(-1*(dE0_Y_2*EXP((-1 * (14-(-1*zMid_Y_2)) ^ 2) / (2 * (n_Y_2^ 2))))/(0.00198717*298))</f>
        <v>0.7388727551658052</v>
      </c>
    </row>
    <row r="13" spans="1:15" x14ac:dyDescent="0.25">
      <c r="D13" s="15">
        <v>-6</v>
      </c>
      <c r="E13">
        <v>17.96606929604112</v>
      </c>
      <c r="F13">
        <v>229.72199232624777</v>
      </c>
      <c r="G13">
        <v>1.3416999999999999</v>
      </c>
      <c r="H13">
        <f>Paq_Y_1* EXP(-1*(dE0_Y_1*EXP((-1 * (6-zMid_Y_1) ^ 2) / (2 * (n_Y_1^ 2))))/(0.00198717*298))</f>
        <v>1.6482081037033589</v>
      </c>
      <c r="I13">
        <f t="shared" si="0"/>
        <v>7.9846064884022735E-3</v>
      </c>
      <c r="J13">
        <f>Paq_Y_2* EXP(-1*(dE0_Y_2*EXP((-1 * (6-(-1*zMid_Y_2)) ^ 2) / (2 * (n_Y_2^ 2))))/(0.00198717*298))</f>
        <v>1.5337005485483881</v>
      </c>
      <c r="K13">
        <f t="shared" si="1"/>
        <v>3.3738850142490833E-3</v>
      </c>
      <c r="M13">
        <v>-13</v>
      </c>
      <c r="N13">
        <f>Paq_Y_1* EXP(-1*(dE0_Y_1*EXP((-1 * (13-zMid_Y_1) ^ 2) / (2 * (n_Y_1^ 2))))/(0.00198717*298))</f>
        <v>0.97728782543870718</v>
      </c>
      <c r="O13">
        <f>Paq_Y_2* EXP(-1*(dE0_Y_2*EXP((-1 * (13-(-1*zMid_Y_2)) ^ 2) / (2 * (n_Y_2^ 2))))/(0.00198717*298))</f>
        <v>0.84955876575726719</v>
      </c>
    </row>
    <row r="14" spans="1:15" x14ac:dyDescent="0.25">
      <c r="D14" s="16">
        <v>-4.5</v>
      </c>
      <c r="E14">
        <v>17.322257535686578</v>
      </c>
      <c r="F14">
        <v>238.06457551464311</v>
      </c>
      <c r="G14">
        <v>1.2482</v>
      </c>
      <c r="H14">
        <f>Paq_Y_1* EXP(-1*(dE0_Y_1*EXP((-1 * (4.5-zMid_Y_1) ^ 2) / (2 * (n_Y_1^ 2))))/(0.00198717*298))</f>
        <v>1.183541523048828</v>
      </c>
      <c r="I14">
        <f t="shared" si="0"/>
        <v>5.3364137224851138E-4</v>
      </c>
      <c r="J14">
        <f>Paq_Y_2* EXP(-1*(dE0_Y_2*EXP((-1 * (4.5-(-1*zMid_Y_2)) ^ 2) / (2 * (n_Y_2^ 2))))/(0.00198717*298))</f>
        <v>1.4230327526255846</v>
      </c>
      <c r="K14">
        <f t="shared" si="1"/>
        <v>3.2411066187380184E-3</v>
      </c>
      <c r="M14">
        <v>-12</v>
      </c>
      <c r="N14">
        <f>Paq_Y_1* EXP(-1*(dE0_Y_1*EXP((-1 * (12-zMid_Y_1) ^ 2) / (2 * (n_Y_1^ 2))))/(0.00198717*298))</f>
        <v>1.1393604105246073</v>
      </c>
      <c r="O14">
        <f>Paq_Y_2* EXP(-1*(dE0_Y_2*EXP((-1 * (12-(-1*zMid_Y_2)) ^ 2) / (2 * (n_Y_2^ 2))))/(0.00198717*298))</f>
        <v>0.97824983249724706</v>
      </c>
    </row>
    <row r="15" spans="1:15" x14ac:dyDescent="0.25">
      <c r="D15" s="17">
        <v>-3</v>
      </c>
      <c r="E15">
        <v>12.563197996749327</v>
      </c>
      <c r="F15">
        <v>209.69845561618712</v>
      </c>
      <c r="G15">
        <v>1.0278</v>
      </c>
      <c r="H15">
        <f>Paq_Y_1* EXP(-1*(dE0_Y_1*EXP((-1 * (3-zMid_Y_1) ^ 2) / (2 * (n_Y_1^ 2))))/(0.00198717*298))</f>
        <v>0.94501408744333626</v>
      </c>
      <c r="I15">
        <f t="shared" si="0"/>
        <v>1.330085022053852E-3</v>
      </c>
      <c r="J15">
        <f>Paq_Y_2* EXP(-1*(dE0_Y_2*EXP((-1 * (3-(-1*zMid_Y_2)) ^ 2) / (2 * (n_Y_2^ 2))))/(0.00198717*298))</f>
        <v>1.2310961387943702</v>
      </c>
      <c r="K15">
        <f t="shared" si="1"/>
        <v>6.1439504732724365E-3</v>
      </c>
      <c r="M15">
        <v>-11</v>
      </c>
      <c r="N15">
        <f>Paq_Y_1* EXP(-1*(dE0_Y_1*EXP((-1 * (11-zMid_Y_1) ^ 2) / (2 * (n_Y_1^ 2))))/(0.00198717*298))</f>
        <v>1.4051815906980873</v>
      </c>
      <c r="O15">
        <f>Paq_Y_2* EXP(-1*(dE0_Y_2*EXP((-1 * (11-(-1*zMid_Y_2)) ^ 2) / (2 * (n_Y_2^ 2))))/(0.00198717*298))</f>
        <v>1.1194551776751245</v>
      </c>
    </row>
    <row r="16" spans="1:15" x14ac:dyDescent="0.25">
      <c r="D16" s="18">
        <v>-1.5</v>
      </c>
      <c r="E16">
        <v>10.989466245133681</v>
      </c>
      <c r="F16">
        <v>193.12505159558162</v>
      </c>
      <c r="G16">
        <v>0.97619999999999996</v>
      </c>
      <c r="H16">
        <f>Paq_Y_1* EXP(-1*(dE0_Y_1*EXP((-1 * (1.5-zMid_Y_1) ^ 2) / (2 * (n_Y_1^ 2))))/(0.00198717*298))</f>
        <v>0.85752461314333073</v>
      </c>
      <c r="I16">
        <f t="shared" si="0"/>
        <v>3.1688128017093803E-3</v>
      </c>
      <c r="J16">
        <f>Paq_Y_2* EXP(-1*(dE0_Y_2*EXP((-1 * (1.5-(-1*zMid_Y_2)) ^ 2) / (2 * (n_Y_2^ 2))))/(0.00198717*298))</f>
        <v>1.0163421071591214</v>
      </c>
      <c r="K16">
        <f t="shared" si="1"/>
        <v>3.062890436193951E-4</v>
      </c>
      <c r="M16">
        <v>-10</v>
      </c>
      <c r="N16">
        <f>Paq_Y_1* EXP(-1*(dE0_Y_1*EXP((-1 * (10-zMid_Y_1) ^ 2) / (2 * (n_Y_1^ 2))))/(0.00198717*298))</f>
        <v>1.7595685346142393</v>
      </c>
      <c r="O16">
        <f>Paq_Y_2* EXP(-1*(dE0_Y_2*EXP((-1 * (10-(-1*zMid_Y_2)) ^ 2) / (2 * (n_Y_2^ 2))))/(0.00198717*298))</f>
        <v>1.2625670262377677</v>
      </c>
    </row>
    <row r="17" spans="4:15" x14ac:dyDescent="0.25">
      <c r="D17" s="19">
        <v>0</v>
      </c>
      <c r="E17">
        <v>12.304469727382523</v>
      </c>
      <c r="F17">
        <v>197.31337553026106</v>
      </c>
      <c r="G17">
        <v>1.0698000000000001</v>
      </c>
      <c r="H17">
        <f>Paq_Y_1* EXP(-1*(dE0_Y_1*EXP((-1 * (0-zMid_Y_1) ^ 2) / (2 * (n_Y_1^ 2))))/(0.00198717*298))</f>
        <v>0.83369710376377604</v>
      </c>
      <c r="I17">
        <f t="shared" si="0"/>
        <v>1.1727655582304215E-2</v>
      </c>
      <c r="J17">
        <f>Paq_Y_2* EXP(-1*(dE0_Y_2*EXP((-1 * (0-(-1*zMid_Y_2)) ^ 2) / (2 * (n_Y_2^ 2))))/(0.00198717*298))</f>
        <v>0.82310989480463703</v>
      </c>
      <c r="K17">
        <f t="shared" si="1"/>
        <v>1.2960631902106161E-2</v>
      </c>
      <c r="M17">
        <v>-9</v>
      </c>
      <c r="N17">
        <f>Paq_Y_1* EXP(-1*(dE0_Y_1*EXP((-1 * (9-zMid_Y_1) ^ 2) / (2 * (n_Y_1^ 2))))/(0.00198717*298))</f>
        <v>2.0859842124958958</v>
      </c>
      <c r="O17">
        <f>Paq_Y_2* EXP(-1*(dE0_Y_2*EXP((-1 * (9-(-1*zMid_Y_2)) ^ 2) / (2 * (n_Y_2^ 2))))/(0.00198717*298))</f>
        <v>1.392079282656371</v>
      </c>
    </row>
    <row r="18" spans="4:15" x14ac:dyDescent="0.25">
      <c r="D18" s="20">
        <v>1.5</v>
      </c>
      <c r="E18">
        <v>9.7653923087561694</v>
      </c>
      <c r="F18">
        <v>211.87289009819162</v>
      </c>
      <c r="G18">
        <v>0.79069999999999996</v>
      </c>
      <c r="H18">
        <f>Paq_Y_1* EXP(-1*(dE0_Y_1*EXP((-1 * (1.5-zMid_Y_1) ^ 2) / (2 * (n_Y_1^ 2))))/(0.00198717*298))</f>
        <v>0.85752461314333073</v>
      </c>
      <c r="I18">
        <f t="shared" si="0"/>
        <v>1.241495038963616E-3</v>
      </c>
      <c r="J18">
        <f>Paq_Y_2* EXP(-1*(dE0_Y_2*EXP((-1 * (1.5-(-1*zMid_Y_2)) ^ 2) / (2 * (n_Y_2^ 2))))/(0.00198717*298))</f>
        <v>1.0163421071591214</v>
      </c>
      <c r="K18">
        <f t="shared" si="1"/>
        <v>1.1887144038349484E-2</v>
      </c>
      <c r="M18">
        <v>-8</v>
      </c>
      <c r="N18">
        <f>Paq_Y_1* EXP(-1*(dE0_Y_1*EXP((-1 * (8-zMid_Y_1) ^ 2) / (2 * (n_Y_1^ 2))))/(0.00198717*298))</f>
        <v>2.1930016283064409</v>
      </c>
      <c r="O18">
        <f>Paq_Y_2* EXP(-1*(dE0_Y_2*EXP((-1 * (8-(-1*zMid_Y_2)) ^ 2) / (2 * (n_Y_2^ 2))))/(0.00198717*298))</f>
        <v>1.4899710051466475</v>
      </c>
    </row>
    <row r="19" spans="4:15" x14ac:dyDescent="0.25">
      <c r="D19" s="21">
        <v>3</v>
      </c>
      <c r="E19">
        <v>9.6689121899941082</v>
      </c>
      <c r="F19">
        <v>212.60048258233337</v>
      </c>
      <c r="G19">
        <v>0.7802</v>
      </c>
      <c r="H19">
        <f>Paq_Y_1* EXP(-1*(dE0_Y_1*EXP((-1 * (3-zMid_Y_1) ^ 2) / (2 * (n_Y_1^ 2))))/(0.00198717*298))</f>
        <v>0.94501408744333626</v>
      </c>
      <c r="I19">
        <f t="shared" si="0"/>
        <v>6.9276218665444388E-3</v>
      </c>
      <c r="J19">
        <f>Paq_Y_2* EXP(-1*(dE0_Y_2*EXP((-1 * (3-(-1*zMid_Y_2)) ^ 2) / (2 * (n_Y_2^ 2))))/(0.00198717*298))</f>
        <v>1.2310961387943702</v>
      </c>
      <c r="K19">
        <f t="shared" si="1"/>
        <v>3.9238072593837728E-2</v>
      </c>
      <c r="M19">
        <v>-7</v>
      </c>
      <c r="N19">
        <f>Paq_Y_1* EXP(-1*(dE0_Y_1*EXP((-1 * (7-zMid_Y_1) ^ 2) / (2 * (n_Y_1^ 2))))/(0.00198717*298))</f>
        <v>2.0022235146071967</v>
      </c>
      <c r="O19">
        <f>Paq_Y_2* EXP(-1*(dE0_Y_2*EXP((-1 * (7-(-1*zMid_Y_2)) ^ 2) / (2 * (n_Y_2^ 2))))/(0.00198717*298))</f>
        <v>1.540187581329427</v>
      </c>
    </row>
    <row r="20" spans="4:15" x14ac:dyDescent="0.25">
      <c r="D20" s="22">
        <v>4.5</v>
      </c>
      <c r="E20">
        <v>14.956547875858869</v>
      </c>
      <c r="F20">
        <v>207.82615645104704</v>
      </c>
      <c r="G20">
        <v>1.2345999999999999</v>
      </c>
      <c r="H20">
        <f>Paq_Y_1* EXP(-1*(dE0_Y_1*EXP((-1 * (4.5-zMid_Y_1) ^ 2) / (2 * (n_Y_1^ 2))))/(0.00198717*298))</f>
        <v>1.183541523048828</v>
      </c>
      <c r="I20">
        <f t="shared" si="0"/>
        <v>3.3645733707658867E-4</v>
      </c>
      <c r="J20">
        <f>Paq_Y_2* EXP(-1*(dE0_Y_2*EXP((-1 * (4.5-(-1*zMid_Y_2)) ^ 2) / (2 * (n_Y_2^ 2))))/(0.00198717*298))</f>
        <v>1.4230327526255846</v>
      </c>
      <c r="K20">
        <f t="shared" si="1"/>
        <v>3.8054862473248371E-3</v>
      </c>
      <c r="M20">
        <v>-6</v>
      </c>
      <c r="N20">
        <f>Paq_Y_1* EXP(-1*(dE0_Y_1*EXP((-1 * (6-zMid_Y_1) ^ 2) / (2 * (n_Y_1^ 2))))/(0.00198717*298))</f>
        <v>1.6482081037033589</v>
      </c>
      <c r="O20">
        <f>Paq_Y_2* EXP(-1*(dE0_Y_2*EXP((-1 * (6-(-1*zMid_Y_2)) ^ 2) / (2 * (n_Y_2^ 2))))/(0.00198717*298))</f>
        <v>1.5337005485483881</v>
      </c>
    </row>
    <row r="21" spans="4:15" x14ac:dyDescent="0.25">
      <c r="D21" s="23">
        <v>6</v>
      </c>
      <c r="E21">
        <v>23.909586603182138</v>
      </c>
      <c r="F21">
        <v>218.70380004479716</v>
      </c>
      <c r="G21">
        <v>1.8754999999999999</v>
      </c>
      <c r="H21">
        <f>Paq_Y_1* EXP(-1*(dE0_Y_1*EXP((-1 * (6-zMid_Y_1) ^ 2) / (2 * (n_Y_1^ 2))))/(0.00198717*298))</f>
        <v>1.6482081037033589</v>
      </c>
      <c r="I21">
        <f t="shared" si="0"/>
        <v>3.147773649875521E-3</v>
      </c>
      <c r="J21">
        <f>Paq_Y_2* EXP(-1*(dE0_Y_2*EXP((-1 * (6-(-1*zMid_Y_2)) ^ 2) / (2 * (n_Y_2^ 2))))/(0.00198717*298))</f>
        <v>1.5337005485483881</v>
      </c>
      <c r="K21">
        <f t="shared" si="1"/>
        <v>7.6346519799391438E-3</v>
      </c>
      <c r="M21">
        <v>-5</v>
      </c>
      <c r="N21">
        <f>Paq_Y_1* EXP(-1*(dE0_Y_1*EXP((-1 * (5-zMid_Y_1) ^ 2) / (2 * (n_Y_1^ 2))))/(0.00198717*298))</f>
        <v>1.3137490927218487</v>
      </c>
      <c r="O21">
        <f>Paq_Y_2* EXP(-1*(dE0_Y_2*EXP((-1 * (5-(-1*zMid_Y_2)) ^ 2) / (2 * (n_Y_2^ 2))))/(0.00198717*298))</f>
        <v>1.4717060593882587</v>
      </c>
    </row>
    <row r="22" spans="4:15" x14ac:dyDescent="0.25">
      <c r="D22" s="24">
        <v>7.5</v>
      </c>
      <c r="E22">
        <v>24.067953312726232</v>
      </c>
      <c r="F22">
        <v>210.91142211418727</v>
      </c>
      <c r="G22">
        <v>1.9576</v>
      </c>
      <c r="H22">
        <f>Paq_Y_1* EXP(-1*(dE0_Y_1*EXP((-1 * (7.5-zMid_Y_1) ^ 2) / (2 * (n_Y_1^ 2))))/(0.00198717*298))</f>
        <v>2.1303776665297076</v>
      </c>
      <c r="I22">
        <f t="shared" si="0"/>
        <v>1.3492871539597846E-3</v>
      </c>
      <c r="J22">
        <f>Paq_Y_2* EXP(-1*(dE0_Y_2*EXP((-1 * (7.5-(-1*zMid_Y_2)) ^ 2) / (2 * (n_Y_2^ 2))))/(0.00198717*298))</f>
        <v>1.5218202482020382</v>
      </c>
      <c r="K22">
        <f t="shared" si="1"/>
        <v>1.1959740426237443E-2</v>
      </c>
      <c r="M22">
        <v>-4</v>
      </c>
      <c r="N22">
        <f>Paq_Y_1* EXP(-1*(dE0_Y_1*EXP((-1 * (4-zMid_Y_1) ^ 2) / (2 * (n_Y_1^ 2))))/(0.00198717*298))</f>
        <v>1.0806173067736522</v>
      </c>
      <c r="O22">
        <f>Paq_Y_2* EXP(-1*(dE0_Y_2*EXP((-1 * (4-(-1*zMid_Y_2)) ^ 2) / (2 * (n_Y_2^ 2))))/(0.00198717*298))</f>
        <v>1.3651879366756448</v>
      </c>
    </row>
    <row r="23" spans="4:15" x14ac:dyDescent="0.25">
      <c r="D23" s="25">
        <v>9</v>
      </c>
      <c r="E23">
        <v>24.485058176015862</v>
      </c>
      <c r="F23">
        <v>213.79921748310556</v>
      </c>
      <c r="G23">
        <v>1.9646999999999999</v>
      </c>
      <c r="H23">
        <f>Paq_Y_1* EXP(-1*(dE0_Y_1*EXP((-1 * (9-zMid_Y_1) ^ 2) / (2 * (n_Y_1^ 2))))/(0.00198717*298))</f>
        <v>2.0859842124958958</v>
      </c>
      <c r="I23">
        <f t="shared" si="0"/>
        <v>6.7676836493694536E-4</v>
      </c>
      <c r="J23">
        <f>Paq_Y_2* EXP(-1*(dE0_Y_2*EXP((-1 * (9-(-1*zMid_Y_2)) ^ 2) / (2 * (n_Y_2^ 2))))/(0.00198717*298))</f>
        <v>1.392079282656371</v>
      </c>
      <c r="K23">
        <f t="shared" si="1"/>
        <v>2.2389817701217649E-2</v>
      </c>
      <c r="M23">
        <v>-3</v>
      </c>
      <c r="N23">
        <f>Paq_Y_1* EXP(-1*(dE0_Y_1*EXP((-1 * (3-zMid_Y_1) ^ 2) / (2 * (n_Y_1^ 2))))/(0.00198717*298))</f>
        <v>0.94501408744333626</v>
      </c>
      <c r="O23">
        <f>Paq_Y_2* EXP(-1*(dE0_Y_2*EXP((-1 * (3-(-1*zMid_Y_2)) ^ 2) / (2 * (n_Y_2^ 2))))/(0.00198717*298))</f>
        <v>1.2310961387943702</v>
      </c>
    </row>
    <row r="24" spans="4:15" x14ac:dyDescent="0.25">
      <c r="D24" s="26">
        <v>10.5</v>
      </c>
      <c r="E24">
        <v>22.965661949785392</v>
      </c>
      <c r="F24">
        <v>220.63045274559784</v>
      </c>
      <c r="G24">
        <v>1.7857000000000001</v>
      </c>
      <c r="H24">
        <f>Paq_Y_1* EXP(-1*(dE0_Y_1*EXP((-1 * (10.5-zMid_Y_1) ^ 2) / (2 * (n_Y_1^ 2))))/(0.00198717*298))</f>
        <v>1.5756883157116401</v>
      </c>
      <c r="I24">
        <f t="shared" si="0"/>
        <v>2.9526382453216901E-3</v>
      </c>
      <c r="J24">
        <f>Paq_Y_2* EXP(-1*(dE0_Y_2*EXP((-1 * (10.5-(-1*zMid_Y_2)) ^ 2) / (2 * (n_Y_2^ 2))))/(0.00198717*298))</f>
        <v>1.1916432059705191</v>
      </c>
      <c r="K24">
        <f t="shared" si="1"/>
        <v>3.085722866623121E-2</v>
      </c>
      <c r="M24">
        <v>-2</v>
      </c>
      <c r="N24">
        <f>Paq_Y_1* EXP(-1*(dE0_Y_1*EXP((-1 * (2-zMid_Y_1) ^ 2) / (2 * (n_Y_1^ 2))))/(0.00198717*298))</f>
        <v>0.876181740000748</v>
      </c>
      <c r="O24">
        <f>Paq_Y_2* EXP(-1*(dE0_Y_2*EXP((-1 * (2-(-1*zMid_Y_2)) ^ 2) / (2 * (n_Y_2^ 2))))/(0.00198717*298))</f>
        <v>1.0872169862733034</v>
      </c>
    </row>
    <row r="25" spans="4:15" x14ac:dyDescent="0.25">
      <c r="D25" s="27">
        <v>12</v>
      </c>
      <c r="E25">
        <v>13.840037009032491</v>
      </c>
      <c r="F25">
        <v>225.0124392487848</v>
      </c>
      <c r="G25">
        <v>1.0551999999999999</v>
      </c>
      <c r="H25">
        <f>Paq_Y_1* EXP(-1*(dE0_Y_1*EXP((-1 * (12-zMid_Y_1) ^ 2) / (2 * (n_Y_1^ 2))))/(0.00198717*298))</f>
        <v>1.1393604105246073</v>
      </c>
      <c r="I25">
        <f t="shared" si="0"/>
        <v>1.1106450956771211E-3</v>
      </c>
      <c r="J25">
        <f>Paq_Y_2* EXP(-1*(dE0_Y_2*EXP((-1 * (12-(-1*zMid_Y_2)) ^ 2) / (2 * (n_Y_2^ 2))))/(0.00198717*298))</f>
        <v>0.97824983249724706</v>
      </c>
      <c r="K25">
        <f t="shared" si="1"/>
        <v>1.0814232466062458E-3</v>
      </c>
      <c r="M25">
        <v>-1</v>
      </c>
      <c r="N25">
        <f>Paq_Y_1* EXP(-1*(dE0_Y_1*EXP((-1 * (1-zMid_Y_1) ^ 2) / (2 * (n_Y_1^ 2))))/(0.00198717*298))</f>
        <v>0.84554180981265947</v>
      </c>
      <c r="O25">
        <f>Paq_Y_2* EXP(-1*(dE0_Y_2*EXP((-1 * (1-(-1*zMid_Y_2)) ^ 2) / (2 * (n_Y_2^ 2))))/(0.00198717*298))</f>
        <v>0.94808222592464253</v>
      </c>
    </row>
    <row r="26" spans="4:15" x14ac:dyDescent="0.25">
      <c r="D26" s="28">
        <v>13.5</v>
      </c>
      <c r="E26">
        <v>11.867749634602569</v>
      </c>
      <c r="F26">
        <v>218.45557134306293</v>
      </c>
      <c r="G26">
        <v>0.93200000000000005</v>
      </c>
      <c r="H26">
        <f>Paq_Y_1* EXP(-1*(dE0_Y_1*EXP((-1 * (13.5-zMid_Y_1) ^ 2) / (2 * (n_Y_1^ 2))))/(0.00198717*298))</f>
        <v>0.92700161777082934</v>
      </c>
      <c r="I26">
        <f t="shared" si="0"/>
        <v>5.4541879462151281E-6</v>
      </c>
      <c r="J26">
        <f>Paq_Y_2* EXP(-1*(dE0_Y_2*EXP((-1 * (13.5-(-1*zMid_Y_2)) ^ 2) / (2 * (n_Y_2^ 2))))/(0.00198717*298))</f>
        <v>0.7917961426073733</v>
      </c>
      <c r="K26">
        <f t="shared" si="1"/>
        <v>5.0129983513603898E-3</v>
      </c>
      <c r="M26">
        <v>0</v>
      </c>
      <c r="N26">
        <f>Paq_Y_1* EXP(-1*(dE0_Y_1*EXP((-1 * (0-zMid_Y_1) ^ 2) / (2 * (n_Y_1^ 2))))/(0.00198717*298))</f>
        <v>0.83369710376377604</v>
      </c>
      <c r="O26">
        <f>Paq_Y_2* EXP(-1*(dE0_Y_2*EXP((-1 * (0-(-1*zMid_Y_2)) ^ 2) / (2 * (n_Y_2^ 2))))/(0.00198717*298))</f>
        <v>0.82310989480463703</v>
      </c>
    </row>
    <row r="27" spans="4:15" x14ac:dyDescent="0.25">
      <c r="D27" s="29">
        <v>15</v>
      </c>
      <c r="E27">
        <v>11.6213177853517</v>
      </c>
      <c r="F27">
        <v>224.03276726794545</v>
      </c>
      <c r="G27">
        <v>0.88990000000000002</v>
      </c>
      <c r="H27">
        <f>Paq_Y_1* EXP(-1*(dE0_Y_1*EXP((-1 * (15-zMid_Y_1) ^ 2) / (2 * (n_Y_1^ 2))))/(0.00198717*298))</f>
        <v>0.85208162325742565</v>
      </c>
      <c r="I27">
        <f t="shared" si="0"/>
        <v>3.5569989196928366E-4</v>
      </c>
      <c r="J27">
        <f>Paq_Y_2* EXP(-1*(dE0_Y_2*EXP((-1 * (15-(-1*zMid_Y_2)) ^ 2) / (2 * (n_Y_2^ 2))))/(0.00198717*298))</f>
        <v>0.64767064576017108</v>
      </c>
      <c r="K27">
        <f t="shared" si="1"/>
        <v>1.9040410156488077E-2</v>
      </c>
      <c r="M27">
        <v>1</v>
      </c>
      <c r="N27">
        <f>Paq_Y_1* EXP(-1*(dE0_Y_1*EXP((-1 * (1-zMid_Y_1) ^ 2) / (2 * (n_Y_1^ 2))))/(0.00198717*298))</f>
        <v>0.84554180981265947</v>
      </c>
      <c r="O27">
        <f>Paq_Y_2* EXP(-1*(dE0_Y_2*EXP((-1 * (1-(-1*zMid_Y_2)) ^ 2) / (2 * (n_Y_2^ 2))))/(0.00198717*298))</f>
        <v>0.94808222592464253</v>
      </c>
    </row>
    <row r="28" spans="4:15" x14ac:dyDescent="0.25">
      <c r="D28" s="30">
        <v>16.5</v>
      </c>
      <c r="E28">
        <v>11.123397331946574</v>
      </c>
      <c r="F28">
        <v>233.75708221892813</v>
      </c>
      <c r="G28">
        <v>0.81630000000000003</v>
      </c>
      <c r="H28">
        <f>Paq_Y_1* EXP(-1*(dE0_Y_1*EXP((-1 * (16.5-zMid_Y_1) ^ 2) / (2 * (n_Y_1^ 2))))/(0.00198717*298))</f>
        <v>0.83250867516203964</v>
      </c>
      <c r="I28">
        <f t="shared" si="0"/>
        <v>7.2914030366577146E-5</v>
      </c>
      <c r="J28">
        <f>Paq_Y_2* EXP(-1*(dE0_Y_2*EXP((-1 * (16.5-(-1*zMid_Y_2)) ^ 2) / (2 * (n_Y_2^ 2))))/(0.00198717*298))</f>
        <v>0.54474048406637832</v>
      </c>
      <c r="K28">
        <f t="shared" si="1"/>
        <v>3.0856486223557536E-2</v>
      </c>
      <c r="M28">
        <v>2</v>
      </c>
      <c r="N28">
        <f>Paq_Y_1* EXP(-1*(dE0_Y_1*EXP((-1 * (2-zMid_Y_1) ^ 2) / (2 * (n_Y_1^ 2))))/(0.00198717*298))</f>
        <v>0.876181740000748</v>
      </c>
      <c r="O28">
        <f>Paq_Y_2* EXP(-1*(dE0_Y_2*EXP((-1 * (2-(-1*zMid_Y_2)) ^ 2) / (2 * (n_Y_2^ 2))))/(0.00198717*298))</f>
        <v>1.0872169862733034</v>
      </c>
    </row>
    <row r="29" spans="4:15" x14ac:dyDescent="0.25">
      <c r="D29" s="31">
        <v>18</v>
      </c>
      <c r="E29">
        <v>10.446978328237343</v>
      </c>
      <c r="F29">
        <v>221.14244125881021</v>
      </c>
      <c r="G29">
        <v>0.81040000000000001</v>
      </c>
      <c r="H29">
        <f>Paq_Y_1* EXP(-1*(dE0_Y_1*EXP((-1 * (18-zMid_Y_1) ^ 2) / (2 * (n_Y_1^ 2))))/(0.00198717*298))</f>
        <v>0.82883517078144764</v>
      </c>
      <c r="I29">
        <f t="shared" si="0"/>
        <v>9.5428267250649652E-5</v>
      </c>
      <c r="J29">
        <f>Paq_Y_2* EXP(-1*(dE0_Y_2*EXP((-1 * (18-(-1*zMid_Y_2)) ^ 2) / (2 * (n_Y_2^ 2))))/(0.00198717*298))</f>
        <v>0.4750971505396247</v>
      </c>
      <c r="K29">
        <f t="shared" si="1"/>
        <v>5.3785497980906684E-2</v>
      </c>
      <c r="M29">
        <v>3</v>
      </c>
      <c r="N29">
        <f>Paq_Y_1* EXP(-1*(dE0_Y_1*EXP((-1 * (3-zMid_Y_1) ^ 2) / (2 * (n_Y_1^ 2))))/(0.00198717*298))</f>
        <v>0.94501408744333626</v>
      </c>
      <c r="O29">
        <f>Paq_Y_2* EXP(-1*(dE0_Y_2*EXP((-1 * (3-(-1*zMid_Y_2)) ^ 2) / (2 * (n_Y_2^ 2))))/(0.00198717*298))</f>
        <v>1.2310961387943702</v>
      </c>
    </row>
    <row r="30" spans="4:15" x14ac:dyDescent="0.25">
      <c r="D30" s="32">
        <v>19.5</v>
      </c>
      <c r="E30">
        <v>10.605507039346847</v>
      </c>
      <c r="F30">
        <v>203.08284087537984</v>
      </c>
      <c r="G30">
        <v>0.89590000000000003</v>
      </c>
      <c r="H30">
        <f>Paq_Y_1* EXP(-1*(dE0_Y_1*EXP((-1 * (19.5-zMid_Y_1) ^ 2) / (2 * (n_Y_1^ 2))))/(0.00198717*298))</f>
        <v>0.82834827049000304</v>
      </c>
      <c r="I30">
        <f t="shared" si="0"/>
        <v>1.1591687090181143E-3</v>
      </c>
      <c r="J30">
        <f>Paq_Y_2* EXP(-1*(dE0_Y_2*EXP((-1 * (19.5-(-1*zMid_Y_2)) ^ 2) / (2 * (n_Y_2^ 2))))/(0.00198717*298))</f>
        <v>0.42992072289211808</v>
      </c>
      <c r="K30">
        <f t="shared" si="1"/>
        <v>0.10167881492896355</v>
      </c>
      <c r="M30">
        <v>4</v>
      </c>
      <c r="N30">
        <f>Paq_Y_1* EXP(-1*(dE0_Y_1*EXP((-1 * (4-zMid_Y_1) ^ 2) / (2 * (n_Y_1^ 2))))/(0.00198717*298))</f>
        <v>1.0806173067736522</v>
      </c>
      <c r="O30">
        <f>Paq_Y_2* EXP(-1*(dE0_Y_2*EXP((-1 * (4-(-1*zMid_Y_2)) ^ 2) / (2 * (n_Y_2^ 2))))/(0.00198717*298))</f>
        <v>1.3651879366756448</v>
      </c>
    </row>
    <row r="31" spans="4:15" x14ac:dyDescent="0.25">
      <c r="D31" s="33">
        <v>21</v>
      </c>
      <c r="E31">
        <v>9.5857149244719135</v>
      </c>
      <c r="F31">
        <v>202.23586360890673</v>
      </c>
      <c r="G31">
        <v>0.81310000000000004</v>
      </c>
      <c r="H31">
        <f>Paq_Y_1* EXP(-1*(dE0_Y_1*EXP((-1 * (21-zMid_Y_1) ^ 2) / (2 * (n_Y_1^ 2))))/(0.00198717*298))</f>
        <v>0.82830280126703437</v>
      </c>
      <c r="I31">
        <f t="shared" si="0"/>
        <v>6.4724745091743904E-5</v>
      </c>
      <c r="J31">
        <f>Paq_Y_2* EXP(-1*(dE0_Y_2*EXP((-1 * (21-(-1*zMid_Y_2)) ^ 2) / (2 * (n_Y_2^ 2))))/(0.00198717*298))</f>
        <v>0.40175022551508982</v>
      </c>
      <c r="K31">
        <f t="shared" si="1"/>
        <v>9.3750988370464708E-2</v>
      </c>
      <c r="M31">
        <v>5</v>
      </c>
      <c r="N31">
        <f>Paq_Y_1* EXP(-1*(dE0_Y_1*EXP((-1 * (5-zMid_Y_1) ^ 2) / (2 * (n_Y_1^ 2))))/(0.00198717*298))</f>
        <v>1.3137490927218487</v>
      </c>
      <c r="O31">
        <f>Paq_Y_2* EXP(-1*(dE0_Y_2*EXP((-1 * (5-(-1*zMid_Y_2)) ^ 2) / (2 * (n_Y_2^ 2))))/(0.00198717*298))</f>
        <v>1.4717060593882587</v>
      </c>
    </row>
    <row r="32" spans="4:15" x14ac:dyDescent="0.25">
      <c r="D32" s="34">
        <v>22.5</v>
      </c>
      <c r="E32">
        <v>7.9597825569108656</v>
      </c>
      <c r="F32">
        <v>185.59265872251723</v>
      </c>
      <c r="G32">
        <v>0.73580000000000001</v>
      </c>
      <c r="H32">
        <f>Paq_Y_1* EXP(-1*(dE0_Y_1*EXP((-1 * (22.5-zMid_Y_1) ^ 2) / (2 * (n_Y_1^ 2))))/(0.00198717*298))</f>
        <v>0.8282998026095173</v>
      </c>
      <c r="I32">
        <f t="shared" si="0"/>
        <v>2.6448159764431772E-3</v>
      </c>
      <c r="J32">
        <f>Paq_Y_2* EXP(-1*(dE0_Y_2*EXP((-1 * (22.5-(-1*zMid_Y_2)) ^ 2) / (2 * (n_Y_2^ 2))))/(0.00198717*298))</f>
        <v>0.38491093653346758</v>
      </c>
      <c r="K32">
        <f t="shared" si="1"/>
        <v>7.9185696919073748E-2</v>
      </c>
      <c r="M32">
        <v>6</v>
      </c>
      <c r="N32">
        <f>Paq_Y_1* EXP(-1*(dE0_Y_1*EXP((-1 * (6-zMid_Y_1) ^ 2) / (2 * (n_Y_1^ 2))))/(0.00198717*298))</f>
        <v>1.6482081037033589</v>
      </c>
      <c r="O32">
        <f>Paq_Y_2* EXP(-1*(dE0_Y_2*EXP((-1 * (6-(-1*zMid_Y_2)) ^ 2) / (2 * (n_Y_2^ 2))))/(0.00198717*298))</f>
        <v>1.5337005485483881</v>
      </c>
    </row>
    <row r="33" spans="7:15" x14ac:dyDescent="0.25">
      <c r="M33">
        <v>7</v>
      </c>
      <c r="N33">
        <f>Paq_Y_1* EXP(-1*(dE0_Y_1*EXP((-1 * (7-zMid_Y_1) ^ 2) / (2 * (n_Y_1^ 2))))/(0.00198717*298))</f>
        <v>2.0022235146071967</v>
      </c>
      <c r="O33">
        <f>Paq_Y_2* EXP(-1*(dE0_Y_2*EXP((-1 * (7-(-1*zMid_Y_2)) ^ 2) / (2 * (n_Y_2^ 2))))/(0.00198717*298))</f>
        <v>1.540187581329427</v>
      </c>
    </row>
    <row r="34" spans="7:15" x14ac:dyDescent="0.25">
      <c r="G34" t="s">
        <v>18</v>
      </c>
      <c r="H34" s="1" t="s">
        <v>20</v>
      </c>
      <c r="I34">
        <f>SQRT(AVERAGE(I$17:I$32))</f>
        <v>4.6008523763772353E-2</v>
      </c>
      <c r="M34">
        <v>8</v>
      </c>
      <c r="N34">
        <f>Paq_Y_1* EXP(-1*(dE0_Y_1*EXP((-1 * (8-zMid_Y_1) ^ 2) / (2 * (n_Y_1^ 2))))/(0.00198717*298))</f>
        <v>2.1930016283064409</v>
      </c>
      <c r="O34">
        <f>Paq_Y_2* EXP(-1*(dE0_Y_2*EXP((-1 * (8-(-1*zMid_Y_2)) ^ 2) / (2 * (n_Y_2^ 2))))/(0.00198717*298))</f>
        <v>1.4899710051466475</v>
      </c>
    </row>
    <row r="35" spans="7:15" x14ac:dyDescent="0.25">
      <c r="G35" t="s">
        <v>19</v>
      </c>
      <c r="J35" s="1" t="s">
        <v>20</v>
      </c>
      <c r="K35">
        <f>SQRT(AVERAGE(K$2:K$17))</f>
        <v>7.4090543084171429E-2</v>
      </c>
      <c r="M35">
        <v>9</v>
      </c>
      <c r="N35">
        <f>Paq_Y_1* EXP(-1*(dE0_Y_1*EXP((-1 * (9-zMid_Y_1) ^ 2) / (2 * (n_Y_1^ 2))))/(0.00198717*298))</f>
        <v>2.0859842124958958</v>
      </c>
      <c r="O35">
        <f>Paq_Y_2* EXP(-1*(dE0_Y_2*EXP((-1 * (9-(-1*zMid_Y_2)) ^ 2) / (2 * (n_Y_2^ 2))))/(0.00198717*298))</f>
        <v>1.392079282656371</v>
      </c>
    </row>
    <row r="36" spans="7:15" x14ac:dyDescent="0.25">
      <c r="M36">
        <v>10</v>
      </c>
      <c r="N36">
        <f>Paq_Y_1* EXP(-1*(dE0_Y_1*EXP((-1 * (10-zMid_Y_1) ^ 2) / (2 * (n_Y_1^ 2))))/(0.00198717*298))</f>
        <v>1.7595685346142393</v>
      </c>
      <c r="O36">
        <f>Paq_Y_2* EXP(-1*(dE0_Y_2*EXP((-1 * (10-(-1*zMid_Y_2)) ^ 2) / (2 * (n_Y_2^ 2))))/(0.00198717*298))</f>
        <v>1.2625670262377677</v>
      </c>
    </row>
    <row r="37" spans="7:15" x14ac:dyDescent="0.25">
      <c r="M37">
        <v>11</v>
      </c>
      <c r="N37">
        <f>Paq_Y_1* EXP(-1*(dE0_Y_1*EXP((-1 * (11-zMid_Y_1) ^ 2) / (2 * (n_Y_1^ 2))))/(0.00198717*298))</f>
        <v>1.4051815906980873</v>
      </c>
      <c r="O37">
        <f>Paq_Y_2* EXP(-1*(dE0_Y_2*EXP((-1 * (11-(-1*zMid_Y_2)) ^ 2) / (2 * (n_Y_2^ 2))))/(0.00198717*298))</f>
        <v>1.1194551776751245</v>
      </c>
    </row>
    <row r="38" spans="7:15" x14ac:dyDescent="0.25">
      <c r="M38">
        <v>12</v>
      </c>
      <c r="N38">
        <f>Paq_Y_1* EXP(-1*(dE0_Y_1*EXP((-1 * (12-zMid_Y_1) ^ 2) / (2 * (n_Y_1^ 2))))/(0.00198717*298))</f>
        <v>1.1393604105246073</v>
      </c>
      <c r="O38">
        <f>Paq_Y_2* EXP(-1*(dE0_Y_2*EXP((-1 * (12-(-1*zMid_Y_2)) ^ 2) / (2 * (n_Y_2^ 2))))/(0.00198717*298))</f>
        <v>0.97824983249724706</v>
      </c>
    </row>
    <row r="39" spans="7:15" x14ac:dyDescent="0.25">
      <c r="M39">
        <v>13</v>
      </c>
      <c r="N39">
        <f>Paq_Y_1* EXP(-1*(dE0_Y_1*EXP((-1 * (13-zMid_Y_1) ^ 2) / (2 * (n_Y_1^ 2))))/(0.00198717*298))</f>
        <v>0.97728782543870718</v>
      </c>
      <c r="O39">
        <f>Paq_Y_2* EXP(-1*(dE0_Y_2*EXP((-1 * (13-(-1*zMid_Y_2)) ^ 2) / (2 * (n_Y_2^ 2))))/(0.00198717*298))</f>
        <v>0.84955876575726719</v>
      </c>
    </row>
    <row r="40" spans="7:15" x14ac:dyDescent="0.25">
      <c r="M40">
        <v>14</v>
      </c>
      <c r="N40">
        <f>Paq_Y_1* EXP(-1*(dE0_Y_1*EXP((-1 * (14-zMid_Y_1) ^ 2) / (2 * (n_Y_1^ 2))))/(0.00198717*298))</f>
        <v>0.8917303667198796</v>
      </c>
      <c r="O40">
        <f>Paq_Y_2* EXP(-1*(dE0_Y_2*EXP((-1 * (14-(-1*zMid_Y_2)) ^ 2) / (2 * (n_Y_2^ 2))))/(0.00198717*298))</f>
        <v>0.7388727551658052</v>
      </c>
    </row>
    <row r="41" spans="7:15" x14ac:dyDescent="0.25">
      <c r="M41">
        <v>15</v>
      </c>
      <c r="N41">
        <f>Paq_Y_1* EXP(-1*(dE0_Y_1*EXP((-1 * (15-zMid_Y_1) ^ 2) / (2 * (n_Y_1^ 2))))/(0.00198717*298))</f>
        <v>0.85208162325742565</v>
      </c>
      <c r="O41">
        <f>Paq_Y_2* EXP(-1*(dE0_Y_2*EXP((-1 * (15-(-1*zMid_Y_2)) ^ 2) / (2 * (n_Y_2^ 2))))/(0.00198717*298))</f>
        <v>0.64767064576017108</v>
      </c>
    </row>
    <row r="42" spans="7:15" x14ac:dyDescent="0.25">
      <c r="M42">
        <v>16</v>
      </c>
      <c r="N42">
        <f>Paq_Y_1* EXP(-1*(dE0_Y_1*EXP((-1 * (16-zMid_Y_1) ^ 2) / (2 * (n_Y_1^ 2))))/(0.00198717*298))</f>
        <v>0.83607096100510236</v>
      </c>
      <c r="O42">
        <f>Paq_Y_2* EXP(-1*(dE0_Y_2*EXP((-1 * (16-(-1*zMid_Y_2)) ^ 2) / (2 * (n_Y_2^ 2))))/(0.00198717*298))</f>
        <v>0.57490526639659822</v>
      </c>
    </row>
    <row r="43" spans="7:15" x14ac:dyDescent="0.25">
      <c r="M43">
        <v>17</v>
      </c>
      <c r="N43">
        <f>Paq_Y_1* EXP(-1*(dE0_Y_1*EXP((-1 * (17-zMid_Y_1) ^ 2) / (2 * (n_Y_1^ 2))))/(0.00198717*298))</f>
        <v>0.83049694892422499</v>
      </c>
      <c r="O43">
        <f>Paq_Y_2* EXP(-1*(dE0_Y_2*EXP((-1 * (17-(-1*zMid_Y_2)) ^ 2) / (2 * (n_Y_2^ 2))))/(0.00198717*298))</f>
        <v>0.51827776570562989</v>
      </c>
    </row>
    <row r="44" spans="7:15" x14ac:dyDescent="0.25">
      <c r="M44">
        <v>18</v>
      </c>
      <c r="N44">
        <f>Paq_Y_1* EXP(-1*(dE0_Y_1*EXP((-1 * (18-zMid_Y_1) ^ 2) / (2 * (n_Y_1^ 2))))/(0.00198717*298))</f>
        <v>0.82883517078144764</v>
      </c>
      <c r="O44">
        <f>Paq_Y_2* EXP(-1*(dE0_Y_2*EXP((-1 * (18-(-1*zMid_Y_2)) ^ 2) / (2 * (n_Y_2^ 2))))/(0.00198717*298))</f>
        <v>0.4750971505396247</v>
      </c>
    </row>
    <row r="45" spans="7:15" x14ac:dyDescent="0.25">
      <c r="M45">
        <v>19</v>
      </c>
      <c r="N45">
        <f>Paq_Y_1* EXP(-1*(dE0_Y_1*EXP((-1 * (19-zMid_Y_1) ^ 2) / (2 * (n_Y_1^ 2))))/(0.00198717*298))</f>
        <v>0.8284119750274298</v>
      </c>
      <c r="O45">
        <f>Paq_Y_2* EXP(-1*(dE0_Y_2*EXP((-1 * (19-(-1*zMid_Y_2)) ^ 2) / (2 * (n_Y_2^ 2))))/(0.00198717*298))</f>
        <v>0.44275857427087167</v>
      </c>
    </row>
    <row r="46" spans="7:15" x14ac:dyDescent="0.25">
      <c r="M46">
        <v>20</v>
      </c>
      <c r="N46">
        <f>Paq_Y_1* EXP(-1*(dE0_Y_1*EXP((-1 * (20-zMid_Y_1) ^ 2) / (2 * (n_Y_1^ 2))))/(0.00198717*298))</f>
        <v>0.82831991969490015</v>
      </c>
      <c r="O46">
        <f>Paq_Y_2* EXP(-1*(dE0_Y_2*EXP((-1 * (20-(-1*zMid_Y_2)) ^ 2) / (2 * (n_Y_2^ 2))))/(0.00198717*298))</f>
        <v>0.41895716984564718</v>
      </c>
    </row>
    <row r="47" spans="7:15" x14ac:dyDescent="0.25">
      <c r="M47">
        <v>21</v>
      </c>
      <c r="N47">
        <f>Paq_Y_1* EXP(-1*(dE0_Y_1*EXP((-1 * (21-zMid_Y_1) ^ 2) / (2 * (n_Y_1^ 2))))/(0.00198717*298))</f>
        <v>0.82830280126703437</v>
      </c>
      <c r="O47">
        <f>Paq_Y_2* EXP(-1*(dE0_Y_2*EXP((-1 * (21-(-1*zMid_Y_2)) ^ 2) / (2 * (n_Y_2^ 2))))/(0.00198717*298))</f>
        <v>0.40175022551508982</v>
      </c>
    </row>
    <row r="48" spans="7:15" x14ac:dyDescent="0.25">
      <c r="M48">
        <v>22</v>
      </c>
      <c r="N48">
        <f>Paq_Y_1* EXP(-1*(dE0_Y_1*EXP((-1 * (22-zMid_Y_1) ^ 2) / (2 * (n_Y_1^ 2))))/(0.00198717*298))</f>
        <v>0.82830007722780885</v>
      </c>
      <c r="O48">
        <f>Paq_Y_2* EXP(-1*(dE0_Y_2*EXP((-1 * (22-(-1*zMid_Y_2)) ^ 2) / (2 * (n_Y_2^ 2))))/(0.00198717*298))</f>
        <v>0.38954667089099343</v>
      </c>
    </row>
    <row r="49" spans="13:15" x14ac:dyDescent="0.25">
      <c r="M49">
        <v>23</v>
      </c>
      <c r="N49">
        <f>Paq_Y_1* EXP(-1*(dE0_Y_1*EXP((-1 * (23-zMid_Y_1) ^ 2) / (2 * (n_Y_1^ 2))))/(0.00198717*298))</f>
        <v>0.8282997059718763</v>
      </c>
      <c r="O49">
        <f>Paq_Y_2* EXP(-1*(dE0_Y_2*EXP((-1 * (23-(-1*zMid_Y_2)) ^ 2) / (2 * (n_Y_2^ 2))))/(0.00198717*298))</f>
        <v>0.38106912891856087</v>
      </c>
    </row>
    <row r="50" spans="13:15" x14ac:dyDescent="0.25">
      <c r="M50">
        <v>24</v>
      </c>
      <c r="N50">
        <f>Paq_Y_1* EXP(-1*(dE0_Y_1*EXP((-1 * (24-zMid_Y_1) ^ 2) / (2 * (n_Y_1^ 2))))/(0.00198717*298))</f>
        <v>0.8282996626056951</v>
      </c>
      <c r="O50">
        <f>Paq_Y_2* EXP(-1*(dE0_Y_2*EXP((-1 * (24-(-1*zMid_Y_2)) ^ 2) / (2 * (n_Y_2^ 2))))/(0.00198717*298))</f>
        <v>0.37531002656255191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O50"/>
  <sheetViews>
    <sheetView topLeftCell="A31" workbookViewId="0"/>
  </sheetViews>
  <sheetFormatPr defaultRowHeight="15" x14ac:dyDescent="0.25"/>
  <cols>
    <col min="1" max="1" width="6" bestFit="1" customWidth="1"/>
    <col min="2" max="2" width="12.7109375" bestFit="1" customWidth="1"/>
    <col min="4" max="4" width="10.42578125" bestFit="1" customWidth="1"/>
    <col min="5" max="6" width="12" bestFit="1" customWidth="1"/>
    <col min="7" max="7" width="16.140625" bestFit="1" customWidth="1"/>
    <col min="8" max="11" width="12" bestFit="1" customWidth="1"/>
    <col min="13" max="13" width="3.7109375" bestFit="1" customWidth="1"/>
    <col min="14" max="15" width="12" bestFit="1" customWidth="1"/>
  </cols>
  <sheetData>
    <row r="1" spans="1:15" ht="18" x14ac:dyDescent="0.35">
      <c r="A1" s="1" t="s">
        <v>0</v>
      </c>
      <c r="B1">
        <v>4425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M1" s="1" t="s">
        <v>21</v>
      </c>
      <c r="N1" s="1" t="s">
        <v>22</v>
      </c>
      <c r="O1" s="1" t="s">
        <v>23</v>
      </c>
    </row>
    <row r="2" spans="1:15" ht="18" x14ac:dyDescent="0.35">
      <c r="A2" s="1" t="s">
        <v>1</v>
      </c>
      <c r="B2">
        <v>397.48395249352467</v>
      </c>
      <c r="D2" s="4">
        <v>-22.5</v>
      </c>
      <c r="E2">
        <v>3.8131282449387847</v>
      </c>
      <c r="F2">
        <v>37.146305786227806</v>
      </c>
      <c r="G2">
        <v>1.1428</v>
      </c>
      <c r="H2">
        <f>Paq_G_1* EXP(-1*(dE0_G_1*EXP((-1 * (22.5-zMid_G_1) ^ 2) / (2 * (n_G_1^ 2))))/(0.00198717*298))</f>
        <v>1.0338754898774276</v>
      </c>
      <c r="I2">
        <f t="shared" ref="I2:I32" si="0">IF(ISERROR((LOG(H2)-LOG(G2))^2),0,(LOG(H2)-LOG(G2))^2)</f>
        <v>1.8924233164078165E-3</v>
      </c>
      <c r="J2">
        <f>Paq_G_2* EXP(-1*(dE0_G_2*EXP((-1 * (22.5-(-1*zMid_G_2)) ^ 2) / (2 * (n_G_2^ 2))))/(0.00198717*298))</f>
        <v>1.2328324082694773</v>
      </c>
      <c r="K2">
        <f t="shared" ref="K2:K32" si="1">IF(ISERROR((LOG(J2)-LOG(G2))^2),0,(LOG(J2)-LOG(G2))^2)</f>
        <v>1.0846358893297401E-3</v>
      </c>
      <c r="M2">
        <v>-24</v>
      </c>
      <c r="N2">
        <f>Paq_G_1* EXP(-1*(dE0_G_1*EXP((-1 * (24-zMid_G_1) ^ 2) / (2 * (n_G_1^ 2))))/(0.00198717*298))</f>
        <v>1.0747506727851377</v>
      </c>
      <c r="O2">
        <f>Paq_G_2* EXP(-1*(dE0_G_2*EXP((-1 * (24-(-1*zMid_G_2)) ^ 2) / (2 * (n_G_2^ 2))))/(0.00198717*298))</f>
        <v>1.2331948195151847</v>
      </c>
    </row>
    <row r="3" spans="1:15" x14ac:dyDescent="0.25">
      <c r="D3" s="5">
        <v>-21</v>
      </c>
      <c r="E3">
        <v>5.7861737322124505</v>
      </c>
      <c r="F3">
        <v>53.383067205069459</v>
      </c>
      <c r="G3">
        <v>1.2067000000000001</v>
      </c>
      <c r="H3">
        <f>Paq_G_1* EXP(-1*(dE0_G_1*EXP((-1 * (21-zMid_G_1) ^ 2) / (2 * (n_G_1^ 2))))/(0.00198717*298))</f>
        <v>0.98363098033477026</v>
      </c>
      <c r="I3">
        <f t="shared" si="0"/>
        <v>7.8796005205927222E-3</v>
      </c>
      <c r="J3">
        <f>Paq_G_2* EXP(-1*(dE0_G_2*EXP((-1 * (21-(-1*zMid_G_2)) ^ 2) / (2 * (n_G_2^ 2))))/(0.00198717*298))</f>
        <v>1.2314892095614081</v>
      </c>
      <c r="K3">
        <f t="shared" si="1"/>
        <v>7.7991826567550861E-5</v>
      </c>
      <c r="M3">
        <v>-23</v>
      </c>
      <c r="N3">
        <f>Paq_G_1* EXP(-1*(dE0_G_1*EXP((-1 * (23-zMid_G_1) ^ 2) / (2 * (n_G_1^ 2))))/(0.00198717*298))</f>
        <v>1.0487457525896038</v>
      </c>
      <c r="O3">
        <f>Paq_G_2* EXP(-1*(dE0_G_2*EXP((-1 * (23-(-1*zMid_G_2)) ^ 2) / (2 * (n_G_2^ 2))))/(0.00198717*298))</f>
        <v>1.2330113008750068</v>
      </c>
    </row>
    <row r="4" spans="1:15" ht="18" x14ac:dyDescent="0.35">
      <c r="A4" s="2" t="s">
        <v>2</v>
      </c>
      <c r="B4">
        <v>1.1411252625366055</v>
      </c>
      <c r="D4" s="6">
        <v>-19.5</v>
      </c>
      <c r="E4">
        <v>13.261652243503883</v>
      </c>
      <c r="F4">
        <v>104.67349192897072</v>
      </c>
      <c r="G4">
        <v>1.4104000000000001</v>
      </c>
      <c r="H4">
        <f>Paq_G_1* EXP(-1*(dE0_G_1*EXP((-1 * (19.5-zMid_G_1) ^ 2) / (2 * (n_G_1^ 2))))/(0.00198717*298))</f>
        <v>0.93037984942917029</v>
      </c>
      <c r="I4">
        <f t="shared" si="0"/>
        <v>3.2645986427624618E-2</v>
      </c>
      <c r="J4">
        <f>Paq_G_2* EXP(-1*(dE0_G_2*EXP((-1 * (19.5-(-1*zMid_G_2)) ^ 2) / (2 * (n_G_2^ 2))))/(0.00198717*298))</f>
        <v>1.2272086726926128</v>
      </c>
      <c r="K4">
        <f t="shared" si="1"/>
        <v>3.651045698823244E-3</v>
      </c>
      <c r="M4">
        <v>-22</v>
      </c>
      <c r="N4">
        <f>Paq_G_1* EXP(-1*(dE0_G_1*EXP((-1 * (22-zMid_G_1) ^ 2) / (2 * (n_G_1^ 2))))/(0.00198717*298))</f>
        <v>1.0179295817359628</v>
      </c>
      <c r="O4">
        <f>Paq_G_2* EXP(-1*(dE0_G_2*EXP((-1 * (22-(-1*zMid_G_2)) ^ 2) / (2 * (n_G_2^ 2))))/(0.00198717*298))</f>
        <v>1.2325542234031128</v>
      </c>
    </row>
    <row r="5" spans="1:15" ht="18" x14ac:dyDescent="0.35">
      <c r="A5" s="2" t="s">
        <v>3</v>
      </c>
      <c r="B5">
        <v>0.18268592639868997</v>
      </c>
      <c r="D5" s="7">
        <v>-18</v>
      </c>
      <c r="E5">
        <v>20.815388206879955</v>
      </c>
      <c r="F5">
        <v>171.11905245556184</v>
      </c>
      <c r="G5">
        <v>1.3542000000000001</v>
      </c>
      <c r="H5">
        <f>Paq_G_1* EXP(-1*(dE0_G_1*EXP((-1 * (18-zMid_G_1) ^ 2) / (2 * (n_G_1^ 2))))/(0.00198717*298))</f>
        <v>0.88300104765960041</v>
      </c>
      <c r="I5">
        <f t="shared" si="0"/>
        <v>3.4492509216304229E-2</v>
      </c>
      <c r="J5">
        <f>Paq_G_2* EXP(-1*(dE0_G_2*EXP((-1 * (18-(-1*zMid_G_2)) ^ 2) / (2 * (n_G_2^ 2))))/(0.00198717*298))</f>
        <v>1.2155407061951866</v>
      </c>
      <c r="K5">
        <f t="shared" si="1"/>
        <v>2.200857935026025E-3</v>
      </c>
      <c r="M5">
        <v>-21</v>
      </c>
      <c r="N5">
        <f>Paq_G_1* EXP(-1*(dE0_G_1*EXP((-1 * (21-zMid_G_1) ^ 2) / (2 * (n_G_1^ 2))))/(0.00198717*298))</f>
        <v>0.98363098033477026</v>
      </c>
      <c r="O5">
        <f>Paq_G_2* EXP(-1*(dE0_G_2*EXP((-1 * (21-(-1*zMid_G_2)) ^ 2) / (2 * (n_G_2^ 2))))/(0.00198717*298))</f>
        <v>1.2314892095614081</v>
      </c>
    </row>
    <row r="6" spans="1:15" ht="18" x14ac:dyDescent="0.35">
      <c r="A6" s="2" t="s">
        <v>4</v>
      </c>
      <c r="B6">
        <v>14.966112582231132</v>
      </c>
      <c r="D6" s="8">
        <v>-16.5</v>
      </c>
      <c r="E6">
        <v>23.945270923068211</v>
      </c>
      <c r="F6">
        <v>239.24085021505925</v>
      </c>
      <c r="G6">
        <v>1.1142000000000001</v>
      </c>
      <c r="H6">
        <f>Paq_G_1* EXP(-1*(dE0_G_1*EXP((-1 * (16.5-zMid_G_1) ^ 2) / (2 * (n_G_1^ 2))))/(0.00198717*298))</f>
        <v>0.85022905650258818</v>
      </c>
      <c r="I6">
        <f t="shared" si="0"/>
        <v>1.3789149945077286E-2</v>
      </c>
      <c r="J6">
        <f>Paq_G_2* EXP(-1*(dE0_G_2*EXP((-1 * (16.5-(-1*zMid_G_2)) ^ 2) / (2 * (n_G_2^ 2))))/(0.00198717*298))</f>
        <v>1.1885794977574056</v>
      </c>
      <c r="K6">
        <f t="shared" si="1"/>
        <v>7.8764874678161892E-4</v>
      </c>
      <c r="M6">
        <v>-20</v>
      </c>
      <c r="N6">
        <f>Paq_G_1* EXP(-1*(dE0_G_1*EXP((-1 * (20-zMid_G_1) ^ 2) / (2 * (n_G_1^ 2))))/(0.00198717*298))</f>
        <v>0.94794087714533881</v>
      </c>
      <c r="O6">
        <f>Paq_G_2* EXP(-1*(dE0_G_2*EXP((-1 * (20-(-1*zMid_G_2)) ^ 2) / (2 * (n_G_2^ 2))))/(0.00198717*298))</f>
        <v>1.2291700452897885</v>
      </c>
    </row>
    <row r="7" spans="1:15" x14ac:dyDescent="0.25">
      <c r="A7" s="2" t="s">
        <v>5</v>
      </c>
      <c r="B7">
        <v>4.9902514688174051</v>
      </c>
      <c r="D7" s="9">
        <v>-15</v>
      </c>
      <c r="E7">
        <v>28.857190115824011</v>
      </c>
      <c r="F7">
        <v>301.1099037843893</v>
      </c>
      <c r="G7">
        <v>1.0669</v>
      </c>
      <c r="H7">
        <f>Paq_G_1* EXP(-1*(dE0_G_1*EXP((-1 * (15-zMid_G_1) ^ 2) / (2 * (n_G_1^ 2))))/(0.00198717*298))</f>
        <v>0.83821799836278177</v>
      </c>
      <c r="I7">
        <f t="shared" si="0"/>
        <v>1.0976068403037898E-2</v>
      </c>
      <c r="J7">
        <f>Paq_G_2* EXP(-1*(dE0_G_2*EXP((-1 * (15-(-1*zMid_G_2)) ^ 2) / (2 * (n_G_2^ 2))))/(0.00198717*298))</f>
        <v>1.1364861376395605</v>
      </c>
      <c r="K7">
        <f t="shared" si="1"/>
        <v>7.5297706854291933E-4</v>
      </c>
      <c r="M7">
        <v>-19</v>
      </c>
      <c r="N7">
        <f>Paq_G_1* EXP(-1*(dE0_G_1*EXP((-1 * (19-zMid_G_1) ^ 2) / (2 * (n_G_1^ 2))))/(0.00198717*298))</f>
        <v>0.91347287962846624</v>
      </c>
      <c r="O7">
        <f>Paq_G_2* EXP(-1*(dE0_G_2*EXP((-1 * (19-(-1*zMid_G_2)) ^ 2) / (2 * (n_G_2^ 2))))/(0.00198717*298))</f>
        <v>1.2244573944346293</v>
      </c>
    </row>
    <row r="8" spans="1:15" x14ac:dyDescent="0.25">
      <c r="D8" s="10">
        <v>-13.5</v>
      </c>
      <c r="E8">
        <v>30.638531940444647</v>
      </c>
      <c r="F8">
        <v>325.144691447757</v>
      </c>
      <c r="G8">
        <v>1.0489999999999999</v>
      </c>
      <c r="H8">
        <f>Paq_G_1* EXP(-1*(dE0_G_1*EXP((-1 * (13.5-zMid_G_1) ^ 2) / (2 * (n_G_1^ 2))))/(0.00198717*298))</f>
        <v>0.84920620201033603</v>
      </c>
      <c r="I8">
        <f t="shared" si="0"/>
        <v>8.4203253728899734E-3</v>
      </c>
      <c r="J8">
        <f>Paq_G_2* EXP(-1*(dE0_G_2*EXP((-1 * (13.5-(-1*zMid_G_2)) ^ 2) / (2 * (n_G_2^ 2))))/(0.00198717*298))</f>
        <v>1.0538013033467455</v>
      </c>
      <c r="K8">
        <f t="shared" si="1"/>
        <v>3.9332535155406105E-6</v>
      </c>
      <c r="M8">
        <v>-18</v>
      </c>
      <c r="N8">
        <f>Paq_G_1* EXP(-1*(dE0_G_1*EXP((-1 * (18-zMid_G_1) ^ 2) / (2 * (n_G_1^ 2))))/(0.00198717*298))</f>
        <v>0.88300104765960041</v>
      </c>
      <c r="O8">
        <f>Paq_G_2* EXP(-1*(dE0_G_2*EXP((-1 * (18-(-1*zMid_G_2)) ^ 2) / (2 * (n_G_2^ 2))))/(0.00198717*298))</f>
        <v>1.2155407061951866</v>
      </c>
    </row>
    <row r="9" spans="1:15" ht="18" x14ac:dyDescent="0.35">
      <c r="A9" s="3" t="s">
        <v>6</v>
      </c>
      <c r="B9">
        <v>1.2332995590389346</v>
      </c>
      <c r="D9" s="11">
        <v>-12</v>
      </c>
      <c r="E9">
        <v>29.726779540558486</v>
      </c>
      <c r="F9">
        <v>335.09215104301728</v>
      </c>
      <c r="G9">
        <v>0.98760000000000003</v>
      </c>
      <c r="H9">
        <f>Paq_G_1* EXP(-1*(dE0_G_1*EXP((-1 * (12-zMid_G_1) ^ 2) / (2 * (n_G_1^ 2))))/(0.00198717*298))</f>
        <v>0.88114659433505327</v>
      </c>
      <c r="I9">
        <f t="shared" si="0"/>
        <v>2.4535095952351346E-3</v>
      </c>
      <c r="J9">
        <f>Paq_G_2* EXP(-1*(dE0_G_2*EXP((-1 * (12-(-1*zMid_G_2)) ^ 2) / (2 * (n_G_2^ 2))))/(0.00198717*298))</f>
        <v>0.94804558498867575</v>
      </c>
      <c r="K9">
        <f t="shared" si="1"/>
        <v>3.1512857558542657E-4</v>
      </c>
      <c r="M9">
        <v>-17</v>
      </c>
      <c r="N9">
        <f>Paq_G_1* EXP(-1*(dE0_G_1*EXP((-1 * (17-zMid_G_1) ^ 2) / (2 * (n_G_1^ 2))))/(0.00198717*298))</f>
        <v>0.85907739772610914</v>
      </c>
      <c r="O9">
        <f>Paq_G_2* EXP(-1*(dE0_G_2*EXP((-1 * (17-(-1*zMid_G_2)) ^ 2) / (2 * (n_G_2^ 2))))/(0.00198717*298))</f>
        <v>1.1998802911741564</v>
      </c>
    </row>
    <row r="10" spans="1:15" ht="18" x14ac:dyDescent="0.35">
      <c r="A10" s="3" t="s">
        <v>7</v>
      </c>
      <c r="B10">
        <v>0.31487694113583126</v>
      </c>
      <c r="D10" s="12">
        <v>-10.5</v>
      </c>
      <c r="E10">
        <v>26.259886816303581</v>
      </c>
      <c r="F10">
        <v>329.71261028763035</v>
      </c>
      <c r="G10">
        <v>0.88660000000000005</v>
      </c>
      <c r="H10">
        <f>Paq_G_1* EXP(-1*(dE0_G_1*EXP((-1 * (10.5-zMid_G_1) ^ 2) / (2 * (n_G_1^ 2))))/(0.00198717*298))</f>
        <v>0.92804198370643842</v>
      </c>
      <c r="I10">
        <f t="shared" si="0"/>
        <v>3.9362150325370946E-4</v>
      </c>
      <c r="J10">
        <f>Paq_G_2* EXP(-1*(dE0_G_2*EXP((-1 * (10.5-(-1*zMid_G_2)) ^ 2) / (2 * (n_G_2^ 2))))/(0.00198717*298))</f>
        <v>0.84140072131033539</v>
      </c>
      <c r="K10">
        <f t="shared" si="1"/>
        <v>5.1641866995237194E-4</v>
      </c>
      <c r="M10">
        <v>-16</v>
      </c>
      <c r="N10">
        <f>Paq_G_1* EXP(-1*(dE0_G_1*EXP((-1 * (16-zMid_G_1) ^ 2) / (2 * (n_G_1^ 2))))/(0.00198717*298))</f>
        <v>0.8437207529130859</v>
      </c>
      <c r="O10">
        <f>Paq_G_2* EXP(-1*(dE0_G_2*EXP((-1 * (16-(-1*zMid_G_2)) ^ 2) / (2 * (n_G_2^ 2))))/(0.00198717*298))</f>
        <v>1.1744543590176293</v>
      </c>
    </row>
    <row r="11" spans="1:15" ht="18" x14ac:dyDescent="0.35">
      <c r="A11" s="3" t="s">
        <v>8</v>
      </c>
      <c r="B11">
        <v>-7.2463327393253394</v>
      </c>
      <c r="D11" s="13">
        <v>-9</v>
      </c>
      <c r="E11">
        <v>18.784885259506623</v>
      </c>
      <c r="F11">
        <v>284.46716551243782</v>
      </c>
      <c r="G11">
        <v>0.73509999999999998</v>
      </c>
      <c r="H11">
        <f>Paq_G_1* EXP(-1*(dE0_G_1*EXP((-1 * (9-zMid_G_1) ^ 2) / (2 * (n_G_1^ 2))))/(0.00198717*298))</f>
        <v>0.98122877622203053</v>
      </c>
      <c r="I11">
        <f t="shared" si="0"/>
        <v>1.573114300280298E-2</v>
      </c>
      <c r="J11">
        <f>Paq_G_2* EXP(-1*(dE0_G_2*EXP((-1 * (9-(-1*zMid_G_2)) ^ 2) / (2 * (n_G_2^ 2))))/(0.00198717*298))</f>
        <v>0.76073707187639483</v>
      </c>
      <c r="K11">
        <f t="shared" si="1"/>
        <v>2.2165724424990342E-4</v>
      </c>
      <c r="M11">
        <v>-15</v>
      </c>
      <c r="N11">
        <f>Paq_G_1* EXP(-1*(dE0_G_1*EXP((-1 * (15-zMid_G_1) ^ 2) / (2 * (n_G_1^ 2))))/(0.00198717*298))</f>
        <v>0.83821799836278177</v>
      </c>
      <c r="O11">
        <f>Paq_G_2* EXP(-1*(dE0_G_2*EXP((-1 * (15-(-1*zMid_G_2)) ^ 2) / (2 * (n_G_2^ 2))))/(0.00198717*298))</f>
        <v>1.1364861376395605</v>
      </c>
    </row>
    <row r="12" spans="1:15" x14ac:dyDescent="0.25">
      <c r="A12" s="3" t="s">
        <v>9</v>
      </c>
      <c r="B12">
        <v>4.0067104333848107</v>
      </c>
      <c r="D12" s="14">
        <v>-7.5</v>
      </c>
      <c r="E12">
        <v>14.323592155813543</v>
      </c>
      <c r="F12">
        <v>233.0137027127592</v>
      </c>
      <c r="G12">
        <v>0.68430000000000002</v>
      </c>
      <c r="H12">
        <f>Paq_G_1* EXP(-1*(dE0_G_1*EXP((-1 * (7.5-zMid_G_1) ^ 2) / (2 * (n_G_1^ 2))))/(0.00198717*298))</f>
        <v>1.0317733070429693</v>
      </c>
      <c r="I12">
        <f t="shared" si="0"/>
        <v>3.1804352388426889E-2</v>
      </c>
      <c r="J12">
        <f>Paq_G_2* EXP(-1*(dE0_G_2*EXP((-1 * (7.5-(-1*zMid_G_2)) ^ 2) / (2 * (n_G_2^ 2))))/(0.00198717*298))</f>
        <v>0.72544477680716002</v>
      </c>
      <c r="K12">
        <f t="shared" si="1"/>
        <v>6.430189408722437E-4</v>
      </c>
      <c r="M12">
        <v>-14</v>
      </c>
      <c r="N12">
        <f>Paq_G_1* EXP(-1*(dE0_G_1*EXP((-1 * (14-zMid_G_1) ^ 2) / (2 * (n_G_1^ 2))))/(0.00198717*298))</f>
        <v>0.84302673971334652</v>
      </c>
      <c r="O12">
        <f>Paq_G_2* EXP(-1*(dE0_G_2*EXP((-1 * (14-(-1*zMid_G_2)) ^ 2) / (2 * (n_G_2^ 2))))/(0.00198717*298))</f>
        <v>1.0846363699172734</v>
      </c>
    </row>
    <row r="13" spans="1:15" x14ac:dyDescent="0.25">
      <c r="D13" s="15">
        <v>-6</v>
      </c>
      <c r="E13">
        <v>15.686633275350749</v>
      </c>
      <c r="F13">
        <v>229.72199232624777</v>
      </c>
      <c r="G13">
        <v>0.76019999999999999</v>
      </c>
      <c r="H13">
        <f>Paq_G_1* EXP(-1*(dE0_G_1*EXP((-1 * (6-zMid_G_1) ^ 2) / (2 * (n_G_1^ 2))))/(0.00198717*298))</f>
        <v>1.0731548035811327</v>
      </c>
      <c r="I13">
        <f t="shared" si="0"/>
        <v>2.2420423066212433E-2</v>
      </c>
      <c r="J13">
        <f>Paq_G_2* EXP(-1*(dE0_G_2*EXP((-1 * (6-(-1*zMid_G_2)) ^ 2) / (2 * (n_G_2^ 2))))/(0.00198717*298))</f>
        <v>0.74310161029913879</v>
      </c>
      <c r="K13">
        <f t="shared" si="1"/>
        <v>9.7607737943165453E-5</v>
      </c>
      <c r="M13">
        <v>-13</v>
      </c>
      <c r="N13">
        <f>Paq_G_1* EXP(-1*(dE0_G_1*EXP((-1 * (13-zMid_G_1) ^ 2) / (2 * (n_G_1^ 2))))/(0.00198717*298))</f>
        <v>0.85774720568597551</v>
      </c>
      <c r="O13">
        <f>Paq_G_2* EXP(-1*(dE0_G_2*EXP((-1 * (13-(-1*zMid_G_2)) ^ 2) / (2 * (n_G_2^ 2))))/(0.00198717*298))</f>
        <v>1.0202661057474041</v>
      </c>
    </row>
    <row r="14" spans="1:15" x14ac:dyDescent="0.25">
      <c r="D14" s="16">
        <v>-4.5</v>
      </c>
      <c r="E14">
        <v>17.093732193072043</v>
      </c>
      <c r="F14">
        <v>238.06457551464311</v>
      </c>
      <c r="G14">
        <v>0.79930000000000001</v>
      </c>
      <c r="H14">
        <f>Paq_G_1* EXP(-1*(dE0_G_1*EXP((-1 * (4.5-zMid_G_1) ^ 2) / (2 * (n_G_1^ 2))))/(0.00198717*298))</f>
        <v>1.1027534977272611</v>
      </c>
      <c r="I14">
        <f t="shared" si="0"/>
        <v>1.9535270206971687E-2</v>
      </c>
      <c r="J14">
        <f>Paq_G_2* EXP(-1*(dE0_G_2*EXP((-1 * (4.5-(-1*zMid_G_2)) ^ 2) / (2 * (n_G_2^ 2))))/(0.00198717*298))</f>
        <v>0.81000598924812095</v>
      </c>
      <c r="K14">
        <f t="shared" si="1"/>
        <v>3.3390104508290684E-5</v>
      </c>
      <c r="M14">
        <v>-12</v>
      </c>
      <c r="N14">
        <f>Paq_G_1* EXP(-1*(dE0_G_1*EXP((-1 * (12-zMid_G_1) ^ 2) / (2 * (n_G_1^ 2))))/(0.00198717*298))</f>
        <v>0.88114659433505327</v>
      </c>
      <c r="O14">
        <f>Paq_G_2* EXP(-1*(dE0_G_2*EXP((-1 * (12-(-1*zMid_G_2)) ^ 2) / (2 * (n_G_2^ 2))))/(0.00198717*298))</f>
        <v>0.94804558498867575</v>
      </c>
    </row>
    <row r="15" spans="1:15" x14ac:dyDescent="0.25">
      <c r="D15" s="17">
        <v>-3</v>
      </c>
      <c r="E15">
        <v>18.499579323163243</v>
      </c>
      <c r="F15">
        <v>209.69845561618712</v>
      </c>
      <c r="G15">
        <v>0.98209999999999997</v>
      </c>
      <c r="H15">
        <f>Paq_G_1* EXP(-1*(dE0_G_1*EXP((-1 * (3-zMid_G_1) ^ 2) / (2 * (n_G_1^ 2))))/(0.00198717*298))</f>
        <v>1.1214357346087978</v>
      </c>
      <c r="I15">
        <f t="shared" si="0"/>
        <v>3.3199122569293315E-3</v>
      </c>
      <c r="J15">
        <f>Paq_G_2* EXP(-1*(dE0_G_2*EXP((-1 * (3-(-1*zMid_G_2)) ^ 2) / (2 * (n_G_2^ 2))))/(0.00198717*298))</f>
        <v>0.91069147380728488</v>
      </c>
      <c r="K15">
        <f t="shared" si="1"/>
        <v>1.0748195359693146E-3</v>
      </c>
      <c r="M15">
        <v>-11</v>
      </c>
      <c r="N15">
        <f>Paq_G_1* EXP(-1*(dE0_G_1*EXP((-1 * (11-zMid_G_1) ^ 2) / (2 * (n_G_1^ 2))))/(0.00198717*298))</f>
        <v>0.91125070250941087</v>
      </c>
      <c r="O15">
        <f>Paq_G_2* EXP(-1*(dE0_G_2*EXP((-1 * (11-(-1*zMid_G_2)) ^ 2) / (2 * (n_G_2^ 2))))/(0.00198717*298))</f>
        <v>0.87532786702182308</v>
      </c>
    </row>
    <row r="16" spans="1:15" x14ac:dyDescent="0.25">
      <c r="D16" s="18">
        <v>-1.5</v>
      </c>
      <c r="E16">
        <v>18.705243570181814</v>
      </c>
      <c r="F16">
        <v>193.12505159558162</v>
      </c>
      <c r="G16">
        <v>1.0782</v>
      </c>
      <c r="H16">
        <f>Paq_G_1* EXP(-1*(dE0_G_1*EXP((-1 * (1.5-zMid_G_1) ^ 2) / (2 * (n_G_1^ 2))))/(0.00198717*298))</f>
        <v>1.1319291281338477</v>
      </c>
      <c r="I16">
        <f t="shared" si="0"/>
        <v>4.4605052867381639E-4</v>
      </c>
      <c r="J16">
        <f>Paq_G_2* EXP(-1*(dE0_G_2*EXP((-1 * (1.5-(-1*zMid_G_2)) ^ 2) / (2 * (n_G_2^ 2))))/(0.00198717*298))</f>
        <v>1.0197573073815072</v>
      </c>
      <c r="K16">
        <f t="shared" si="1"/>
        <v>5.8576107512935366E-4</v>
      </c>
      <c r="M16">
        <v>-10</v>
      </c>
      <c r="N16">
        <f>Paq_G_1* EXP(-1*(dE0_G_1*EXP((-1 * (10-zMid_G_1) ^ 2) / (2 * (n_G_1^ 2))))/(0.00198717*298))</f>
        <v>0.94553499785499306</v>
      </c>
      <c r="O16">
        <f>Paq_G_2* EXP(-1*(dE0_G_2*EXP((-1 * (10-(-1*zMid_G_2)) ^ 2) / (2 * (n_G_2^ 2))))/(0.00198717*298))</f>
        <v>0.81043367850013226</v>
      </c>
    </row>
    <row r="17" spans="4:15" x14ac:dyDescent="0.25">
      <c r="D17" s="19">
        <v>0</v>
      </c>
      <c r="E17">
        <v>16.796957056980002</v>
      </c>
      <c r="F17">
        <v>197.31337553026106</v>
      </c>
      <c r="G17">
        <v>0.94769999999999999</v>
      </c>
      <c r="H17">
        <f>Paq_G_1* EXP(-1*(dE0_G_1*EXP((-1 * (0-zMid_G_1) ^ 2) / (2 * (n_G_1^ 2))))/(0.00198717*298))</f>
        <v>1.137210299830975</v>
      </c>
      <c r="I17">
        <f t="shared" si="0"/>
        <v>6.26787367741079E-3</v>
      </c>
      <c r="J17">
        <f>Paq_G_2* EXP(-1*(dE0_G_2*EXP((-1 * (0-(-1*zMid_G_2)) ^ 2) / (2 * (n_G_2^ 2))))/(0.00198717*298))</f>
        <v>1.1119058772808479</v>
      </c>
      <c r="K17">
        <f t="shared" si="1"/>
        <v>4.8159637610097252E-3</v>
      </c>
      <c r="M17">
        <v>-9</v>
      </c>
      <c r="N17">
        <f>Paq_G_1* EXP(-1*(dE0_G_1*EXP((-1 * (9-zMid_G_1) ^ 2) / (2 * (n_G_1^ 2))))/(0.00198717*298))</f>
        <v>0.98122877622203053</v>
      </c>
      <c r="O17">
        <f>Paq_G_2* EXP(-1*(dE0_G_2*EXP((-1 * (9-(-1*zMid_G_2)) ^ 2) / (2 * (n_G_2^ 2))))/(0.00198717*298))</f>
        <v>0.76073707187639483</v>
      </c>
    </row>
    <row r="18" spans="4:15" x14ac:dyDescent="0.25">
      <c r="D18" s="20">
        <v>1.5</v>
      </c>
      <c r="E18">
        <v>23.180330607118044</v>
      </c>
      <c r="F18">
        <v>211.87289009819162</v>
      </c>
      <c r="G18">
        <v>1.218</v>
      </c>
      <c r="H18">
        <f>Paq_G_1* EXP(-1*(dE0_G_1*EXP((-1 * (1.5-zMid_G_1) ^ 2) / (2 * (n_G_1^ 2))))/(0.00198717*298))</f>
        <v>1.1319291281338477</v>
      </c>
      <c r="I18">
        <f t="shared" si="0"/>
        <v>1.0130249230879396E-3</v>
      </c>
      <c r="J18">
        <f>Paq_G_2* EXP(-1*(dE0_G_2*EXP((-1 * (1.5-(-1*zMid_G_2)) ^ 2) / (2 * (n_G_2^ 2))))/(0.00198717*298))</f>
        <v>1.0197573073815072</v>
      </c>
      <c r="K18">
        <f t="shared" si="1"/>
        <v>5.9521938218735707E-3</v>
      </c>
      <c r="M18">
        <v>-8</v>
      </c>
      <c r="N18">
        <f>Paq_G_1* EXP(-1*(dE0_G_1*EXP((-1 * (8-zMid_G_1) ^ 2) / (2 * (n_G_1^ 2))))/(0.00198717*298))</f>
        <v>1.0156952914226585</v>
      </c>
      <c r="O18">
        <f>Paq_G_2* EXP(-1*(dE0_G_2*EXP((-1 * (8-(-1*zMid_G_2)) ^ 2) / (2 * (n_G_2^ 2))))/(0.00198717*298))</f>
        <v>0.73146141939672493</v>
      </c>
    </row>
    <row r="19" spans="4:15" x14ac:dyDescent="0.25">
      <c r="D19" s="21">
        <v>3</v>
      </c>
      <c r="E19">
        <v>25.125656723791245</v>
      </c>
      <c r="F19">
        <v>212.60048258233337</v>
      </c>
      <c r="G19">
        <v>1.3157000000000001</v>
      </c>
      <c r="H19">
        <f>Paq_G_1* EXP(-1*(dE0_G_1*EXP((-1 * (3-zMid_G_1) ^ 2) / (2 * (n_G_1^ 2))))/(0.00198717*298))</f>
        <v>1.1214357346087978</v>
      </c>
      <c r="I19">
        <f t="shared" si="0"/>
        <v>4.8139290708541132E-3</v>
      </c>
      <c r="J19">
        <f>Paq_G_2* EXP(-1*(dE0_G_2*EXP((-1 * (3-(-1*zMid_G_2)) ^ 2) / (2 * (n_G_2^ 2))))/(0.00198717*298))</f>
        <v>0.91069147380728488</v>
      </c>
      <c r="K19">
        <f t="shared" si="1"/>
        <v>2.5531439278567603E-2</v>
      </c>
      <c r="M19">
        <v>-7</v>
      </c>
      <c r="N19">
        <f>Paq_G_1* EXP(-1*(dE0_G_1*EXP((-1 * (7-zMid_G_1) ^ 2) / (2 * (n_G_1^ 2))))/(0.00198717*298))</f>
        <v>1.0467987713120939</v>
      </c>
      <c r="O19">
        <f>Paq_G_2* EXP(-1*(dE0_G_2*EXP((-1 * (7-(-1*zMid_G_2)) ^ 2) / (2 * (n_G_2^ 2))))/(0.00198717*298))</f>
        <v>0.72540080532900963</v>
      </c>
    </row>
    <row r="20" spans="4:15" x14ac:dyDescent="0.25">
      <c r="D20" s="22">
        <v>4.5</v>
      </c>
      <c r="E20">
        <v>19.446421839616232</v>
      </c>
      <c r="F20">
        <v>207.82615645104704</v>
      </c>
      <c r="G20">
        <v>1.0417000000000001</v>
      </c>
      <c r="H20">
        <f>Paq_G_1* EXP(-1*(dE0_G_1*EXP((-1 * (4.5-zMid_G_1) ^ 2) / (2 * (n_G_1^ 2))))/(0.00198717*298))</f>
        <v>1.1027534977272611</v>
      </c>
      <c r="I20">
        <f t="shared" si="0"/>
        <v>6.1185880190698034E-4</v>
      </c>
      <c r="J20">
        <f>Paq_G_2* EXP(-1*(dE0_G_2*EXP((-1 * (4.5-(-1*zMid_G_2)) ^ 2) / (2 * (n_G_2^ 2))))/(0.00198717*298))</f>
        <v>0.81000598924812095</v>
      </c>
      <c r="K20">
        <f t="shared" si="1"/>
        <v>1.1936531362503075E-2</v>
      </c>
      <c r="M20">
        <v>-6</v>
      </c>
      <c r="N20">
        <f>Paq_G_1* EXP(-1*(dE0_G_1*EXP((-1 * (6-zMid_G_1) ^ 2) / (2 * (n_G_1^ 2))))/(0.00198717*298))</f>
        <v>1.0731548035811327</v>
      </c>
      <c r="O20">
        <f>Paq_G_2* EXP(-1*(dE0_G_2*EXP((-1 * (6-(-1*zMid_G_2)) ^ 2) / (2 * (n_G_2^ 2))))/(0.00198717*298))</f>
        <v>0.74310161029913879</v>
      </c>
    </row>
    <row r="21" spans="4:15" x14ac:dyDescent="0.25">
      <c r="D21" s="23">
        <v>6</v>
      </c>
      <c r="E21">
        <v>20.252046107477028</v>
      </c>
      <c r="F21">
        <v>218.70380004479716</v>
      </c>
      <c r="G21">
        <v>1.0308999999999999</v>
      </c>
      <c r="H21">
        <f>Paq_G_1* EXP(-1*(dE0_G_1*EXP((-1 * (6-zMid_G_1) ^ 2) / (2 * (n_G_1^ 2))))/(0.00198717*298))</f>
        <v>1.0731548035811327</v>
      </c>
      <c r="I21">
        <f t="shared" si="0"/>
        <v>3.0435713248345455E-4</v>
      </c>
      <c r="J21">
        <f>Paq_G_2* EXP(-1*(dE0_G_2*EXP((-1 * (6-(-1*zMid_G_2)) ^ 2) / (2 * (n_G_2^ 2))))/(0.00198717*298))</f>
        <v>0.74310161029913879</v>
      </c>
      <c r="K21">
        <f t="shared" si="1"/>
        <v>2.0211836103059565E-2</v>
      </c>
      <c r="M21">
        <v>-5</v>
      </c>
      <c r="N21">
        <f>Paq_G_1* EXP(-1*(dE0_G_1*EXP((-1 * (5-zMid_G_1) ^ 2) / (2 * (n_G_1^ 2))))/(0.00198717*298))</f>
        <v>1.0941991545064358</v>
      </c>
      <c r="O21">
        <f>Paq_G_2* EXP(-1*(dE0_G_2*EXP((-1 * (5-(-1*zMid_G_2)) ^ 2) / (2 * (n_G_2^ 2))))/(0.00198717*298))</f>
        <v>0.78293607486466155</v>
      </c>
    </row>
    <row r="22" spans="4:15" x14ac:dyDescent="0.25">
      <c r="D22" s="24">
        <v>7.5</v>
      </c>
      <c r="E22">
        <v>20.673318495041936</v>
      </c>
      <c r="F22">
        <v>210.91142211418727</v>
      </c>
      <c r="G22">
        <v>1.0911999999999999</v>
      </c>
      <c r="H22">
        <f>Paq_G_1* EXP(-1*(dE0_G_1*EXP((-1 * (7.5-zMid_G_1) ^ 2) / (2 * (n_G_1^ 2))))/(0.00198717*298))</f>
        <v>1.0317733070429693</v>
      </c>
      <c r="I22">
        <f t="shared" si="0"/>
        <v>5.9146576789635252E-4</v>
      </c>
      <c r="J22">
        <f>Paq_G_2* EXP(-1*(dE0_G_2*EXP((-1 * (7.5-(-1*zMid_G_2)) ^ 2) / (2 * (n_G_2^ 2))))/(0.00198717*298))</f>
        <v>0.72544477680716002</v>
      </c>
      <c r="K22">
        <f t="shared" si="1"/>
        <v>3.1435289707486359E-2</v>
      </c>
      <c r="M22">
        <v>-4</v>
      </c>
      <c r="N22">
        <f>Paq_G_1* EXP(-1*(dE0_G_1*EXP((-1 * (4-zMid_G_1) ^ 2) / (2 * (n_G_1^ 2))))/(0.00198717*298))</f>
        <v>1.1100797206842938</v>
      </c>
      <c r="O22">
        <f>Paq_G_2* EXP(-1*(dE0_G_2*EXP((-1 * (4-(-1*zMid_G_2)) ^ 2) / (2 * (n_G_2^ 2))))/(0.00198717*298))</f>
        <v>0.84092277752833289</v>
      </c>
    </row>
    <row r="23" spans="4:15" x14ac:dyDescent="0.25">
      <c r="D23" s="25">
        <v>9</v>
      </c>
      <c r="E23">
        <v>18.347339696657489</v>
      </c>
      <c r="F23">
        <v>213.79921748310556</v>
      </c>
      <c r="G23">
        <v>0.95530000000000004</v>
      </c>
      <c r="H23">
        <f>Paq_G_1* EXP(-1*(dE0_G_1*EXP((-1 * (9-zMid_G_1) ^ 2) / (2 * (n_G_1^ 2))))/(0.00198717*298))</f>
        <v>0.98122877622203053</v>
      </c>
      <c r="I23">
        <f t="shared" si="0"/>
        <v>1.3526849322373783E-4</v>
      </c>
      <c r="J23">
        <f>Paq_G_2* EXP(-1*(dE0_G_2*EXP((-1 * (9-(-1*zMid_G_2)) ^ 2) / (2 * (n_G_2^ 2))))/(0.00198717*298))</f>
        <v>0.76073707187639483</v>
      </c>
      <c r="K23">
        <f t="shared" si="1"/>
        <v>9.7822380219653848E-3</v>
      </c>
      <c r="M23">
        <v>-3</v>
      </c>
      <c r="N23">
        <f>Paq_G_1* EXP(-1*(dE0_G_1*EXP((-1 * (3-zMid_G_1) ^ 2) / (2 * (n_G_1^ 2))))/(0.00198717*298))</f>
        <v>1.1214357346087978</v>
      </c>
      <c r="O23">
        <f>Paq_G_2* EXP(-1*(dE0_G_2*EXP((-1 * (3-(-1*zMid_G_2)) ^ 2) / (2 * (n_G_2^ 2))))/(0.00198717*298))</f>
        <v>0.91069147380728488</v>
      </c>
    </row>
    <row r="24" spans="4:15" x14ac:dyDescent="0.25">
      <c r="D24" s="26">
        <v>10.5</v>
      </c>
      <c r="E24">
        <v>17.524778227481033</v>
      </c>
      <c r="F24">
        <v>220.63045274559784</v>
      </c>
      <c r="G24">
        <v>0.88429999999999997</v>
      </c>
      <c r="H24">
        <f>Paq_G_1* EXP(-1*(dE0_G_1*EXP((-1 * (10.5-zMid_G_1) ^ 2) / (2 * (n_G_1^ 2))))/(0.00198717*298))</f>
        <v>0.92804198370643842</v>
      </c>
      <c r="I24">
        <f t="shared" si="0"/>
        <v>4.3965696962159994E-4</v>
      </c>
      <c r="J24">
        <f>Paq_G_2* EXP(-1*(dE0_G_2*EXP((-1 * (10.5-(-1*zMid_G_2)) ^ 2) / (2 * (n_G_2^ 2))))/(0.00198717*298))</f>
        <v>0.84140072131033539</v>
      </c>
      <c r="K24">
        <f t="shared" si="1"/>
        <v>4.6641939567275778E-4</v>
      </c>
      <c r="M24">
        <v>-2</v>
      </c>
      <c r="N24">
        <f>Paq_G_1* EXP(-1*(dE0_G_1*EXP((-1 * (2-zMid_G_1) ^ 2) / (2 * (n_G_1^ 2))))/(0.00198717*298))</f>
        <v>1.1291491789399017</v>
      </c>
      <c r="O24">
        <f>Paq_G_2* EXP(-1*(dE0_G_2*EXP((-1 * (2-(-1*zMid_G_2)) ^ 2) / (2 * (n_G_2^ 2))))/(0.00198717*298))</f>
        <v>0.98419188143911696</v>
      </c>
    </row>
    <row r="25" spans="4:15" x14ac:dyDescent="0.25">
      <c r="D25" s="27">
        <v>12</v>
      </c>
      <c r="E25">
        <v>18.191647823117286</v>
      </c>
      <c r="F25">
        <v>225.0124392487848</v>
      </c>
      <c r="G25">
        <v>0.9</v>
      </c>
      <c r="H25">
        <f>Paq_G_1* EXP(-1*(dE0_G_1*EXP((-1 * (12-zMid_G_1) ^ 2) / (2 * (n_G_1^ 2))))/(0.00198717*298))</f>
        <v>0.88114659433505327</v>
      </c>
      <c r="I25">
        <f t="shared" si="0"/>
        <v>8.4535932920723654E-5</v>
      </c>
      <c r="J25">
        <f>Paq_G_2* EXP(-1*(dE0_G_2*EXP((-1 * (12-(-1*zMid_G_2)) ^ 2) / (2 * (n_G_2^ 2))))/(0.00198717*298))</f>
        <v>0.94804558498867575</v>
      </c>
      <c r="K25">
        <f t="shared" si="1"/>
        <v>5.1015949726636019E-4</v>
      </c>
      <c r="M25">
        <v>-1</v>
      </c>
      <c r="N25">
        <f>Paq_G_1* EXP(-1*(dE0_G_1*EXP((-1 * (1-zMid_G_1) ^ 2) / (2 * (n_G_1^ 2))))/(0.00198717*298))</f>
        <v>1.1341360988466487</v>
      </c>
      <c r="O25">
        <f>Paq_G_2* EXP(-1*(dE0_G_2*EXP((-1 * (1-(-1*zMid_G_2)) ^ 2) / (2 * (n_G_2^ 2))))/(0.00198717*298))</f>
        <v>1.0533274367037702</v>
      </c>
    </row>
    <row r="26" spans="4:15" x14ac:dyDescent="0.25">
      <c r="D26" s="28">
        <v>13.5</v>
      </c>
      <c r="E26">
        <v>16.156016500002814</v>
      </c>
      <c r="F26">
        <v>218.45557134306293</v>
      </c>
      <c r="G26">
        <v>0.82330000000000003</v>
      </c>
      <c r="H26">
        <f>Paq_G_1* EXP(-1*(dE0_G_1*EXP((-1 * (13.5-zMid_G_1) ^ 2) / (2 * (n_G_1^ 2))))/(0.00198717*298))</f>
        <v>0.84920620201033603</v>
      </c>
      <c r="I26">
        <f t="shared" si="0"/>
        <v>1.8103815194637032E-4</v>
      </c>
      <c r="J26">
        <f>Paq_G_2* EXP(-1*(dE0_G_2*EXP((-1 * (13.5-(-1*zMid_G_2)) ^ 2) / (2 * (n_G_2^ 2))))/(0.00198717*298))</f>
        <v>1.0538013033467455</v>
      </c>
      <c r="K26">
        <f t="shared" si="1"/>
        <v>1.1491972062884766E-2</v>
      </c>
      <c r="M26">
        <v>0</v>
      </c>
      <c r="N26">
        <f>Paq_G_1* EXP(-1*(dE0_G_1*EXP((-1 * (0-zMid_G_1) ^ 2) / (2 * (n_G_1^ 2))))/(0.00198717*298))</f>
        <v>1.137210299830975</v>
      </c>
      <c r="O26">
        <f>Paq_G_2* EXP(-1*(dE0_G_2*EXP((-1 * (0-(-1*zMid_G_2)) ^ 2) / (2 * (n_G_2^ 2))))/(0.00198717*298))</f>
        <v>1.1119058772808479</v>
      </c>
    </row>
    <row r="27" spans="4:15" x14ac:dyDescent="0.25">
      <c r="D27" s="29">
        <v>15</v>
      </c>
      <c r="E27">
        <v>17.665444785243853</v>
      </c>
      <c r="F27">
        <v>224.03276726794545</v>
      </c>
      <c r="G27">
        <v>0.87780000000000002</v>
      </c>
      <c r="H27">
        <f>Paq_G_1* EXP(-1*(dE0_G_1*EXP((-1 * (15-zMid_G_1) ^ 2) / (2 * (n_G_1^ 2))))/(0.00198717*298))</f>
        <v>0.83821799836278177</v>
      </c>
      <c r="I27">
        <f t="shared" si="0"/>
        <v>4.0154527611976746E-4</v>
      </c>
      <c r="J27">
        <f>Paq_G_2* EXP(-1*(dE0_G_2*EXP((-1 * (15-(-1*zMid_G_2)) ^ 2) / (2 * (n_G_2^ 2))))/(0.00198717*298))</f>
        <v>1.1364861376395605</v>
      </c>
      <c r="K27">
        <f t="shared" si="1"/>
        <v>1.2581787254659851E-2</v>
      </c>
      <c r="M27">
        <v>1</v>
      </c>
      <c r="N27">
        <f>Paq_G_1* EXP(-1*(dE0_G_1*EXP((-1 * (1-zMid_G_1) ^ 2) / (2 * (n_G_1^ 2))))/(0.00198717*298))</f>
        <v>1.1341360988466487</v>
      </c>
      <c r="O27">
        <f>Paq_G_2* EXP(-1*(dE0_G_2*EXP((-1 * (1-(-1*zMid_G_2)) ^ 2) / (2 * (n_G_2^ 2))))/(0.00198717*298))</f>
        <v>1.0533274367037702</v>
      </c>
    </row>
    <row r="28" spans="4:15" x14ac:dyDescent="0.25">
      <c r="D28" s="30">
        <v>16.5</v>
      </c>
      <c r="E28">
        <v>19.784574930543069</v>
      </c>
      <c r="F28">
        <v>233.75708221892813</v>
      </c>
      <c r="G28">
        <v>0.94220000000000004</v>
      </c>
      <c r="H28">
        <f>Paq_G_1* EXP(-1*(dE0_G_1*EXP((-1 * (16.5-zMid_G_1) ^ 2) / (2 * (n_G_1^ 2))))/(0.00198717*298))</f>
        <v>0.85022905650258818</v>
      </c>
      <c r="I28">
        <f t="shared" si="0"/>
        <v>1.9897984593783584E-3</v>
      </c>
      <c r="J28">
        <f>Paq_G_2* EXP(-1*(dE0_G_2*EXP((-1 * (16.5-(-1*zMid_G_2)) ^ 2) / (2 * (n_G_2^ 2))))/(0.00198717*298))</f>
        <v>1.1885794977574056</v>
      </c>
      <c r="K28">
        <f t="shared" si="1"/>
        <v>1.0177810419615435E-2</v>
      </c>
      <c r="M28">
        <v>2</v>
      </c>
      <c r="N28">
        <f>Paq_G_1* EXP(-1*(dE0_G_1*EXP((-1 * (2-zMid_G_1) ^ 2) / (2 * (n_G_1^ 2))))/(0.00198717*298))</f>
        <v>1.1291491789399017</v>
      </c>
      <c r="O28">
        <f>Paq_G_2* EXP(-1*(dE0_G_2*EXP((-1 * (2-(-1*zMid_G_2)) ^ 2) / (2 * (n_G_2^ 2))))/(0.00198717*298))</f>
        <v>0.98419188143911696</v>
      </c>
    </row>
    <row r="29" spans="4:15" x14ac:dyDescent="0.25">
      <c r="D29" s="31">
        <v>18</v>
      </c>
      <c r="E29">
        <v>16.780268783309616</v>
      </c>
      <c r="F29">
        <v>221.14244125881021</v>
      </c>
      <c r="G29">
        <v>0.84470000000000001</v>
      </c>
      <c r="H29">
        <f>Paq_G_1* EXP(-1*(dE0_G_1*EXP((-1 * (18-zMid_G_1) ^ 2) / (2 * (n_G_1^ 2))))/(0.00198717*298))</f>
        <v>0.88300104765960041</v>
      </c>
      <c r="I29">
        <f t="shared" si="0"/>
        <v>3.7089847611644069E-4</v>
      </c>
      <c r="J29">
        <f>Paq_G_2* EXP(-1*(dE0_G_2*EXP((-1 * (18-(-1*zMid_G_2)) ^ 2) / (2 * (n_G_2^ 2))))/(0.00198717*298))</f>
        <v>1.2155407061951866</v>
      </c>
      <c r="K29">
        <f t="shared" si="1"/>
        <v>2.4985180584160833E-2</v>
      </c>
      <c r="M29">
        <v>3</v>
      </c>
      <c r="N29">
        <f>Paq_G_1* EXP(-1*(dE0_G_1*EXP((-1 * (3-zMid_G_1) ^ 2) / (2 * (n_G_1^ 2))))/(0.00198717*298))</f>
        <v>1.1214357346087978</v>
      </c>
      <c r="O29">
        <f>Paq_G_2* EXP(-1*(dE0_G_2*EXP((-1 * (3-(-1*zMid_G_2)) ^ 2) / (2 * (n_G_2^ 2))))/(0.00198717*298))</f>
        <v>0.91069147380728488</v>
      </c>
    </row>
    <row r="30" spans="4:15" x14ac:dyDescent="0.25">
      <c r="D30" s="32">
        <v>19.5</v>
      </c>
      <c r="E30">
        <v>14.16691582319525</v>
      </c>
      <c r="F30">
        <v>203.08284087537984</v>
      </c>
      <c r="G30">
        <v>0.77659999999999996</v>
      </c>
      <c r="H30">
        <f>Paq_G_1* EXP(-1*(dE0_G_1*EXP((-1 * (19.5-zMid_G_1) ^ 2) / (2 * (n_G_1^ 2))))/(0.00198717*298))</f>
        <v>0.93037984942917029</v>
      </c>
      <c r="I30">
        <f t="shared" si="0"/>
        <v>6.1564281630820993E-3</v>
      </c>
      <c r="J30">
        <f>Paq_G_2* EXP(-1*(dE0_G_2*EXP((-1 * (19.5-(-1*zMid_G_2)) ^ 2) / (2 * (n_G_2^ 2))))/(0.00198717*298))</f>
        <v>1.2272086726926128</v>
      </c>
      <c r="K30">
        <f t="shared" si="1"/>
        <v>3.9490047592559259E-2</v>
      </c>
      <c r="M30">
        <v>4</v>
      </c>
      <c r="N30">
        <f>Paq_G_1* EXP(-1*(dE0_G_1*EXP((-1 * (4-zMid_G_1) ^ 2) / (2 * (n_G_1^ 2))))/(0.00198717*298))</f>
        <v>1.1100797206842938</v>
      </c>
      <c r="O30">
        <f>Paq_G_2* EXP(-1*(dE0_G_2*EXP((-1 * (4-(-1*zMid_G_2)) ^ 2) / (2 * (n_G_2^ 2))))/(0.00198717*298))</f>
        <v>0.84092277752833289</v>
      </c>
    </row>
    <row r="31" spans="4:15" x14ac:dyDescent="0.25">
      <c r="D31" s="33">
        <v>21</v>
      </c>
      <c r="E31">
        <v>18.820943485226024</v>
      </c>
      <c r="F31">
        <v>202.23586360890673</v>
      </c>
      <c r="G31">
        <v>1.036</v>
      </c>
      <c r="H31">
        <f>Paq_G_1* EXP(-1*(dE0_G_1*EXP((-1 * (21-zMid_G_1) ^ 2) / (2 * (n_G_1^ 2))))/(0.00198717*298))</f>
        <v>0.98363098033477026</v>
      </c>
      <c r="I31">
        <f t="shared" si="0"/>
        <v>5.0749080795125102E-4</v>
      </c>
      <c r="J31">
        <f>Paq_G_2* EXP(-1*(dE0_G_2*EXP((-1 * (21-(-1*zMid_G_2)) ^ 2) / (2 * (n_G_2^ 2))))/(0.00198717*298))</f>
        <v>1.2314892095614081</v>
      </c>
      <c r="K31">
        <f t="shared" si="1"/>
        <v>5.6356333377597465E-3</v>
      </c>
      <c r="M31">
        <v>5</v>
      </c>
      <c r="N31">
        <f>Paq_G_1* EXP(-1*(dE0_G_1*EXP((-1 * (5-zMid_G_1) ^ 2) / (2 * (n_G_1^ 2))))/(0.00198717*298))</f>
        <v>1.0941991545064358</v>
      </c>
      <c r="O31">
        <f>Paq_G_2* EXP(-1*(dE0_G_2*EXP((-1 * (5-(-1*zMid_G_2)) ^ 2) / (2 * (n_G_2^ 2))))/(0.00198717*298))</f>
        <v>0.78293607486466155</v>
      </c>
    </row>
    <row r="32" spans="4:15" x14ac:dyDescent="0.25">
      <c r="D32" s="34">
        <v>22.5</v>
      </c>
      <c r="E32">
        <v>19.040055658749274</v>
      </c>
      <c r="F32">
        <v>185.59265872251723</v>
      </c>
      <c r="G32">
        <v>1.1420999999999999</v>
      </c>
      <c r="H32">
        <f>Paq_G_1* EXP(-1*(dE0_G_1*EXP((-1 * (22.5-zMid_G_1) ^ 2) / (2 * (n_G_1^ 2))))/(0.00198717*298))</f>
        <v>1.0338754898774276</v>
      </c>
      <c r="I32">
        <f t="shared" si="0"/>
        <v>1.8693423501463195E-3</v>
      </c>
      <c r="J32">
        <f>Paq_G_2* EXP(-1*(dE0_G_2*EXP((-1 * (22.5-(-1*zMid_G_2)) ^ 2) / (2 * (n_G_2^ 2))))/(0.00198717*298))</f>
        <v>1.2328324082694773</v>
      </c>
      <c r="K32">
        <f t="shared" si="1"/>
        <v>1.1022340843425402E-3</v>
      </c>
      <c r="M32">
        <v>6</v>
      </c>
      <c r="N32">
        <f>Paq_G_1* EXP(-1*(dE0_G_1*EXP((-1 * (6-zMid_G_1) ^ 2) / (2 * (n_G_1^ 2))))/(0.00198717*298))</f>
        <v>1.0731548035811327</v>
      </c>
      <c r="O32">
        <f>Paq_G_2* EXP(-1*(dE0_G_2*EXP((-1 * (6-(-1*zMid_G_2)) ^ 2) / (2 * (n_G_2^ 2))))/(0.00198717*298))</f>
        <v>0.74310161029913879</v>
      </c>
    </row>
    <row r="33" spans="7:15" x14ac:dyDescent="0.25">
      <c r="M33">
        <v>7</v>
      </c>
      <c r="N33">
        <f>Paq_G_1* EXP(-1*(dE0_G_1*EXP((-1 * (7-zMid_G_1) ^ 2) / (2 * (n_G_1^ 2))))/(0.00198717*298))</f>
        <v>1.0467987713120939</v>
      </c>
      <c r="O33">
        <f>Paq_G_2* EXP(-1*(dE0_G_2*EXP((-1 * (7-(-1*zMid_G_2)) ^ 2) / (2 * (n_G_2^ 2))))/(0.00198717*298))</f>
        <v>0.72540080532900963</v>
      </c>
    </row>
    <row r="34" spans="7:15" x14ac:dyDescent="0.25">
      <c r="G34" t="s">
        <v>18</v>
      </c>
      <c r="H34" s="1" t="s">
        <v>20</v>
      </c>
      <c r="I34">
        <f>SQRT(AVERAGE(I$17:I$32))</f>
        <v>4.010806687418559E-2</v>
      </c>
      <c r="M34">
        <v>8</v>
      </c>
      <c r="N34">
        <f>Paq_G_1* EXP(-1*(dE0_G_1*EXP((-1 * (8-zMid_G_1) ^ 2) / (2 * (n_G_1^ 2))))/(0.00198717*298))</f>
        <v>1.0156952914226585</v>
      </c>
      <c r="O34">
        <f>Paq_G_2* EXP(-1*(dE0_G_2*EXP((-1 * (8-(-1*zMid_G_2)) ^ 2) / (2 * (n_G_2^ 2))))/(0.00198717*298))</f>
        <v>0.73146141939672493</v>
      </c>
    </row>
    <row r="35" spans="7:15" x14ac:dyDescent="0.25">
      <c r="G35" t="s">
        <v>19</v>
      </c>
      <c r="J35" s="1" t="s">
        <v>20</v>
      </c>
      <c r="K35">
        <f>SQRT(AVERAGE(K$2:K$17))</f>
        <v>3.2464265030767325E-2</v>
      </c>
      <c r="M35">
        <v>9</v>
      </c>
      <c r="N35">
        <f>Paq_G_1* EXP(-1*(dE0_G_1*EXP((-1 * (9-zMid_G_1) ^ 2) / (2 * (n_G_1^ 2))))/(0.00198717*298))</f>
        <v>0.98122877622203053</v>
      </c>
      <c r="O35">
        <f>Paq_G_2* EXP(-1*(dE0_G_2*EXP((-1 * (9-(-1*zMid_G_2)) ^ 2) / (2 * (n_G_2^ 2))))/(0.00198717*298))</f>
        <v>0.76073707187639483</v>
      </c>
    </row>
    <row r="36" spans="7:15" x14ac:dyDescent="0.25">
      <c r="M36">
        <v>10</v>
      </c>
      <c r="N36">
        <f>Paq_G_1* EXP(-1*(dE0_G_1*EXP((-1 * (10-zMid_G_1) ^ 2) / (2 * (n_G_1^ 2))))/(0.00198717*298))</f>
        <v>0.94553499785499306</v>
      </c>
      <c r="O36">
        <f>Paq_G_2* EXP(-1*(dE0_G_2*EXP((-1 * (10-(-1*zMid_G_2)) ^ 2) / (2 * (n_G_2^ 2))))/(0.00198717*298))</f>
        <v>0.81043367850013226</v>
      </c>
    </row>
    <row r="37" spans="7:15" x14ac:dyDescent="0.25">
      <c r="M37">
        <v>11</v>
      </c>
      <c r="N37">
        <f>Paq_G_1* EXP(-1*(dE0_G_1*EXP((-1 * (11-zMid_G_1) ^ 2) / (2 * (n_G_1^ 2))))/(0.00198717*298))</f>
        <v>0.91125070250941087</v>
      </c>
      <c r="O37">
        <f>Paq_G_2* EXP(-1*(dE0_G_2*EXP((-1 * (11-(-1*zMid_G_2)) ^ 2) / (2 * (n_G_2^ 2))))/(0.00198717*298))</f>
        <v>0.87532786702182308</v>
      </c>
    </row>
    <row r="38" spans="7:15" x14ac:dyDescent="0.25">
      <c r="M38">
        <v>12</v>
      </c>
      <c r="N38">
        <f>Paq_G_1* EXP(-1*(dE0_G_1*EXP((-1 * (12-zMid_G_1) ^ 2) / (2 * (n_G_1^ 2))))/(0.00198717*298))</f>
        <v>0.88114659433505327</v>
      </c>
      <c r="O38">
        <f>Paq_G_2* EXP(-1*(dE0_G_2*EXP((-1 * (12-(-1*zMid_G_2)) ^ 2) / (2 * (n_G_2^ 2))))/(0.00198717*298))</f>
        <v>0.94804558498867575</v>
      </c>
    </row>
    <row r="39" spans="7:15" x14ac:dyDescent="0.25">
      <c r="M39">
        <v>13</v>
      </c>
      <c r="N39">
        <f>Paq_G_1* EXP(-1*(dE0_G_1*EXP((-1 * (13-zMid_G_1) ^ 2) / (2 * (n_G_1^ 2))))/(0.00198717*298))</f>
        <v>0.85774720568597551</v>
      </c>
      <c r="O39">
        <f>Paq_G_2* EXP(-1*(dE0_G_2*EXP((-1 * (13-(-1*zMid_G_2)) ^ 2) / (2 * (n_G_2^ 2))))/(0.00198717*298))</f>
        <v>1.0202661057474041</v>
      </c>
    </row>
    <row r="40" spans="7:15" x14ac:dyDescent="0.25">
      <c r="M40">
        <v>14</v>
      </c>
      <c r="N40">
        <f>Paq_G_1* EXP(-1*(dE0_G_1*EXP((-1 * (14-zMid_G_1) ^ 2) / (2 * (n_G_1^ 2))))/(0.00198717*298))</f>
        <v>0.84302673971334652</v>
      </c>
      <c r="O40">
        <f>Paq_G_2* EXP(-1*(dE0_G_2*EXP((-1 * (14-(-1*zMid_G_2)) ^ 2) / (2 * (n_G_2^ 2))))/(0.00198717*298))</f>
        <v>1.0846363699172734</v>
      </c>
    </row>
    <row r="41" spans="7:15" x14ac:dyDescent="0.25">
      <c r="M41">
        <v>15</v>
      </c>
      <c r="N41">
        <f>Paq_G_1* EXP(-1*(dE0_G_1*EXP((-1 * (15-zMid_G_1) ^ 2) / (2 * (n_G_1^ 2))))/(0.00198717*298))</f>
        <v>0.83821799836278177</v>
      </c>
      <c r="O41">
        <f>Paq_G_2* EXP(-1*(dE0_G_2*EXP((-1 * (15-(-1*zMid_G_2)) ^ 2) / (2 * (n_G_2^ 2))))/(0.00198717*298))</f>
        <v>1.1364861376395605</v>
      </c>
    </row>
    <row r="42" spans="7:15" x14ac:dyDescent="0.25">
      <c r="M42">
        <v>16</v>
      </c>
      <c r="N42">
        <f>Paq_G_1* EXP(-1*(dE0_G_1*EXP((-1 * (16-zMid_G_1) ^ 2) / (2 * (n_G_1^ 2))))/(0.00198717*298))</f>
        <v>0.8437207529130859</v>
      </c>
      <c r="O42">
        <f>Paq_G_2* EXP(-1*(dE0_G_2*EXP((-1 * (16-(-1*zMid_G_2)) ^ 2) / (2 * (n_G_2^ 2))))/(0.00198717*298))</f>
        <v>1.1744543590176293</v>
      </c>
    </row>
    <row r="43" spans="7:15" x14ac:dyDescent="0.25">
      <c r="M43">
        <v>17</v>
      </c>
      <c r="N43">
        <f>Paq_G_1* EXP(-1*(dE0_G_1*EXP((-1 * (17-zMid_G_1) ^ 2) / (2 * (n_G_1^ 2))))/(0.00198717*298))</f>
        <v>0.85907739772610914</v>
      </c>
      <c r="O43">
        <f>Paq_G_2* EXP(-1*(dE0_G_2*EXP((-1 * (17-(-1*zMid_G_2)) ^ 2) / (2 * (n_G_2^ 2))))/(0.00198717*298))</f>
        <v>1.1998802911741564</v>
      </c>
    </row>
    <row r="44" spans="7:15" x14ac:dyDescent="0.25">
      <c r="M44">
        <v>18</v>
      </c>
      <c r="N44">
        <f>Paq_G_1* EXP(-1*(dE0_G_1*EXP((-1 * (18-zMid_G_1) ^ 2) / (2 * (n_G_1^ 2))))/(0.00198717*298))</f>
        <v>0.88300104765960041</v>
      </c>
      <c r="O44">
        <f>Paq_G_2* EXP(-1*(dE0_G_2*EXP((-1 * (18-(-1*zMid_G_2)) ^ 2) / (2 * (n_G_2^ 2))))/(0.00198717*298))</f>
        <v>1.2155407061951866</v>
      </c>
    </row>
    <row r="45" spans="7:15" x14ac:dyDescent="0.25">
      <c r="M45">
        <v>19</v>
      </c>
      <c r="N45">
        <f>Paq_G_1* EXP(-1*(dE0_G_1*EXP((-1 * (19-zMid_G_1) ^ 2) / (2 * (n_G_1^ 2))))/(0.00198717*298))</f>
        <v>0.91347287962846624</v>
      </c>
      <c r="O45">
        <f>Paq_G_2* EXP(-1*(dE0_G_2*EXP((-1 * (19-(-1*zMid_G_2)) ^ 2) / (2 * (n_G_2^ 2))))/(0.00198717*298))</f>
        <v>1.2244573944346293</v>
      </c>
    </row>
    <row r="46" spans="7:15" x14ac:dyDescent="0.25">
      <c r="M46">
        <v>20</v>
      </c>
      <c r="N46">
        <f>Paq_G_1* EXP(-1*(dE0_G_1*EXP((-1 * (20-zMid_G_1) ^ 2) / (2 * (n_G_1^ 2))))/(0.00198717*298))</f>
        <v>0.94794087714533881</v>
      </c>
      <c r="O46">
        <f>Paq_G_2* EXP(-1*(dE0_G_2*EXP((-1 * (20-(-1*zMid_G_2)) ^ 2) / (2 * (n_G_2^ 2))))/(0.00198717*298))</f>
        <v>1.2291700452897885</v>
      </c>
    </row>
    <row r="47" spans="7:15" x14ac:dyDescent="0.25">
      <c r="M47">
        <v>21</v>
      </c>
      <c r="N47">
        <f>Paq_G_1* EXP(-1*(dE0_G_1*EXP((-1 * (21-zMid_G_1) ^ 2) / (2 * (n_G_1^ 2))))/(0.00198717*298))</f>
        <v>0.98363098033477026</v>
      </c>
      <c r="O47">
        <f>Paq_G_2* EXP(-1*(dE0_G_2*EXP((-1 * (21-(-1*zMid_G_2)) ^ 2) / (2 * (n_G_2^ 2))))/(0.00198717*298))</f>
        <v>1.2314892095614081</v>
      </c>
    </row>
    <row r="48" spans="7:15" x14ac:dyDescent="0.25">
      <c r="M48">
        <v>22</v>
      </c>
      <c r="N48">
        <f>Paq_G_1* EXP(-1*(dE0_G_1*EXP((-1 * (22-zMid_G_1) ^ 2) / (2 * (n_G_1^ 2))))/(0.00198717*298))</f>
        <v>1.0179295817359628</v>
      </c>
      <c r="O48">
        <f>Paq_G_2* EXP(-1*(dE0_G_2*EXP((-1 * (22-(-1*zMid_G_2)) ^ 2) / (2 * (n_G_2^ 2))))/(0.00198717*298))</f>
        <v>1.2325542234031128</v>
      </c>
    </row>
    <row r="49" spans="13:15" x14ac:dyDescent="0.25">
      <c r="M49">
        <v>23</v>
      </c>
      <c r="N49">
        <f>Paq_G_1* EXP(-1*(dE0_G_1*EXP((-1 * (23-zMid_G_1) ^ 2) / (2 * (n_G_1^ 2))))/(0.00198717*298))</f>
        <v>1.0487457525896038</v>
      </c>
      <c r="O49">
        <f>Paq_G_2* EXP(-1*(dE0_G_2*EXP((-1 * (23-(-1*zMid_G_2)) ^ 2) / (2 * (n_G_2^ 2))))/(0.00198717*298))</f>
        <v>1.2330113008750068</v>
      </c>
    </row>
    <row r="50" spans="13:15" x14ac:dyDescent="0.25">
      <c r="M50">
        <v>24</v>
      </c>
      <c r="N50">
        <f>Paq_G_1* EXP(-1*(dE0_G_1*EXP((-1 * (24-zMid_G_1) ^ 2) / (2 * (n_G_1^ 2))))/(0.00198717*298))</f>
        <v>1.0747506727851377</v>
      </c>
      <c r="O50">
        <f>Paq_G_2* EXP(-1*(dE0_G_2*EXP((-1 * (24-(-1*zMid_G_2)) ^ 2) / (2 * (n_G_2^ 2))))/(0.00198717*298))</f>
        <v>1.2331948195151847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50"/>
  <sheetViews>
    <sheetView tabSelected="1" workbookViewId="0"/>
  </sheetViews>
  <sheetFormatPr defaultRowHeight="15" x14ac:dyDescent="0.25"/>
  <cols>
    <col min="1" max="1" width="6" bestFit="1" customWidth="1"/>
    <col min="2" max="2" width="12.7109375" bestFit="1" customWidth="1"/>
    <col min="4" max="4" width="10.42578125" bestFit="1" customWidth="1"/>
    <col min="5" max="6" width="12" bestFit="1" customWidth="1"/>
    <col min="7" max="7" width="16.140625" bestFit="1" customWidth="1"/>
    <col min="8" max="11" width="12" bestFit="1" customWidth="1"/>
    <col min="13" max="13" width="3.7109375" bestFit="1" customWidth="1"/>
    <col min="14" max="15" width="12" bestFit="1" customWidth="1"/>
  </cols>
  <sheetData>
    <row r="1" spans="1:15" ht="18" x14ac:dyDescent="0.35">
      <c r="A1" s="1" t="s">
        <v>0</v>
      </c>
      <c r="B1">
        <v>4425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M1" s="1" t="s">
        <v>21</v>
      </c>
      <c r="N1" s="1" t="s">
        <v>22</v>
      </c>
      <c r="O1" s="1" t="s">
        <v>23</v>
      </c>
    </row>
    <row r="2" spans="1:15" ht="18" x14ac:dyDescent="0.35">
      <c r="A2" s="1" t="s">
        <v>1</v>
      </c>
      <c r="B2">
        <v>375.48734046081375</v>
      </c>
      <c r="D2" s="4">
        <v>-22.5</v>
      </c>
      <c r="E2">
        <v>3.5609484331878227</v>
      </c>
      <c r="F2">
        <v>37.146305786227806</v>
      </c>
      <c r="G2">
        <v>1.1296999999999999</v>
      </c>
      <c r="H2">
        <f>Paq_L_1* EXP(-1*(dE0_L_1/ (1 + ((22.5/zMid_L_1) ^n_L_1)))/(0.00198717*298))</f>
        <v>0.4915057459159205</v>
      </c>
      <c r="I2">
        <f t="shared" ref="I2:I32" si="0">IF(ISERROR((LOG(H2)-LOG(G2))^2),0,(LOG(H2)-LOG(G2))^2)</f>
        <v>0.13063491909053163</v>
      </c>
      <c r="J2">
        <f>Paq_L_2* EXP(-1*(dE0_L_2/ (1 + ((22.5/(-1*zMid_L_2)) ^n_L_2)))/(0.00198717*298))</f>
        <v>0.83546668995594575</v>
      </c>
      <c r="K2">
        <f t="shared" ref="K2:K32" si="1">IF(ISERROR((LOG(J2)-LOG(G2))^2),0,(LOG(J2)-LOG(G2))^2)</f>
        <v>1.7169906403034136E-2</v>
      </c>
      <c r="M2">
        <v>-24</v>
      </c>
      <c r="N2">
        <f>Paq_L_1* EXP(-1*(dE0_L_1/ (1 + ((24/zMid_L_1) ^n_L_1)))/(0.00198717*298))</f>
        <v>0.4641884562789001</v>
      </c>
      <c r="O2">
        <f>Paq_L_2* EXP(-1*(dE0_L_2/ (1 + ((24/(-1*zMid_L_2)) ^n_L_2)))/(0.00198717*298))</f>
        <v>0.83541583210625669</v>
      </c>
    </row>
    <row r="3" spans="1:15" x14ac:dyDescent="0.25">
      <c r="D3" s="5">
        <v>-21</v>
      </c>
      <c r="E3">
        <v>4.3566088669359679</v>
      </c>
      <c r="F3">
        <v>53.383067205069459</v>
      </c>
      <c r="G3">
        <v>0.96179999999999999</v>
      </c>
      <c r="H3">
        <f>Paq_L_1* EXP(-1*(dE0_L_1/ (1 + ((21/zMid_L_1) ^n_L_1)))/(0.00198717*298))</f>
        <v>0.52382703743582892</v>
      </c>
      <c r="I3">
        <f t="shared" si="0"/>
        <v>6.9641553707328469E-2</v>
      </c>
      <c r="J3">
        <f>Paq_L_2* EXP(-1*(dE0_L_2/ (1 + ((21/(-1*zMid_L_2)) ^n_L_2)))/(0.00198717*298))</f>
        <v>0.83559486828580953</v>
      </c>
      <c r="K3">
        <f t="shared" si="1"/>
        <v>3.7318669709038772E-3</v>
      </c>
      <c r="M3">
        <v>-23</v>
      </c>
      <c r="N3">
        <f>Paq_L_1* EXP(-1*(dE0_L_1/ (1 + ((23/zMid_L_1) ^n_L_1)))/(0.00198717*298))</f>
        <v>0.48189124202629002</v>
      </c>
      <c r="O3">
        <f>Paq_L_2* EXP(-1*(dE0_L_2/ (1 + ((23/(-1*zMid_L_2)) ^n_L_2)))/(0.00198717*298))</f>
        <v>0.83544451343463255</v>
      </c>
    </row>
    <row r="4" spans="1:15" ht="18" x14ac:dyDescent="0.35">
      <c r="A4" s="2" t="s">
        <v>2</v>
      </c>
      <c r="B4">
        <v>0.25439072522547984</v>
      </c>
      <c r="D4" s="6">
        <v>-19.5</v>
      </c>
      <c r="E4">
        <v>5.9670404782899205</v>
      </c>
      <c r="F4">
        <v>104.67349192897072</v>
      </c>
      <c r="G4">
        <v>0.67179999999999995</v>
      </c>
      <c r="H4">
        <f>Paq_L_1* EXP(-1*(dE0_L_1/ (1 + ((19.5/zMid_L_1) ^n_L_1)))/(0.00198717*298))</f>
        <v>0.56222202633065477</v>
      </c>
      <c r="I4">
        <f t="shared" si="0"/>
        <v>5.9802604065042845E-3</v>
      </c>
      <c r="J4">
        <f>Paq_L_2* EXP(-1*(dE0_L_2/ (1 + ((19.5/(-1*zMid_L_2)) ^n_L_2)))/(0.00198717*298))</f>
        <v>0.83594011875825114</v>
      </c>
      <c r="K4">
        <f t="shared" si="1"/>
        <v>9.0126863230532671E-3</v>
      </c>
      <c r="M4">
        <v>-22</v>
      </c>
      <c r="N4">
        <f>Paq_L_1* EXP(-1*(dE0_L_1/ (1 + ((22/zMid_L_1) ^n_L_1)))/(0.00198717*298))</f>
        <v>0.50167471043757883</v>
      </c>
      <c r="O4">
        <f>Paq_L_2* EXP(-1*(dE0_L_2/ (1 + ((22/(-1*zMid_L_2)) ^n_L_2)))/(0.00198717*298))</f>
        <v>0.83549682205876541</v>
      </c>
    </row>
    <row r="5" spans="1:15" ht="18" x14ac:dyDescent="0.35">
      <c r="A5" s="2" t="s">
        <v>3</v>
      </c>
      <c r="B5">
        <v>-1.098669214245088</v>
      </c>
      <c r="D5" s="7">
        <v>-18</v>
      </c>
      <c r="E5">
        <v>9.6276407512711497</v>
      </c>
      <c r="F5">
        <v>171.11905245556184</v>
      </c>
      <c r="G5">
        <v>0.66300000000000003</v>
      </c>
      <c r="H5">
        <f>Paq_L_1* EXP(-1*(dE0_L_1/ (1 + ((18/zMid_L_1) ^n_L_1)))/(0.00198717*298))</f>
        <v>0.6079600446079394</v>
      </c>
      <c r="I5">
        <f t="shared" si="0"/>
        <v>1.4166559454225622E-3</v>
      </c>
      <c r="J5">
        <f>Paq_L_2* EXP(-1*(dE0_L_2/ (1 + ((18/(-1*zMid_L_2)) ^n_L_2)))/(0.00198717*298))</f>
        <v>0.83694360493471287</v>
      </c>
      <c r="K5">
        <f t="shared" si="1"/>
        <v>1.0237932076029613E-2</v>
      </c>
      <c r="M5">
        <v>-21</v>
      </c>
      <c r="N5">
        <f>Paq_L_1* EXP(-1*(dE0_L_1/ (1 + ((21/zMid_L_1) ^n_L_1)))/(0.00198717*298))</f>
        <v>0.52382703743582892</v>
      </c>
      <c r="O5">
        <f>Paq_L_2* EXP(-1*(dE0_L_2/ (1 + ((21/(-1*zMid_L_2)) ^n_L_2)))/(0.00198717*298))</f>
        <v>0.83559486828580953</v>
      </c>
    </row>
    <row r="6" spans="1:15" ht="18" x14ac:dyDescent="0.35">
      <c r="A6" s="2" t="s">
        <v>4</v>
      </c>
      <c r="B6">
        <v>17</v>
      </c>
      <c r="D6" s="8">
        <v>-16.5</v>
      </c>
      <c r="E6">
        <v>16.980733156898921</v>
      </c>
      <c r="F6">
        <v>239.24085021505925</v>
      </c>
      <c r="G6">
        <v>0.83640000000000003</v>
      </c>
      <c r="H6">
        <f>Paq_L_1* EXP(-1*(dE0_L_1/ (1 + ((16.5/zMid_L_1) ^n_L_1)))/(0.00198717*298))</f>
        <v>0.66249699861440114</v>
      </c>
      <c r="I6">
        <f t="shared" si="0"/>
        <v>1.0247534981530722E-2</v>
      </c>
      <c r="J6">
        <f>Paq_L_2* EXP(-1*(dE0_L_2/ (1 + ((16.5/(-1*zMid_L_2)) ^n_L_2)))/(0.00198717*298))</f>
        <v>0.84012366780596637</v>
      </c>
      <c r="K6">
        <f t="shared" si="1"/>
        <v>3.7217956547730834E-6</v>
      </c>
      <c r="M6">
        <v>-20</v>
      </c>
      <c r="N6">
        <f>Paq_L_1* EXP(-1*(dE0_L_1/ (1 + ((20/zMid_L_1) ^n_L_1)))/(0.00198717*298))</f>
        <v>0.54867461688310348</v>
      </c>
      <c r="O6">
        <f>Paq_L_2* EXP(-1*(dE0_L_2/ (1 + ((20/(-1*zMid_L_2)) ^n_L_2)))/(0.00198717*298))</f>
        <v>0.83578422238230332</v>
      </c>
    </row>
    <row r="7" spans="1:15" x14ac:dyDescent="0.25">
      <c r="A7" s="2" t="s">
        <v>5</v>
      </c>
      <c r="B7">
        <v>2.1305837351229306</v>
      </c>
      <c r="D7" s="9">
        <v>-15</v>
      </c>
      <c r="E7">
        <v>23.123154361998623</v>
      </c>
      <c r="F7">
        <v>301.1099037843893</v>
      </c>
      <c r="G7">
        <v>0.90500000000000003</v>
      </c>
      <c r="H7">
        <f>Paq_L_1* EXP(-1*(dE0_L_1/ (1 + ((15/zMid_L_1) ^n_L_1)))/(0.00198717*298))</f>
        <v>0.72740668131252095</v>
      </c>
      <c r="I7">
        <f t="shared" si="0"/>
        <v>9.0005623160043374E-3</v>
      </c>
      <c r="J7">
        <f>Paq_L_2* EXP(-1*(dE0_L_2/ (1 + ((15/(-1*zMid_L_2)) ^n_L_2)))/(0.00198717*298))</f>
        <v>0.8511795348479001</v>
      </c>
      <c r="K7">
        <f t="shared" si="1"/>
        <v>7.0901875000576415E-4</v>
      </c>
      <c r="M7">
        <v>-19</v>
      </c>
      <c r="N7">
        <f>Paq_L_1* EXP(-1*(dE0_L_1/ (1 + ((19/zMid_L_1) ^n_L_1)))/(0.00198717*298))</f>
        <v>0.57658373595821011</v>
      </c>
      <c r="O7">
        <f>Paq_L_2* EXP(-1*(dE0_L_2/ (1 + ((19/(-1*zMid_L_2)) ^n_L_2)))/(0.00198717*298))</f>
        <v>0.83616208480793963</v>
      </c>
    </row>
    <row r="8" spans="1:15" x14ac:dyDescent="0.25">
      <c r="D8" s="10">
        <v>-13.5</v>
      </c>
      <c r="E8">
        <v>22.934568383618789</v>
      </c>
      <c r="F8">
        <v>325.144691447757</v>
      </c>
      <c r="G8">
        <v>0.83130000000000004</v>
      </c>
      <c r="H8">
        <f>Paq_L_1* EXP(-1*(dE0_L_1/ (1 + ((13.5/zMid_L_1) ^n_L_1)))/(0.00198717*298))</f>
        <v>0.80421078914096988</v>
      </c>
      <c r="I8">
        <f t="shared" si="0"/>
        <v>2.0701124290758511E-4</v>
      </c>
      <c r="J8">
        <f>Paq_L_2* EXP(-1*(dE0_L_2/ (1 + ((13.5/(-1*zMid_L_2)) ^n_L_2)))/(0.00198717*298))</f>
        <v>0.89242622207638245</v>
      </c>
      <c r="K8">
        <f t="shared" si="1"/>
        <v>9.4953600678068524E-4</v>
      </c>
      <c r="M8">
        <v>-18</v>
      </c>
      <c r="N8">
        <f>Paq_L_1* EXP(-1*(dE0_L_1/ (1 + ((18/zMid_L_1) ^n_L_1)))/(0.00198717*298))</f>
        <v>0.6079600446079394</v>
      </c>
      <c r="O8">
        <f>Paq_L_2* EXP(-1*(dE0_L_2/ (1 + ((18/(-1*zMid_L_2)) ^n_L_2)))/(0.00198717*298))</f>
        <v>0.83694360493471287</v>
      </c>
    </row>
    <row r="9" spans="1:15" ht="18" x14ac:dyDescent="0.35">
      <c r="A9" s="3" t="s">
        <v>6</v>
      </c>
      <c r="B9">
        <v>0.83537618197925356</v>
      </c>
      <c r="D9" s="11">
        <v>-12</v>
      </c>
      <c r="E9">
        <v>30.004293509529692</v>
      </c>
      <c r="F9">
        <v>335.09215104301728</v>
      </c>
      <c r="G9">
        <v>1.0551999999999999</v>
      </c>
      <c r="H9">
        <f>Paq_L_1* EXP(-1*(dE0_L_1/ (1 + ((12/zMid_L_1) ^n_L_1)))/(0.00198717*298))</f>
        <v>0.89404532220734956</v>
      </c>
      <c r="I9">
        <f t="shared" si="0"/>
        <v>5.1804362261263339E-3</v>
      </c>
      <c r="J9">
        <f>Paq_L_2* EXP(-1*(dE0_L_2/ (1 + ((12/(-1*zMid_L_2)) ^n_L_2)))/(0.00198717*298))</f>
        <v>1.0338300737905666</v>
      </c>
      <c r="K9">
        <f t="shared" si="1"/>
        <v>7.8954261150394295E-5</v>
      </c>
      <c r="M9">
        <v>-17</v>
      </c>
      <c r="N9">
        <f>Paq_L_1* EXP(-1*(dE0_L_1/ (1 + ((17/zMid_L_1) ^n_L_1)))/(0.00198717*298))</f>
        <v>0.6432443257735696</v>
      </c>
      <c r="O9">
        <f>Paq_L_2* EXP(-1*(dE0_L_2/ (1 + ((17/(-1*zMid_L_2)) ^n_L_2)))/(0.00198717*298))</f>
        <v>0.83862407579911236</v>
      </c>
    </row>
    <row r="10" spans="1:15" ht="18" x14ac:dyDescent="0.35">
      <c r="A10" s="3" t="s">
        <v>7</v>
      </c>
      <c r="B10">
        <v>-0.34508103409365998</v>
      </c>
      <c r="D10" s="12">
        <v>-10.5</v>
      </c>
      <c r="E10">
        <v>37.785151479137902</v>
      </c>
      <c r="F10">
        <v>329.71261028763035</v>
      </c>
      <c r="G10">
        <v>1.3505</v>
      </c>
      <c r="H10">
        <f>Paq_L_1* EXP(-1*(dE0_L_1/ (1 + ((10.5/zMid_L_1) ^n_L_1)))/(0.00198717*298))</f>
        <v>0.99709993838884814</v>
      </c>
      <c r="I10">
        <f t="shared" si="0"/>
        <v>1.7359616948402545E-2</v>
      </c>
      <c r="J10">
        <f>Paq_L_2* EXP(-1*(dE0_L_2/ (1 + ((10.5/(-1*zMid_L_2)) ^n_L_2)))/(0.00198717*298))</f>
        <v>1.3014810171601616</v>
      </c>
      <c r="K10">
        <f t="shared" si="1"/>
        <v>2.5781923545369339E-4</v>
      </c>
      <c r="M10">
        <v>-16</v>
      </c>
      <c r="N10">
        <f>Paq_L_1* EXP(-1*(dE0_L_1/ (1 + ((16/zMid_L_1) ^n_L_1)))/(0.00198717*298))</f>
        <v>0.68290245223137047</v>
      </c>
      <c r="O10">
        <f>Paq_L_2* EXP(-1*(dE0_L_2/ (1 + ((16/(-1*zMid_L_2)) ^n_L_2)))/(0.00198717*298))</f>
        <v>0.84238970492755094</v>
      </c>
    </row>
    <row r="11" spans="1:15" ht="18" x14ac:dyDescent="0.35">
      <c r="A11" s="3" t="s">
        <v>8</v>
      </c>
      <c r="B11">
        <v>-11.494507630968096</v>
      </c>
      <c r="D11" s="13">
        <v>-9</v>
      </c>
      <c r="E11">
        <v>31.488440104610913</v>
      </c>
      <c r="F11">
        <v>284.46716551243782</v>
      </c>
      <c r="G11">
        <v>1.3045</v>
      </c>
      <c r="H11">
        <f>Paq_L_1* EXP(-1*(dE0_L_1/ (1 + ((9/zMid_L_1) ^n_L_1)))/(0.00198717*298))</f>
        <v>1.1118136468909088</v>
      </c>
      <c r="I11">
        <f t="shared" si="0"/>
        <v>4.8180372634874374E-3</v>
      </c>
      <c r="J11">
        <f>Paq_L_2* EXP(-1*(dE0_L_2/ (1 + ((9/(-1*zMid_L_2)) ^n_L_2)))/(0.00198717*298))</f>
        <v>1.4599840425240889</v>
      </c>
      <c r="K11">
        <f t="shared" si="1"/>
        <v>2.3916037179267354E-3</v>
      </c>
      <c r="M11">
        <v>-15</v>
      </c>
      <c r="N11">
        <f>Paq_L_1* EXP(-1*(dE0_L_1/ (1 + ((15/zMid_L_1) ^n_L_1)))/(0.00198717*298))</f>
        <v>0.72740668131252095</v>
      </c>
      <c r="O11">
        <f>Paq_L_2* EXP(-1*(dE0_L_2/ (1 + ((15/(-1*zMid_L_2)) ^n_L_2)))/(0.00198717*298))</f>
        <v>0.8511795348479001</v>
      </c>
    </row>
    <row r="12" spans="1:15" x14ac:dyDescent="0.25">
      <c r="A12" s="3" t="s">
        <v>9</v>
      </c>
      <c r="B12">
        <v>12.789538132280313</v>
      </c>
      <c r="D12" s="14">
        <v>-7.5</v>
      </c>
      <c r="E12">
        <v>24.431326065223388</v>
      </c>
      <c r="F12">
        <v>233.0137027127592</v>
      </c>
      <c r="G12">
        <v>1.2356</v>
      </c>
      <c r="H12">
        <f>Paq_L_1* EXP(-1*(dE0_L_1/ (1 + ((7.5/zMid_L_1) ^n_L_1)))/(0.00198717*298))</f>
        <v>1.2339496528674379</v>
      </c>
      <c r="I12">
        <f t="shared" si="0"/>
        <v>3.3693321349260265E-7</v>
      </c>
      <c r="J12">
        <f>Paq_L_2* EXP(-1*(dE0_L_2/ (1 + ((7.5/(-1*zMid_L_2)) ^n_L_2)))/(0.00198717*298))</f>
        <v>1.4924120755931336</v>
      </c>
      <c r="K12">
        <f t="shared" si="1"/>
        <v>6.7257803004299255E-3</v>
      </c>
      <c r="M12">
        <v>-14</v>
      </c>
      <c r="N12">
        <f>Paq_L_1* EXP(-1*(dE0_L_1/ (1 + ((14/zMid_L_1) ^n_L_1)))/(0.00198717*298))</f>
        <v>0.77720468986365576</v>
      </c>
      <c r="O12">
        <f>Paq_L_2* EXP(-1*(dE0_L_2/ (1 + ((14/(-1*zMid_L_2)) ^n_L_2)))/(0.00198717*298))</f>
        <v>0.87235730658202171</v>
      </c>
    </row>
    <row r="13" spans="1:15" x14ac:dyDescent="0.25">
      <c r="D13" s="15">
        <v>-6</v>
      </c>
      <c r="E13">
        <v>28.145559469519839</v>
      </c>
      <c r="F13">
        <v>229.72199232624777</v>
      </c>
      <c r="G13">
        <v>1.4439</v>
      </c>
      <c r="H13">
        <f>Paq_L_1* EXP(-1*(dE0_L_1/ (1 + ((6/zMid_L_1) ^n_L_1)))/(0.00198717*298))</f>
        <v>1.355920806440472</v>
      </c>
      <c r="I13">
        <f t="shared" si="0"/>
        <v>7.4544241912322248E-4</v>
      </c>
      <c r="J13">
        <f>Paq_L_2* EXP(-1*(dE0_L_2/ (1 + ((6/(-1*zMid_L_2)) ^n_L_2)))/(0.00198717*298))</f>
        <v>1.4958841472194599</v>
      </c>
      <c r="K13">
        <f t="shared" si="1"/>
        <v>2.3595550771259594E-4</v>
      </c>
      <c r="M13">
        <v>-13</v>
      </c>
      <c r="N13">
        <f>Paq_L_1* EXP(-1*(dE0_L_1/ (1 + ((13/zMid_L_1) ^n_L_1)))/(0.00198717*298))</f>
        <v>0.83267221974934602</v>
      </c>
      <c r="O13">
        <f>Paq_L_2* EXP(-1*(dE0_L_2/ (1 + ((13/(-1*zMid_L_2)) ^n_L_2)))/(0.00198717*298))</f>
        <v>0.92324549083864305</v>
      </c>
    </row>
    <row r="14" spans="1:15" x14ac:dyDescent="0.25">
      <c r="D14" s="16">
        <v>-4.5</v>
      </c>
      <c r="E14">
        <v>32.32739751887086</v>
      </c>
      <c r="F14">
        <v>238.06457551464311</v>
      </c>
      <c r="G14">
        <v>1.6003000000000001</v>
      </c>
      <c r="H14">
        <f>Paq_L_1* EXP(-1*(dE0_L_1/ (1 + ((4.5/zMid_L_1) ^n_L_1)))/(0.00198717*298))</f>
        <v>1.4669945829187718</v>
      </c>
      <c r="I14">
        <f t="shared" si="0"/>
        <v>1.4267916030719803E-3</v>
      </c>
      <c r="J14">
        <f>Paq_L_2* EXP(-1*(dE0_L_2/ (1 + ((4.5/(-1*zMid_L_2)) ^n_L_2)))/(0.00198717*298))</f>
        <v>1.4960922124947675</v>
      </c>
      <c r="K14">
        <f t="shared" si="1"/>
        <v>8.5515555789031404E-4</v>
      </c>
      <c r="M14">
        <v>-12</v>
      </c>
      <c r="N14">
        <f>Paq_L_1* EXP(-1*(dE0_L_1/ (1 + ((12/zMid_L_1) ^n_L_1)))/(0.00198717*298))</f>
        <v>0.89404532220734956</v>
      </c>
      <c r="O14">
        <f>Paq_L_2* EXP(-1*(dE0_L_2/ (1 + ((12/(-1*zMid_L_2)) ^n_L_2)))/(0.00198717*298))</f>
        <v>1.0338300737905666</v>
      </c>
    </row>
    <row r="15" spans="1:15" x14ac:dyDescent="0.25">
      <c r="D15" s="17">
        <v>-3</v>
      </c>
      <c r="E15">
        <v>28.803802534152229</v>
      </c>
      <c r="F15">
        <v>209.69845561618712</v>
      </c>
      <c r="G15">
        <v>1.6187</v>
      </c>
      <c r="H15">
        <f>Paq_L_1* EXP(-1*(dE0_L_1/ (1 + ((3/zMid_L_1) ^n_L_1)))/(0.00198717*298))</f>
        <v>1.5549943729545301</v>
      </c>
      <c r="I15">
        <f t="shared" si="0"/>
        <v>3.0406797315024462E-4</v>
      </c>
      <c r="J15">
        <f>Paq_L_2* EXP(-1*(dE0_L_2/ (1 + ((3/(-1*zMid_L_2)) ^n_L_2)))/(0.00198717*298))</f>
        <v>1.4960975716139782</v>
      </c>
      <c r="K15">
        <f t="shared" si="1"/>
        <v>1.1700811327949594E-3</v>
      </c>
      <c r="M15">
        <v>-11</v>
      </c>
      <c r="N15">
        <f>Paq_L_1* EXP(-1*(dE0_L_1/ (1 + ((11/zMid_L_1) ^n_L_1)))/(0.00198717*298))</f>
        <v>0.96132964624878381</v>
      </c>
      <c r="O15">
        <f>Paq_L_2* EXP(-1*(dE0_L_2/ (1 + ((11/(-1*zMid_L_2)) ^n_L_2)))/(0.00198717*298))</f>
        <v>1.2108631701581083</v>
      </c>
    </row>
    <row r="16" spans="1:15" x14ac:dyDescent="0.25">
      <c r="D16" s="18">
        <v>-1.5</v>
      </c>
      <c r="E16">
        <v>27.472849247068467</v>
      </c>
      <c r="F16">
        <v>193.12505159558162</v>
      </c>
      <c r="G16">
        <v>1.6763999999999999</v>
      </c>
      <c r="H16">
        <f>Paq_L_1* EXP(-1*(dE0_L_1/ (1 + ((1.5/zMid_L_1) ^n_L_1)))/(0.00198717*298))</f>
        <v>1.6095616239338</v>
      </c>
      <c r="I16">
        <f t="shared" si="0"/>
        <v>3.1223043212733683E-4</v>
      </c>
      <c r="J16">
        <f>Paq_L_2* EXP(-1*(dE0_L_2/ (1 + ((1.5/(-1*zMid_L_2)) ^n_L_2)))/(0.00198717*298))</f>
        <v>1.4960976017681067</v>
      </c>
      <c r="K16">
        <f t="shared" si="1"/>
        <v>2.4421115830803343E-3</v>
      </c>
      <c r="M16">
        <v>-10</v>
      </c>
      <c r="N16">
        <f>Paq_L_1* EXP(-1*(dE0_L_1/ (1 + ((10/zMid_L_1) ^n_L_1)))/(0.00198717*298))</f>
        <v>1.0341879230280984</v>
      </c>
      <c r="O16">
        <f>Paq_L_2* EXP(-1*(dE0_L_2/ (1 + ((10/(-1*zMid_L_2)) ^n_L_2)))/(0.00198717*298))</f>
        <v>1.3755713949313835</v>
      </c>
    </row>
    <row r="17" spans="4:15" x14ac:dyDescent="0.25">
      <c r="D17" s="19">
        <v>0</v>
      </c>
      <c r="E17">
        <v>26.144693247275697</v>
      </c>
      <c r="F17">
        <v>197.31337553026106</v>
      </c>
      <c r="G17">
        <v>1.5615000000000001</v>
      </c>
      <c r="H17">
        <f>Paq_L_1* EXP(-1*(dE0_L_1/ (1 + ((0/zMid_L_1) ^n_L_1)))/(0.00198717*298))</f>
        <v>1.6264872167534958</v>
      </c>
      <c r="I17">
        <f t="shared" si="0"/>
        <v>3.1359684307871765E-4</v>
      </c>
      <c r="J17">
        <f>Paq_L_2* EXP(-1*(dE0_L_2/ (1 + ((0/(-1*zMid_L_2)) ^n_L_2)))/(0.00198717*298))</f>
        <v>1.4960976017723666</v>
      </c>
      <c r="K17">
        <f t="shared" si="1"/>
        <v>3.4529302062028894E-4</v>
      </c>
      <c r="M17">
        <v>-9</v>
      </c>
      <c r="N17">
        <f>Paq_L_1* EXP(-1*(dE0_L_1/ (1 + ((9/zMid_L_1) ^n_L_1)))/(0.00198717*298))</f>
        <v>1.1118136468909088</v>
      </c>
      <c r="O17">
        <f>Paq_L_2* EXP(-1*(dE0_L_2/ (1 + ((9/(-1*zMid_L_2)) ^n_L_2)))/(0.00198717*298))</f>
        <v>1.4599840425240889</v>
      </c>
    </row>
    <row r="18" spans="4:15" x14ac:dyDescent="0.25">
      <c r="D18" s="20">
        <v>1.5</v>
      </c>
      <c r="E18">
        <v>28.281790564488027</v>
      </c>
      <c r="F18">
        <v>211.87289009819162</v>
      </c>
      <c r="G18">
        <v>1.5730999999999999</v>
      </c>
      <c r="H18">
        <f>Paq_L_1* EXP(-1*(dE0_L_1/ (1 + ((1.5/zMid_L_1) ^n_L_1)))/(0.00198717*298))</f>
        <v>1.6095616239338</v>
      </c>
      <c r="I18">
        <f t="shared" si="0"/>
        <v>9.9027928856820058E-5</v>
      </c>
      <c r="J18">
        <f>Paq_L_2* EXP(-1*(dE0_L_2/ (1 + ((1.5/(-1*zMid_L_2)) ^n_L_2)))/(0.00198717*298))</f>
        <v>1.4960976017681067</v>
      </c>
      <c r="K18">
        <f t="shared" si="1"/>
        <v>4.7508323996490467E-4</v>
      </c>
      <c r="M18">
        <v>-8</v>
      </c>
      <c r="N18">
        <f>Paq_L_1* EXP(-1*(dE0_L_1/ (1 + ((8/zMid_L_1) ^n_L_1)))/(0.00198717*298))</f>
        <v>1.1928092311269314</v>
      </c>
      <c r="O18">
        <f>Paq_L_2* EXP(-1*(dE0_L_2/ (1 + ((8/(-1*zMid_L_2)) ^n_L_2)))/(0.00198717*298))</f>
        <v>1.4877426833978811</v>
      </c>
    </row>
    <row r="19" spans="4:15" x14ac:dyDescent="0.25">
      <c r="D19" s="21">
        <v>3</v>
      </c>
      <c r="E19">
        <v>31.445030935125811</v>
      </c>
      <c r="F19">
        <v>212.60048258233337</v>
      </c>
      <c r="G19">
        <v>1.7430000000000001</v>
      </c>
      <c r="H19">
        <f>Paq_L_1* EXP(-1*(dE0_L_1/ (1 + ((3/zMid_L_1) ^n_L_1)))/(0.00198717*298))</f>
        <v>1.5549943729545301</v>
      </c>
      <c r="I19">
        <f t="shared" si="0"/>
        <v>2.4570426681009218E-3</v>
      </c>
      <c r="J19">
        <f>Paq_L_2* EXP(-1*(dE0_L_2/ (1 + ((3/(-1*zMid_L_2)) ^n_L_2)))/(0.00198717*298))</f>
        <v>1.4960975716139782</v>
      </c>
      <c r="K19">
        <f t="shared" si="1"/>
        <v>4.4006598059439656E-3</v>
      </c>
      <c r="M19">
        <v>-7</v>
      </c>
      <c r="N19">
        <f>Paq_L_1* EXP(-1*(dE0_L_1/ (1 + ((7/zMid_L_1) ^n_L_1)))/(0.00198717*298))</f>
        <v>1.2750993404969866</v>
      </c>
      <c r="O19">
        <f>Paq_L_2* EXP(-1*(dE0_L_2/ (1 + ((7/(-1*zMid_L_2)) ^n_L_2)))/(0.00198717*298))</f>
        <v>1.4945676563842341</v>
      </c>
    </row>
    <row r="20" spans="4:15" x14ac:dyDescent="0.25">
      <c r="D20" s="22">
        <v>4.5</v>
      </c>
      <c r="E20">
        <v>25.991641189038326</v>
      </c>
      <c r="F20">
        <v>207.82615645104704</v>
      </c>
      <c r="G20">
        <v>1.4738</v>
      </c>
      <c r="H20">
        <f>Paq_L_1* EXP(-1*(dE0_L_1/ (1 + ((4.5/zMid_L_1) ^n_L_1)))/(0.00198717*298))</f>
        <v>1.4669945829187718</v>
      </c>
      <c r="I20">
        <f t="shared" si="0"/>
        <v>4.0402689752970196E-6</v>
      </c>
      <c r="J20">
        <f>Paq_L_2* EXP(-1*(dE0_L_2/ (1 + ((4.5/(-1*zMid_L_2)) ^n_L_2)))/(0.00198717*298))</f>
        <v>1.4960922124947675</v>
      </c>
      <c r="K20">
        <f t="shared" si="1"/>
        <v>4.2507924445924899E-5</v>
      </c>
      <c r="M20">
        <v>-6</v>
      </c>
      <c r="N20">
        <f>Paq_L_1* EXP(-1*(dE0_L_1/ (1 + ((6/zMid_L_1) ^n_L_1)))/(0.00198717*298))</f>
        <v>1.355920806440472</v>
      </c>
      <c r="O20">
        <f>Paq_L_2* EXP(-1*(dE0_L_2/ (1 + ((6/(-1*zMid_L_2)) ^n_L_2)))/(0.00198717*298))</f>
        <v>1.4958841472194599</v>
      </c>
    </row>
    <row r="21" spans="4:15" x14ac:dyDescent="0.25">
      <c r="D21" s="23">
        <v>6</v>
      </c>
      <c r="E21">
        <v>23.841890271154593</v>
      </c>
      <c r="F21">
        <v>218.70380004479716</v>
      </c>
      <c r="G21">
        <v>1.2847</v>
      </c>
      <c r="H21">
        <f>Paq_L_1* EXP(-1*(dE0_L_1/ (1 + ((6/zMid_L_1) ^n_L_1)))/(0.00198717*298))</f>
        <v>1.355920806440472</v>
      </c>
      <c r="I21">
        <f t="shared" si="0"/>
        <v>5.4908678300186534E-4</v>
      </c>
      <c r="J21">
        <f>Paq_L_2* EXP(-1*(dE0_L_2/ (1 + ((6/(-1*zMid_L_2)) ^n_L_2)))/(0.00198717*298))</f>
        <v>1.4958841472194599</v>
      </c>
      <c r="K21">
        <f t="shared" si="1"/>
        <v>4.3687123607370672E-3</v>
      </c>
      <c r="M21">
        <v>-5</v>
      </c>
      <c r="N21">
        <f>Paq_L_1* EXP(-1*(dE0_L_1/ (1 + ((5/zMid_L_1) ^n_L_1)))/(0.00198717*298))</f>
        <v>1.4319328988999074</v>
      </c>
      <c r="O21">
        <f>Paq_L_2* EXP(-1*(dE0_L_2/ (1 + ((5/(-1*zMid_L_2)) ^n_L_2)))/(0.00198717*298))</f>
        <v>1.496076865157971</v>
      </c>
    </row>
    <row r="22" spans="4:15" x14ac:dyDescent="0.25">
      <c r="D22" s="24">
        <v>7.5</v>
      </c>
      <c r="E22">
        <v>23.014168199746241</v>
      </c>
      <c r="F22">
        <v>210.91142211418727</v>
      </c>
      <c r="G22">
        <v>1.2859</v>
      </c>
      <c r="H22">
        <f>Paq_L_1* EXP(-1*(dE0_L_1/ (1 + ((7.5/zMid_L_1) ^n_L_1)))/(0.00198717*298))</f>
        <v>1.2339496528674379</v>
      </c>
      <c r="I22">
        <f t="shared" si="0"/>
        <v>3.2075936626409381E-4</v>
      </c>
      <c r="J22">
        <f>Paq_L_2* EXP(-1*(dE0_L_2/ (1 + ((7.5/(-1*zMid_L_2)) ^n_L_2)))/(0.00198717*298))</f>
        <v>1.4924120755931336</v>
      </c>
      <c r="K22">
        <f t="shared" si="1"/>
        <v>4.1837039558275052E-3</v>
      </c>
      <c r="M22">
        <v>-4</v>
      </c>
      <c r="N22">
        <f>Paq_L_1* EXP(-1*(dE0_L_1/ (1 + ((4/zMid_L_1) ^n_L_1)))/(0.00198717*298))</f>
        <v>1.4994784375930783</v>
      </c>
      <c r="O22">
        <f>Paq_L_2* EXP(-1*(dE0_L_2/ (1 + ((4/(-1*zMid_L_2)) ^n_L_2)))/(0.00198717*298))</f>
        <v>1.4960964069148601</v>
      </c>
    </row>
    <row r="23" spans="4:15" x14ac:dyDescent="0.25">
      <c r="D23" s="25">
        <v>9</v>
      </c>
      <c r="E23">
        <v>18.11593002213306</v>
      </c>
      <c r="F23">
        <v>213.79921748310556</v>
      </c>
      <c r="G23">
        <v>0.99860000000000004</v>
      </c>
      <c r="H23">
        <f>Paq_L_1* EXP(-1*(dE0_L_1/ (1 + ((9/zMid_L_1) ^n_L_1)))/(0.00198717*298))</f>
        <v>1.1118136468909088</v>
      </c>
      <c r="I23">
        <f t="shared" si="0"/>
        <v>2.1753305256844041E-3</v>
      </c>
      <c r="J23">
        <f>Paq_L_2* EXP(-1*(dE0_L_2/ (1 + ((9/(-1*zMid_L_2)) ^n_L_2)))/(0.00198717*298))</f>
        <v>1.4599840425240889</v>
      </c>
      <c r="K23">
        <f t="shared" si="1"/>
        <v>2.7210662496187803E-2</v>
      </c>
      <c r="M23">
        <v>-3</v>
      </c>
      <c r="N23">
        <f>Paq_L_1* EXP(-1*(dE0_L_1/ (1 + ((3/zMid_L_1) ^n_L_1)))/(0.00198717*298))</f>
        <v>1.5549943729545301</v>
      </c>
      <c r="O23">
        <f>Paq_L_2* EXP(-1*(dE0_L_2/ (1 + ((3/(-1*zMid_L_2)) ^n_L_2)))/(0.00198717*298))</f>
        <v>1.4960975716139782</v>
      </c>
    </row>
    <row r="24" spans="4:15" x14ac:dyDescent="0.25">
      <c r="D24" s="26">
        <v>10.5</v>
      </c>
      <c r="E24">
        <v>17.073073815724804</v>
      </c>
      <c r="F24">
        <v>220.63045274559784</v>
      </c>
      <c r="G24">
        <v>0.91190000000000004</v>
      </c>
      <c r="H24">
        <f>Paq_L_1* EXP(-1*(dE0_L_1/ (1 + ((10.5/zMid_L_1) ^n_L_1)))/(0.00198717*298))</f>
        <v>0.99709993838884814</v>
      </c>
      <c r="I24">
        <f t="shared" si="0"/>
        <v>1.5047784327575475E-3</v>
      </c>
      <c r="J24">
        <f>Paq_L_2* EXP(-1*(dE0_L_2/ (1 + ((10.5/(-1*zMid_L_2)) ^n_L_2)))/(0.00198717*298))</f>
        <v>1.3014810171601616</v>
      </c>
      <c r="K24">
        <f t="shared" si="1"/>
        <v>2.3867352394481494E-2</v>
      </c>
      <c r="M24">
        <v>-2</v>
      </c>
      <c r="N24">
        <f>Paq_L_1* EXP(-1*(dE0_L_1/ (1 + ((2/zMid_L_1) ^n_L_1)))/(0.00198717*298))</f>
        <v>1.595529184060563</v>
      </c>
      <c r="O24">
        <f>Paq_L_2* EXP(-1*(dE0_L_2/ (1 + ((2/(-1*zMid_L_2)) ^n_L_2)))/(0.00198717*298))</f>
        <v>1.4960976016036016</v>
      </c>
    </row>
    <row r="25" spans="4:15" x14ac:dyDescent="0.25">
      <c r="D25" s="27">
        <v>12</v>
      </c>
      <c r="E25">
        <v>19.222503183068255</v>
      </c>
      <c r="F25">
        <v>225.0124392487848</v>
      </c>
      <c r="G25">
        <v>1.0066999999999999</v>
      </c>
      <c r="H25">
        <f>Paq_L_1* EXP(-1*(dE0_L_1/ (1 + ((12/zMid_L_1) ^n_L_1)))/(0.00198717*298))</f>
        <v>0.89404532220734956</v>
      </c>
      <c r="I25">
        <f t="shared" si="0"/>
        <v>2.6564265819784215E-3</v>
      </c>
      <c r="J25">
        <f>Paq_L_2* EXP(-1*(dE0_L_2/ (1 + ((12/(-1*zMid_L_2)) ^n_L_2)))/(0.00198717*298))</f>
        <v>1.0338300737905666</v>
      </c>
      <c r="K25">
        <f t="shared" si="1"/>
        <v>1.3338154666163666E-4</v>
      </c>
      <c r="M25">
        <v>-1</v>
      </c>
      <c r="N25">
        <f>Paq_L_1* EXP(-1*(dE0_L_1/ (1 + ((1/zMid_L_1) ^n_L_1)))/(0.00198717*298))</f>
        <v>1.6193077069670259</v>
      </c>
      <c r="O25">
        <f>Paq_L_2* EXP(-1*(dE0_L_2/ (1 + ((1/(-1*zMid_L_2)) ^n_L_2)))/(0.00198717*298))</f>
        <v>1.4960976017723426</v>
      </c>
    </row>
    <row r="26" spans="4:15" x14ac:dyDescent="0.25">
      <c r="D26" s="28">
        <v>13.5</v>
      </c>
      <c r="E26">
        <v>17.540345929326048</v>
      </c>
      <c r="F26">
        <v>218.45557134306293</v>
      </c>
      <c r="G26">
        <v>0.94620000000000004</v>
      </c>
      <c r="H26">
        <f>Paq_L_1* EXP(-1*(dE0_L_1/ (1 + ((13.5/zMid_L_1) ^n_L_1)))/(0.00198717*298))</f>
        <v>0.80421078914096988</v>
      </c>
      <c r="I26">
        <f t="shared" si="0"/>
        <v>4.9862026175218266E-3</v>
      </c>
      <c r="J26">
        <f>Paq_L_2* EXP(-1*(dE0_L_2/ (1 + ((13.5/(-1*zMid_L_2)) ^n_L_2)))/(0.00198717*298))</f>
        <v>0.89242622207638245</v>
      </c>
      <c r="K26">
        <f t="shared" si="1"/>
        <v>6.4569966362273826E-4</v>
      </c>
      <c r="M26">
        <v>0</v>
      </c>
      <c r="N26">
        <f>Paq_L_1* EXP(-1*(dE0_L_1/ (1 + ((0/zMid_L_1) ^n_L_1)))/(0.00198717*298))</f>
        <v>1.6264872167534958</v>
      </c>
      <c r="O26">
        <f>Paq_L_2* EXP(-1*(dE0_L_2/ (1 + ((0/(-1*zMid_L_2)) ^n_L_2)))/(0.00198717*298))</f>
        <v>1.4960976017723666</v>
      </c>
    </row>
    <row r="27" spans="4:15" x14ac:dyDescent="0.25">
      <c r="D27" s="29">
        <v>15</v>
      </c>
      <c r="E27">
        <v>14.079238889985776</v>
      </c>
      <c r="F27">
        <v>224.03276726794545</v>
      </c>
      <c r="G27">
        <v>0.74060000000000004</v>
      </c>
      <c r="H27">
        <f>Paq_L_1* EXP(-1*(dE0_L_1/ (1 + ((15/zMid_L_1) ^n_L_1)))/(0.00198717*298))</f>
        <v>0.72740668131252095</v>
      </c>
      <c r="I27">
        <f t="shared" si="0"/>
        <v>6.0940223388924278E-5</v>
      </c>
      <c r="J27">
        <f>Paq_L_2* EXP(-1*(dE0_L_2/ (1 + ((15/(-1*zMid_L_2)) ^n_L_2)))/(0.00198717*298))</f>
        <v>0.8511795348479001</v>
      </c>
      <c r="K27">
        <f t="shared" si="1"/>
        <v>3.6526872357125419E-3</v>
      </c>
      <c r="M27">
        <v>1</v>
      </c>
      <c r="N27">
        <f>Paq_L_1* EXP(-1*(dE0_L_1/ (1 + ((1/zMid_L_1) ^n_L_1)))/(0.00198717*298))</f>
        <v>1.6193077069670259</v>
      </c>
      <c r="O27">
        <f>Paq_L_2* EXP(-1*(dE0_L_2/ (1 + ((1/(-1*zMid_L_2)) ^n_L_2)))/(0.00198717*298))</f>
        <v>1.4960976017723426</v>
      </c>
    </row>
    <row r="28" spans="4:15" x14ac:dyDescent="0.25">
      <c r="D28" s="30">
        <v>16.5</v>
      </c>
      <c r="E28">
        <v>11.647225038040744</v>
      </c>
      <c r="F28">
        <v>233.75708221892813</v>
      </c>
      <c r="G28">
        <v>0.58720000000000006</v>
      </c>
      <c r="H28">
        <f>Paq_L_1* EXP(-1*(dE0_L_1/ (1 + ((16.5/zMid_L_1) ^n_L_1)))/(0.00198717*298))</f>
        <v>0.66249699861440114</v>
      </c>
      <c r="I28">
        <f t="shared" si="0"/>
        <v>2.7455365889219557E-3</v>
      </c>
      <c r="J28">
        <f>Paq_L_2* EXP(-1*(dE0_L_2/ (1 + ((16.5/(-1*zMid_L_2)) ^n_L_2)))/(0.00198717*298))</f>
        <v>0.84012366780596637</v>
      </c>
      <c r="K28">
        <f t="shared" si="1"/>
        <v>2.419803402056506E-2</v>
      </c>
      <c r="M28">
        <v>2</v>
      </c>
      <c r="N28">
        <f>Paq_L_1* EXP(-1*(dE0_L_1/ (1 + ((2/zMid_L_1) ^n_L_1)))/(0.00198717*298))</f>
        <v>1.595529184060563</v>
      </c>
      <c r="O28">
        <f>Paq_L_2* EXP(-1*(dE0_L_2/ (1 + ((2/(-1*zMid_L_2)) ^n_L_2)))/(0.00198717*298))</f>
        <v>1.4960976016036016</v>
      </c>
    </row>
    <row r="29" spans="4:15" x14ac:dyDescent="0.25">
      <c r="D29" s="31">
        <v>18</v>
      </c>
      <c r="E29">
        <v>10.445048497057064</v>
      </c>
      <c r="F29">
        <v>221.14244125881021</v>
      </c>
      <c r="G29">
        <v>0.55659999999999998</v>
      </c>
      <c r="H29">
        <f>Paq_L_1* EXP(-1*(dE0_L_1/ (1 + ((18/zMid_L_1) ^n_L_1)))/(0.00198717*298))</f>
        <v>0.6079600446079394</v>
      </c>
      <c r="I29">
        <f t="shared" si="0"/>
        <v>1.4693296660776266E-3</v>
      </c>
      <c r="J29">
        <f>Paq_L_2* EXP(-1*(dE0_L_2/ (1 + ((18/(-1*zMid_L_2)) ^n_L_2)))/(0.00198717*298))</f>
        <v>0.83694360493471287</v>
      </c>
      <c r="K29">
        <f t="shared" si="1"/>
        <v>3.1383183028845171E-2</v>
      </c>
      <c r="M29">
        <v>3</v>
      </c>
      <c r="N29">
        <f>Paq_L_1* EXP(-1*(dE0_L_1/ (1 + ((3/zMid_L_1) ^n_L_1)))/(0.00198717*298))</f>
        <v>1.5549943729545301</v>
      </c>
      <c r="O29">
        <f>Paq_L_2* EXP(-1*(dE0_L_2/ (1 + ((3/(-1*zMid_L_2)) ^n_L_2)))/(0.00198717*298))</f>
        <v>1.4960975716139782</v>
      </c>
    </row>
    <row r="30" spans="4:15" x14ac:dyDescent="0.25">
      <c r="D30" s="32">
        <v>19.5</v>
      </c>
      <c r="E30">
        <v>9.7457080518889736</v>
      </c>
      <c r="F30">
        <v>203.08284087537984</v>
      </c>
      <c r="G30">
        <v>0.5655</v>
      </c>
      <c r="H30">
        <f>Paq_L_1* EXP(-1*(dE0_L_1/ (1 + ((19.5/zMid_L_1) ^n_L_1)))/(0.00198717*298))</f>
        <v>0.56222202633065477</v>
      </c>
      <c r="I30">
        <f t="shared" si="0"/>
        <v>6.3743786175588606E-6</v>
      </c>
      <c r="J30">
        <f>Paq_L_2* EXP(-1*(dE0_L_2/ (1 + ((19.5/(-1*zMid_L_2)) ^n_L_2)))/(0.00198717*298))</f>
        <v>0.83594011875825114</v>
      </c>
      <c r="K30">
        <f t="shared" si="1"/>
        <v>2.881253643663139E-2</v>
      </c>
      <c r="M30">
        <v>4</v>
      </c>
      <c r="N30">
        <f>Paq_L_1* EXP(-1*(dE0_L_1/ (1 + ((4/zMid_L_1) ^n_L_1)))/(0.00198717*298))</f>
        <v>1.4994784375930783</v>
      </c>
      <c r="O30">
        <f>Paq_L_2* EXP(-1*(dE0_L_2/ (1 + ((4/(-1*zMid_L_2)) ^n_L_2)))/(0.00198717*298))</f>
        <v>1.4960964069148601</v>
      </c>
    </row>
    <row r="31" spans="4:15" x14ac:dyDescent="0.25">
      <c r="D31" s="33">
        <v>21</v>
      </c>
      <c r="E31">
        <v>9.4208129566204644</v>
      </c>
      <c r="F31">
        <v>202.23586360890673</v>
      </c>
      <c r="G31">
        <v>0.54900000000000004</v>
      </c>
      <c r="H31">
        <f>Paq_L_1* EXP(-1*(dE0_L_1/ (1 + ((21/zMid_L_1) ^n_L_1)))/(0.00198717*298))</f>
        <v>0.52382703743582892</v>
      </c>
      <c r="I31">
        <f t="shared" si="0"/>
        <v>4.1552513266403739E-4</v>
      </c>
      <c r="J31">
        <f>Paq_L_2* EXP(-1*(dE0_L_2/ (1 + ((21/(-1*zMid_L_2)) ^n_L_2)))/(0.00198717*298))</f>
        <v>0.83559486828580953</v>
      </c>
      <c r="K31">
        <f t="shared" si="1"/>
        <v>3.3278304053023025E-2</v>
      </c>
      <c r="M31">
        <v>5</v>
      </c>
      <c r="N31">
        <f>Paq_L_1* EXP(-1*(dE0_L_1/ (1 + ((5/zMid_L_1) ^n_L_1)))/(0.00198717*298))</f>
        <v>1.4319328988999074</v>
      </c>
      <c r="O31">
        <f>Paq_L_2* EXP(-1*(dE0_L_2/ (1 + ((5/(-1*zMid_L_2)) ^n_L_2)))/(0.00198717*298))</f>
        <v>1.496076865157971</v>
      </c>
    </row>
    <row r="32" spans="4:15" x14ac:dyDescent="0.25">
      <c r="D32" s="34">
        <v>22.5</v>
      </c>
      <c r="E32">
        <v>7.8292661331539213</v>
      </c>
      <c r="F32">
        <v>185.59265872251723</v>
      </c>
      <c r="G32">
        <v>0.49709999999999999</v>
      </c>
      <c r="H32">
        <f>Paq_L_1* EXP(-1*(dE0_L_1/ (1 + ((22.5/zMid_L_1) ^n_L_1)))/(0.00198717*298))</f>
        <v>0.4915057459159205</v>
      </c>
      <c r="I32">
        <f t="shared" si="0"/>
        <v>2.4158835670422311E-5</v>
      </c>
      <c r="J32">
        <f>Paq_L_2* EXP(-1*(dE0_L_2/ (1 + ((22.5/(-1*zMid_L_2)) ^n_L_2)))/(0.00198717*298))</f>
        <v>0.83546668995594575</v>
      </c>
      <c r="K32">
        <f t="shared" si="1"/>
        <v>5.0843654844555684E-2</v>
      </c>
      <c r="M32">
        <v>6</v>
      </c>
      <c r="N32">
        <f>Paq_L_1* EXP(-1*(dE0_L_1/ (1 + ((6/zMid_L_1) ^n_L_1)))/(0.00198717*298))</f>
        <v>1.355920806440472</v>
      </c>
      <c r="O32">
        <f>Paq_L_2* EXP(-1*(dE0_L_2/ (1 + ((6/(-1*zMid_L_2)) ^n_L_2)))/(0.00198717*298))</f>
        <v>1.4958841472194599</v>
      </c>
    </row>
    <row r="33" spans="7:15" x14ac:dyDescent="0.25">
      <c r="M33">
        <v>7</v>
      </c>
      <c r="N33">
        <f>Paq_L_1* EXP(-1*(dE0_L_1/ (1 + ((7/zMid_L_1) ^n_L_1)))/(0.00198717*298))</f>
        <v>1.2750993404969866</v>
      </c>
      <c r="O33">
        <f>Paq_L_2* EXP(-1*(dE0_L_2/ (1 + ((7/(-1*zMid_L_2)) ^n_L_2)))/(0.00198717*298))</f>
        <v>1.4945676563842341</v>
      </c>
    </row>
    <row r="34" spans="7:15" x14ac:dyDescent="0.25">
      <c r="G34" t="s">
        <v>18</v>
      </c>
      <c r="H34" s="1" t="s">
        <v>20</v>
      </c>
      <c r="I34">
        <f>SQRT(AVERAGE(I$17:I$32))</f>
        <v>3.5167595917229365E-2</v>
      </c>
      <c r="M34">
        <v>8</v>
      </c>
      <c r="N34">
        <f>Paq_L_1* EXP(-1*(dE0_L_1/ (1 + ((8/zMid_L_1) ^n_L_1)))/(0.00198717*298))</f>
        <v>1.1928092311269314</v>
      </c>
      <c r="O34">
        <f>Paq_L_2* EXP(-1*(dE0_L_2/ (1 + ((8/(-1*zMid_L_2)) ^n_L_2)))/(0.00198717*298))</f>
        <v>1.4877426833978811</v>
      </c>
    </row>
    <row r="35" spans="7:15" x14ac:dyDescent="0.25">
      <c r="G35" t="s">
        <v>19</v>
      </c>
      <c r="J35" s="1" t="s">
        <v>20</v>
      </c>
      <c r="K35">
        <f>SQRT(AVERAGE(K$2:K$17))</f>
        <v>5.9328230339001219E-2</v>
      </c>
      <c r="M35">
        <v>9</v>
      </c>
      <c r="N35">
        <f>Paq_L_1* EXP(-1*(dE0_L_1/ (1 + ((9/zMid_L_1) ^n_L_1)))/(0.00198717*298))</f>
        <v>1.1118136468909088</v>
      </c>
      <c r="O35">
        <f>Paq_L_2* EXP(-1*(dE0_L_2/ (1 + ((9/(-1*zMid_L_2)) ^n_L_2)))/(0.00198717*298))</f>
        <v>1.4599840425240889</v>
      </c>
    </row>
    <row r="36" spans="7:15" x14ac:dyDescent="0.25">
      <c r="M36">
        <v>10</v>
      </c>
      <c r="N36">
        <f>Paq_L_1* EXP(-1*(dE0_L_1/ (1 + ((10/zMid_L_1) ^n_L_1)))/(0.00198717*298))</f>
        <v>1.0341879230280984</v>
      </c>
      <c r="O36">
        <f>Paq_L_2* EXP(-1*(dE0_L_2/ (1 + ((10/(-1*zMid_L_2)) ^n_L_2)))/(0.00198717*298))</f>
        <v>1.3755713949313835</v>
      </c>
    </row>
    <row r="37" spans="7:15" x14ac:dyDescent="0.25">
      <c r="M37">
        <v>11</v>
      </c>
      <c r="N37">
        <f>Paq_L_1* EXP(-1*(dE0_L_1/ (1 + ((11/zMid_L_1) ^n_L_1)))/(0.00198717*298))</f>
        <v>0.96132964624878381</v>
      </c>
      <c r="O37">
        <f>Paq_L_2* EXP(-1*(dE0_L_2/ (1 + ((11/(-1*zMid_L_2)) ^n_L_2)))/(0.00198717*298))</f>
        <v>1.2108631701581083</v>
      </c>
    </row>
    <row r="38" spans="7:15" x14ac:dyDescent="0.25">
      <c r="M38">
        <v>12</v>
      </c>
      <c r="N38">
        <f>Paq_L_1* EXP(-1*(dE0_L_1/ (1 + ((12/zMid_L_1) ^n_L_1)))/(0.00198717*298))</f>
        <v>0.89404532220734956</v>
      </c>
      <c r="O38">
        <f>Paq_L_2* EXP(-1*(dE0_L_2/ (1 + ((12/(-1*zMid_L_2)) ^n_L_2)))/(0.00198717*298))</f>
        <v>1.0338300737905666</v>
      </c>
    </row>
    <row r="39" spans="7:15" x14ac:dyDescent="0.25">
      <c r="M39">
        <v>13</v>
      </c>
      <c r="N39">
        <f>Paq_L_1* EXP(-1*(dE0_L_1/ (1 + ((13/zMid_L_1) ^n_L_1)))/(0.00198717*298))</f>
        <v>0.83267221974934602</v>
      </c>
      <c r="O39">
        <f>Paq_L_2* EXP(-1*(dE0_L_2/ (1 + ((13/(-1*zMid_L_2)) ^n_L_2)))/(0.00198717*298))</f>
        <v>0.92324549083864305</v>
      </c>
    </row>
    <row r="40" spans="7:15" x14ac:dyDescent="0.25">
      <c r="M40">
        <v>14</v>
      </c>
      <c r="N40">
        <f>Paq_L_1* EXP(-1*(dE0_L_1/ (1 + ((14/zMid_L_1) ^n_L_1)))/(0.00198717*298))</f>
        <v>0.77720468986365576</v>
      </c>
      <c r="O40">
        <f>Paq_L_2* EXP(-1*(dE0_L_2/ (1 + ((14/(-1*zMid_L_2)) ^n_L_2)))/(0.00198717*298))</f>
        <v>0.87235730658202171</v>
      </c>
    </row>
    <row r="41" spans="7:15" x14ac:dyDescent="0.25">
      <c r="M41">
        <v>15</v>
      </c>
      <c r="N41">
        <f>Paq_L_1* EXP(-1*(dE0_L_1/ (1 + ((15/zMid_L_1) ^n_L_1)))/(0.00198717*298))</f>
        <v>0.72740668131252095</v>
      </c>
      <c r="O41">
        <f>Paq_L_2* EXP(-1*(dE0_L_2/ (1 + ((15/(-1*zMid_L_2)) ^n_L_2)))/(0.00198717*298))</f>
        <v>0.8511795348479001</v>
      </c>
    </row>
    <row r="42" spans="7:15" x14ac:dyDescent="0.25">
      <c r="M42">
        <v>16</v>
      </c>
      <c r="N42">
        <f>Paq_L_1* EXP(-1*(dE0_L_1/ (1 + ((16/zMid_L_1) ^n_L_1)))/(0.00198717*298))</f>
        <v>0.68290245223137047</v>
      </c>
      <c r="O42">
        <f>Paq_L_2* EXP(-1*(dE0_L_2/ (1 + ((16/(-1*zMid_L_2)) ^n_L_2)))/(0.00198717*298))</f>
        <v>0.84238970492755094</v>
      </c>
    </row>
    <row r="43" spans="7:15" x14ac:dyDescent="0.25">
      <c r="M43">
        <v>17</v>
      </c>
      <c r="N43">
        <f>Paq_L_1* EXP(-1*(dE0_L_1/ (1 + ((17/zMid_L_1) ^n_L_1)))/(0.00198717*298))</f>
        <v>0.6432443257735696</v>
      </c>
      <c r="O43">
        <f>Paq_L_2* EXP(-1*(dE0_L_2/ (1 + ((17/(-1*zMid_L_2)) ^n_L_2)))/(0.00198717*298))</f>
        <v>0.83862407579911236</v>
      </c>
    </row>
    <row r="44" spans="7:15" x14ac:dyDescent="0.25">
      <c r="M44">
        <v>18</v>
      </c>
      <c r="N44">
        <f>Paq_L_1* EXP(-1*(dE0_L_1/ (1 + ((18/zMid_L_1) ^n_L_1)))/(0.00198717*298))</f>
        <v>0.6079600446079394</v>
      </c>
      <c r="O44">
        <f>Paq_L_2* EXP(-1*(dE0_L_2/ (1 + ((18/(-1*zMid_L_2)) ^n_L_2)))/(0.00198717*298))</f>
        <v>0.83694360493471287</v>
      </c>
    </row>
    <row r="45" spans="7:15" x14ac:dyDescent="0.25">
      <c r="M45">
        <v>19</v>
      </c>
      <c r="N45">
        <f>Paq_L_1* EXP(-1*(dE0_L_1/ (1 + ((19/zMid_L_1) ^n_L_1)))/(0.00198717*298))</f>
        <v>0.57658373595821011</v>
      </c>
      <c r="O45">
        <f>Paq_L_2* EXP(-1*(dE0_L_2/ (1 + ((19/(-1*zMid_L_2)) ^n_L_2)))/(0.00198717*298))</f>
        <v>0.83616208480793963</v>
      </c>
    </row>
    <row r="46" spans="7:15" x14ac:dyDescent="0.25">
      <c r="M46">
        <v>20</v>
      </c>
      <c r="N46">
        <f>Paq_L_1* EXP(-1*(dE0_L_1/ (1 + ((20/zMid_L_1) ^n_L_1)))/(0.00198717*298))</f>
        <v>0.54867461688310348</v>
      </c>
      <c r="O46">
        <f>Paq_L_2* EXP(-1*(dE0_L_2/ (1 + ((20/(-1*zMid_L_2)) ^n_L_2)))/(0.00198717*298))</f>
        <v>0.83578422238230332</v>
      </c>
    </row>
    <row r="47" spans="7:15" x14ac:dyDescent="0.25">
      <c r="M47">
        <v>21</v>
      </c>
      <c r="N47">
        <f>Paq_L_1* EXP(-1*(dE0_L_1/ (1 + ((21/zMid_L_1) ^n_L_1)))/(0.00198717*298))</f>
        <v>0.52382703743582892</v>
      </c>
      <c r="O47">
        <f>Paq_L_2* EXP(-1*(dE0_L_2/ (1 + ((21/(-1*zMid_L_2)) ^n_L_2)))/(0.00198717*298))</f>
        <v>0.83559486828580953</v>
      </c>
    </row>
    <row r="48" spans="7:15" x14ac:dyDescent="0.25">
      <c r="M48">
        <v>22</v>
      </c>
      <c r="N48">
        <f>Paq_L_1* EXP(-1*(dE0_L_1/ (1 + ((22/zMid_L_1) ^n_L_1)))/(0.00198717*298))</f>
        <v>0.50167471043757883</v>
      </c>
      <c r="O48">
        <f>Paq_L_2* EXP(-1*(dE0_L_2/ (1 + ((22/(-1*zMid_L_2)) ^n_L_2)))/(0.00198717*298))</f>
        <v>0.83549682205876541</v>
      </c>
    </row>
    <row r="49" spans="13:15" x14ac:dyDescent="0.25">
      <c r="M49">
        <v>23</v>
      </c>
      <c r="N49">
        <f>Paq_L_1* EXP(-1*(dE0_L_1/ (1 + ((23/zMid_L_1) ^n_L_1)))/(0.00198717*298))</f>
        <v>0.48189124202629002</v>
      </c>
      <c r="O49">
        <f>Paq_L_2* EXP(-1*(dE0_L_2/ (1 + ((23/(-1*zMid_L_2)) ^n_L_2)))/(0.00198717*298))</f>
        <v>0.83544451343463255</v>
      </c>
    </row>
    <row r="50" spans="13:15" x14ac:dyDescent="0.25">
      <c r="M50">
        <v>24</v>
      </c>
      <c r="N50">
        <f>Paq_L_1* EXP(-1*(dE0_L_1/ (1 + ((24/zMid_L_1) ^n_L_1)))/(0.00198717*298))</f>
        <v>0.4641884562789001</v>
      </c>
      <c r="O50">
        <f>Paq_L_2* EXP(-1*(dE0_L_2/ (1 + ((24/(-1*zMid_L_2)) ^n_L_2)))/(0.00198717*298))</f>
        <v>0.83541583210625669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0"/>
  <sheetViews>
    <sheetView topLeftCell="A37" workbookViewId="0">
      <selection activeCell="I34" sqref="I34"/>
    </sheetView>
  </sheetViews>
  <sheetFormatPr defaultRowHeight="15" x14ac:dyDescent="0.25"/>
  <cols>
    <col min="1" max="1" width="6" bestFit="1" customWidth="1"/>
    <col min="2" max="2" width="12.7109375" bestFit="1" customWidth="1"/>
    <col min="4" max="4" width="10.42578125" bestFit="1" customWidth="1"/>
    <col min="5" max="6" width="12" bestFit="1" customWidth="1"/>
    <col min="7" max="7" width="16.140625" bestFit="1" customWidth="1"/>
    <col min="8" max="11" width="12" bestFit="1" customWidth="1"/>
    <col min="13" max="13" width="3.7109375" bestFit="1" customWidth="1"/>
    <col min="14" max="15" width="12" bestFit="1" customWidth="1"/>
  </cols>
  <sheetData>
    <row r="1" spans="1:15" ht="18" x14ac:dyDescent="0.35">
      <c r="A1" s="1" t="s">
        <v>0</v>
      </c>
      <c r="B1">
        <v>4425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M1" s="1" t="s">
        <v>21</v>
      </c>
      <c r="N1" s="1" t="s">
        <v>22</v>
      </c>
      <c r="O1" s="1" t="s">
        <v>23</v>
      </c>
    </row>
    <row r="2" spans="1:15" ht="18" x14ac:dyDescent="0.35">
      <c r="A2" s="1" t="s">
        <v>1</v>
      </c>
      <c r="B2">
        <v>179.60694889242862</v>
      </c>
      <c r="D2" s="4">
        <v>-22.5</v>
      </c>
      <c r="E2">
        <v>1.0727361783285616</v>
      </c>
      <c r="F2">
        <v>37.146305786227806</v>
      </c>
      <c r="G2">
        <v>0.71150000000000002</v>
      </c>
      <c r="H2">
        <f>Paq_I_1* EXP(-1*(dE0_I_1/ (1 + ((22.5/zMid_I_1) ^n_I_1)))/(0.00198717*298))</f>
        <v>0.58463881245481675</v>
      </c>
      <c r="I2">
        <f t="shared" ref="I2:I32" si="0">IF(ISERROR((LOG(H2)-LOG(G2))^2),0,(LOG(H2)-LOG(G2))^2)</f>
        <v>7.2739168728214376E-3</v>
      </c>
      <c r="J2">
        <f>Paq_I_2* EXP(-1*(dE0_I_2/ (1 + ((22.5/(-1*zMid_I_2)) ^n_I_2)))/(0.00198717*298))</f>
        <v>0.57316460989836371</v>
      </c>
      <c r="K2">
        <f t="shared" ref="K2:K32" si="1">IF(ISERROR((LOG(J2)-LOG(G2))^2),0,(LOG(J2)-LOG(G2))^2)</f>
        <v>8.8163719473825265E-3</v>
      </c>
      <c r="M2">
        <v>-24</v>
      </c>
      <c r="N2">
        <f>Paq_I_1* EXP(-1*(dE0_I_1/ (1 + ((24/zMid_I_1) ^n_I_1)))/(0.00198717*298))</f>
        <v>0.56126280149259677</v>
      </c>
      <c r="O2">
        <f>Paq_I_2* EXP(-1*(dE0_I_2/ (1 + ((24/(-1*zMid_I_2)) ^n_I_2)))/(0.00198717*298))</f>
        <v>0.55016696811370014</v>
      </c>
    </row>
    <row r="3" spans="1:15" x14ac:dyDescent="0.25">
      <c r="D3" s="5">
        <v>-21</v>
      </c>
      <c r="E3">
        <v>1.459223851747236</v>
      </c>
      <c r="F3">
        <v>53.383067205069459</v>
      </c>
      <c r="G3">
        <v>0.67349999999999999</v>
      </c>
      <c r="H3">
        <f>Paq_I_1* EXP(-1*(dE0_I_1/ (1 + ((21/zMid_I_1) ^n_I_1)))/(0.00198717*298))</f>
        <v>0.61263714347910625</v>
      </c>
      <c r="I3">
        <f t="shared" si="0"/>
        <v>1.6920286636675714E-3</v>
      </c>
      <c r="J3">
        <f>Paq_I_2* EXP(-1*(dE0_I_2/ (1 + ((21/(-1*zMid_I_2)) ^n_I_2)))/(0.00198717*298))</f>
        <v>0.60093489143535772</v>
      </c>
      <c r="K3">
        <f t="shared" si="1"/>
        <v>2.4512578583732801E-3</v>
      </c>
      <c r="M3">
        <v>-23</v>
      </c>
      <c r="N3">
        <f>Paq_I_1* EXP(-1*(dE0_I_1/ (1 + ((23/zMid_I_1) ^n_I_1)))/(0.00198717*298))</f>
        <v>0.57637951197343795</v>
      </c>
      <c r="O3">
        <f>Paq_I_2* EXP(-1*(dE0_I_2/ (1 + ((23/(-1*zMid_I_2)) ^n_I_2)))/(0.00198717*298))</f>
        <v>0.56501829318089303</v>
      </c>
    </row>
    <row r="4" spans="1:15" ht="18" x14ac:dyDescent="0.35">
      <c r="A4" s="2" t="s">
        <v>2</v>
      </c>
      <c r="B4">
        <v>0.4</v>
      </c>
      <c r="D4" s="6">
        <v>-19.5</v>
      </c>
      <c r="E4">
        <v>2.7551753977748712</v>
      </c>
      <c r="F4">
        <v>104.67349192897072</v>
      </c>
      <c r="G4">
        <v>0.64849999999999997</v>
      </c>
      <c r="H4">
        <f>Paq_I_1* EXP(-1*(dE0_I_1/ (1 + ((19.5/zMid_I_1) ^n_I_1)))/(0.00198717*298))</f>
        <v>0.64631253553799761</v>
      </c>
      <c r="I4">
        <f t="shared" si="0"/>
        <v>2.1532658955208154E-6</v>
      </c>
      <c r="J4">
        <f>Paq_I_2* EXP(-1*(dE0_I_2/ (1 + ((19.5/(-1*zMid_I_2)) ^n_I_2)))/(0.00198717*298))</f>
        <v>0.63462096935092593</v>
      </c>
      <c r="K4">
        <f t="shared" si="1"/>
        <v>8.8276591311971874E-5</v>
      </c>
      <c r="M4">
        <v>-22</v>
      </c>
      <c r="N4">
        <f>Paq_I_1* EXP(-1*(dE0_I_1/ (1 + ((22/zMid_I_1) ^n_I_1)))/(0.00198717*298))</f>
        <v>0.59341010423967544</v>
      </c>
      <c r="O4">
        <f>Paq_I_2* EXP(-1*(dE0_I_2/ (1 + ((22/(-1*zMid_I_2)) ^n_I_2)))/(0.00198717*298))</f>
        <v>0.58183940733421491</v>
      </c>
    </row>
    <row r="5" spans="1:15" ht="18" x14ac:dyDescent="0.35">
      <c r="A5" s="2" t="s">
        <v>3</v>
      </c>
      <c r="B5">
        <v>-0.8</v>
      </c>
      <c r="D5" s="7">
        <v>-18</v>
      </c>
      <c r="E5">
        <v>4.5641534028266237</v>
      </c>
      <c r="F5">
        <v>171.11905245556184</v>
      </c>
      <c r="G5">
        <v>0.65710000000000002</v>
      </c>
      <c r="H5">
        <f>Paq_I_1* EXP(-1*(dE0_I_1/ (1 + ((18/zMid_I_1) ^n_I_1)))/(0.00198717*298))</f>
        <v>0.68692705880549465</v>
      </c>
      <c r="I5">
        <f t="shared" si="0"/>
        <v>3.7168588907146501E-4</v>
      </c>
      <c r="J5">
        <f>Paq_I_2* EXP(-1*(dE0_I_2/ (1 + ((18/(-1*zMid_I_2)) ^n_I_2)))/(0.00198717*298))</f>
        <v>0.67560444821527044</v>
      </c>
      <c r="K5">
        <f t="shared" si="1"/>
        <v>1.4546852029832309E-4</v>
      </c>
      <c r="M5">
        <v>-21</v>
      </c>
      <c r="N5">
        <f>Paq_I_1* EXP(-1*(dE0_I_1/ (1 + ((21/zMid_I_1) ^n_I_1)))/(0.00198717*298))</f>
        <v>0.61263714347910625</v>
      </c>
      <c r="O5">
        <f>Paq_I_2* EXP(-1*(dE0_I_2/ (1 + ((21/(-1*zMid_I_2)) ^n_I_2)))/(0.00198717*298))</f>
        <v>0.60093489143535772</v>
      </c>
    </row>
    <row r="6" spans="1:15" ht="18" x14ac:dyDescent="0.35">
      <c r="A6" s="2" t="s">
        <v>4</v>
      </c>
      <c r="B6">
        <v>15.209523022174835</v>
      </c>
      <c r="D6" s="8">
        <v>-16.5</v>
      </c>
      <c r="E6">
        <v>7.8578155175447373</v>
      </c>
      <c r="F6">
        <v>239.24085021505925</v>
      </c>
      <c r="G6">
        <v>0.80920000000000003</v>
      </c>
      <c r="H6">
        <f>Paq_I_1* EXP(-1*(dE0_I_1/ (1 + ((16.5/zMid_I_1) ^n_I_1)))/(0.00198717*298))</f>
        <v>0.73593100669292488</v>
      </c>
      <c r="I6">
        <f t="shared" si="0"/>
        <v>1.698987233437635E-3</v>
      </c>
      <c r="J6">
        <f>Paq_I_2* EXP(-1*(dE0_I_2/ (1 + ((16.5/(-1*zMid_I_2)) ^n_I_2)))/(0.00198717*298))</f>
        <v>0.72548674473816421</v>
      </c>
      <c r="K6">
        <f t="shared" si="1"/>
        <v>2.2492626755206881E-3</v>
      </c>
      <c r="M6">
        <v>-20</v>
      </c>
      <c r="N6">
        <f>Paq_I_1* EXP(-1*(dE0_I_1/ (1 + ((20/zMid_I_1) ^n_I_1)))/(0.00198717*298))</f>
        <v>0.63438297965233881</v>
      </c>
      <c r="O6">
        <f>Paq_I_2* EXP(-1*(dE0_I_2/ (1 + ((20/(-1*zMid_I_2)) ^n_I_2)))/(0.00198717*298))</f>
        <v>0.622654626529763</v>
      </c>
    </row>
    <row r="7" spans="1:15" x14ac:dyDescent="0.25">
      <c r="A7" s="2" t="s">
        <v>5</v>
      </c>
      <c r="B7">
        <v>2.4</v>
      </c>
      <c r="D7" s="9">
        <v>-15</v>
      </c>
      <c r="E7">
        <v>11.458526412249467</v>
      </c>
      <c r="F7">
        <v>301.1099037843893</v>
      </c>
      <c r="G7">
        <v>0.9375</v>
      </c>
      <c r="H7">
        <f>Paq_I_1* EXP(-1*(dE0_I_1/ (1 + ((15/zMid_I_1) ^n_I_1)))/(0.00198717*298))</f>
        <v>0.79487228838903079</v>
      </c>
      <c r="I7">
        <f t="shared" si="0"/>
        <v>5.1371508008297116E-3</v>
      </c>
      <c r="J7">
        <f>Paq_I_2* EXP(-1*(dE0_I_2/ (1 + ((15/(-1*zMid_I_2)) ^n_I_2)))/(0.00198717*298))</f>
        <v>0.78598574261278531</v>
      </c>
      <c r="K7">
        <f t="shared" si="1"/>
        <v>5.8609142549558785E-3</v>
      </c>
      <c r="M7">
        <v>-19</v>
      </c>
      <c r="N7">
        <f>Paq_I_1* EXP(-1*(dE0_I_1/ (1 + ((19/zMid_I_1) ^n_I_1)))/(0.00198717*298))</f>
        <v>0.65901148460875514</v>
      </c>
      <c r="O7">
        <f>Paq_I_2* EXP(-1*(dE0_I_2/ (1 + ((19/(-1*zMid_I_2)) ^n_I_2)))/(0.00198717*298))</f>
        <v>0.64739624009336705</v>
      </c>
    </row>
    <row r="8" spans="1:15" x14ac:dyDescent="0.25">
      <c r="D8" s="10">
        <v>-13.5</v>
      </c>
      <c r="E8">
        <v>11.907079571884454</v>
      </c>
      <c r="F8">
        <v>325.144691447757</v>
      </c>
      <c r="G8">
        <v>0.9022</v>
      </c>
      <c r="H8">
        <f>Paq_I_1* EXP(-1*(dE0_I_1/ (1 + ((13.5/zMid_I_1) ^n_I_1)))/(0.00198717*298))</f>
        <v>0.86517372026798511</v>
      </c>
      <c r="I8">
        <f t="shared" si="0"/>
        <v>3.3122192871915039E-4</v>
      </c>
      <c r="J8">
        <f>Paq_I_2* EXP(-1*(dE0_I_2/ (1 + ((13.5/(-1*zMid_I_2)) ^n_I_2)))/(0.00198717*298))</f>
        <v>0.85867304856984017</v>
      </c>
      <c r="K8">
        <f t="shared" si="1"/>
        <v>4.6117523763582527E-4</v>
      </c>
      <c r="M8">
        <v>-18</v>
      </c>
      <c r="N8">
        <f>Paq_I_1* EXP(-1*(dE0_I_1/ (1 + ((18/zMid_I_1) ^n_I_1)))/(0.00198717*298))</f>
        <v>0.68692705880549465</v>
      </c>
      <c r="O8">
        <f>Paq_I_2* EXP(-1*(dE0_I_2/ (1 + ((18/(-1*zMid_I_2)) ^n_I_2)))/(0.00198717*298))</f>
        <v>0.67560444821527044</v>
      </c>
    </row>
    <row r="9" spans="1:15" ht="18" x14ac:dyDescent="0.35">
      <c r="A9" s="3" t="s">
        <v>6</v>
      </c>
      <c r="B9">
        <v>0.4</v>
      </c>
      <c r="D9" s="11">
        <v>-12</v>
      </c>
      <c r="E9">
        <v>13.474136383694526</v>
      </c>
      <c r="F9">
        <v>335.09215104301728</v>
      </c>
      <c r="G9">
        <v>0.99070000000000003</v>
      </c>
      <c r="H9">
        <f>Paq_I_1* EXP(-1*(dE0_I_1/ (1 + ((12/zMid_I_1) ^n_I_1)))/(0.00198717*298))</f>
        <v>0.94769970298393746</v>
      </c>
      <c r="I9">
        <f t="shared" si="0"/>
        <v>3.7138757018523463E-4</v>
      </c>
      <c r="J9">
        <f>Paq_I_2* EXP(-1*(dE0_I_2/ (1 + ((12/(-1*zMid_I_2)) ^n_I_2)))/(0.00198717*298))</f>
        <v>0.94445637184389575</v>
      </c>
      <c r="K9">
        <f t="shared" si="1"/>
        <v>4.309884800669025E-4</v>
      </c>
      <c r="M9">
        <v>-17</v>
      </c>
      <c r="N9">
        <f>Paq_I_1* EXP(-1*(dE0_I_1/ (1 + ((17/zMid_I_1) ^n_I_1)))/(0.00198717*298))</f>
        <v>0.71856894396365423</v>
      </c>
      <c r="O9">
        <f>Paq_I_2* EXP(-1*(dE0_I_2/ (1 + ((17/(-1*zMid_I_2)) ^n_I_2)))/(0.00198717*298))</f>
        <v>0.7077649115875102</v>
      </c>
    </row>
    <row r="10" spans="1:15" ht="18" x14ac:dyDescent="0.35">
      <c r="A10" s="3" t="s">
        <v>7</v>
      </c>
      <c r="B10">
        <v>-0.8</v>
      </c>
      <c r="D10" s="12">
        <v>-10.5</v>
      </c>
      <c r="E10">
        <v>16.014998857590715</v>
      </c>
      <c r="F10">
        <v>329.71261028763035</v>
      </c>
      <c r="G10">
        <v>1.1967000000000001</v>
      </c>
      <c r="H10">
        <f>Paq_I_1* EXP(-1*(dE0_I_1/ (1 + ((10.5/zMid_I_1) ^n_I_1)))/(0.00198717*298))</f>
        <v>1.0420513543402168</v>
      </c>
      <c r="I10">
        <f t="shared" si="0"/>
        <v>3.6115494866935595E-3</v>
      </c>
      <c r="J10">
        <f>Paq_I_2* EXP(-1*(dE0_I_2/ (1 + ((10.5/(-1*zMid_I_2)) ^n_I_2)))/(0.00198717*298))</f>
        <v>1.0427416324284122</v>
      </c>
      <c r="K10">
        <f t="shared" si="1"/>
        <v>3.577065946373777E-3</v>
      </c>
      <c r="M10">
        <v>-16</v>
      </c>
      <c r="N10">
        <f>Paq_I_1* EXP(-1*(dE0_I_1/ (1 + ((16/zMid_I_1) ^n_I_1)))/(0.00198717*298))</f>
        <v>0.75439802136209655</v>
      </c>
      <c r="O10">
        <f>Paq_I_2* EXP(-1*(dE0_I_2/ (1 + ((16/(-1*zMid_I_2)) ^n_I_2)))/(0.00198717*298))</f>
        <v>0.74438914083262864</v>
      </c>
    </row>
    <row r="11" spans="1:15" ht="18" x14ac:dyDescent="0.35">
      <c r="A11" s="3" t="s">
        <v>8</v>
      </c>
      <c r="B11">
        <v>-15</v>
      </c>
      <c r="D11" s="13">
        <v>-9</v>
      </c>
      <c r="E11">
        <v>14.973288559915675</v>
      </c>
      <c r="F11">
        <v>284.46716551243782</v>
      </c>
      <c r="G11">
        <v>1.2968</v>
      </c>
      <c r="H11">
        <f>Paq_I_1* EXP(-1*(dE0_I_1/ (1 + ((9/zMid_I_1) ^n_I_1)))/(0.00198717*298))</f>
        <v>1.1456408092678838</v>
      </c>
      <c r="I11">
        <f t="shared" si="0"/>
        <v>2.8970796472488239E-3</v>
      </c>
      <c r="J11">
        <f>Paq_I_2* EXP(-1*(dE0_I_2/ (1 + ((9/(-1*zMid_I_2)) ^n_I_2)))/(0.00198717*298))</f>
        <v>1.1503689097902736</v>
      </c>
      <c r="K11">
        <f t="shared" si="1"/>
        <v>2.7077313518175743E-3</v>
      </c>
      <c r="M11">
        <v>-15</v>
      </c>
      <c r="N11">
        <f>Paq_I_1* EXP(-1*(dE0_I_1/ (1 + ((15/zMid_I_1) ^n_I_1)))/(0.00198717*298))</f>
        <v>0.79487228838903079</v>
      </c>
      <c r="O11">
        <f>Paq_I_2* EXP(-1*(dE0_I_2/ (1 + ((15/(-1*zMid_I_2)) ^n_I_2)))/(0.00198717*298))</f>
        <v>0.78598574261278531</v>
      </c>
    </row>
    <row r="12" spans="1:15" x14ac:dyDescent="0.25">
      <c r="A12" s="3" t="s">
        <v>9</v>
      </c>
      <c r="B12">
        <v>2.5</v>
      </c>
      <c r="D12" s="14">
        <v>-7.5</v>
      </c>
      <c r="E12">
        <v>14.473758463435738</v>
      </c>
      <c r="F12">
        <v>233.0137027127592</v>
      </c>
      <c r="G12">
        <v>1.5303</v>
      </c>
      <c r="H12">
        <f>Paq_I_1* EXP(-1*(dE0_I_1/ (1 + ((7.5/zMid_I_1) ^n_I_1)))/(0.00198717*298))</f>
        <v>1.2528558379946997</v>
      </c>
      <c r="I12">
        <f t="shared" si="0"/>
        <v>7.5473485423886242E-3</v>
      </c>
      <c r="J12">
        <f>Paq_I_2* EXP(-1*(dE0_I_2/ (1 + ((7.5/(-1*zMid_I_2)) ^n_I_2)))/(0.00198717*298))</f>
        <v>1.2607623114919295</v>
      </c>
      <c r="K12">
        <f t="shared" si="1"/>
        <v>7.0801051099034888E-3</v>
      </c>
      <c r="M12">
        <v>-14</v>
      </c>
      <c r="N12">
        <f>Paq_I_1* EXP(-1*(dE0_I_1/ (1 + ((14/zMid_I_1) ^n_I_1)))/(0.00198717*298))</f>
        <v>0.8404063022225472</v>
      </c>
      <c r="O12">
        <f>Paq_I_2* EXP(-1*(dE0_I_2/ (1 + ((14/(-1*zMid_I_2)) ^n_I_2)))/(0.00198717*298))</f>
        <v>0.83301219611871591</v>
      </c>
    </row>
    <row r="13" spans="1:15" x14ac:dyDescent="0.25">
      <c r="D13" s="15">
        <v>-6</v>
      </c>
      <c r="E13">
        <v>14.963174718733498</v>
      </c>
      <c r="F13">
        <v>229.72199232624777</v>
      </c>
      <c r="G13">
        <v>1.6048</v>
      </c>
      <c r="H13">
        <f>Paq_I_1* EXP(-1*(dE0_I_1/ (1 + ((6/zMid_I_1) ^n_I_1)))/(0.00198717*298))</f>
        <v>1.3549688430384652</v>
      </c>
      <c r="I13">
        <f t="shared" si="0"/>
        <v>5.4010162667220305E-3</v>
      </c>
      <c r="J13">
        <f>Paq_I_2* EXP(-1*(dE0_I_2/ (1 + ((6/(-1*zMid_I_2)) ^n_I_2)))/(0.00198717*298))</f>
        <v>1.3641255618537684</v>
      </c>
      <c r="K13">
        <f t="shared" si="1"/>
        <v>4.9796406023783386E-3</v>
      </c>
      <c r="M13">
        <v>-13</v>
      </c>
      <c r="N13">
        <f>Paq_I_1* EXP(-1*(dE0_I_1/ (1 + ((13/zMid_I_1) ^n_I_1)))/(0.00198717*298))</f>
        <v>0.89130953863868378</v>
      </c>
      <c r="O13">
        <f>Paq_I_2* EXP(-1*(dE0_I_2/ (1 + ((13/(-1*zMid_I_2)) ^n_I_2)))/(0.00198717*298))</f>
        <v>0.88580107192171287</v>
      </c>
    </row>
    <row r="14" spans="1:15" x14ac:dyDescent="0.25">
      <c r="D14" s="16">
        <v>-4.5</v>
      </c>
      <c r="E14">
        <v>13.233919422526544</v>
      </c>
      <c r="F14">
        <v>238.06457551464311</v>
      </c>
      <c r="G14">
        <v>1.3695999999999999</v>
      </c>
      <c r="H14">
        <f>Paq_I_1* EXP(-1*(dE0_I_1/ (1 + ((4.5/zMid_I_1) ^n_I_1)))/(0.00198717*298))</f>
        <v>1.4415365974491114</v>
      </c>
      <c r="I14">
        <f t="shared" si="0"/>
        <v>4.9425850318735715E-4</v>
      </c>
      <c r="J14">
        <f>Paq_I_2* EXP(-1*(dE0_I_2/ (1 + ((4.5/(-1*zMid_I_2)) ^n_I_2)))/(0.00198717*298))</f>
        <v>1.4494599342316752</v>
      </c>
      <c r="K14">
        <f t="shared" si="1"/>
        <v>6.0577357202610594E-4</v>
      </c>
      <c r="M14">
        <v>-12</v>
      </c>
      <c r="N14">
        <f>Paq_I_1* EXP(-1*(dE0_I_1/ (1 + ((12/zMid_I_1) ^n_I_1)))/(0.00198717*298))</f>
        <v>0.94769970298393746</v>
      </c>
      <c r="O14">
        <f>Paq_I_2* EXP(-1*(dE0_I_2/ (1 + ((12/(-1*zMid_I_2)) ^n_I_2)))/(0.00198717*298))</f>
        <v>0.94445637184389575</v>
      </c>
    </row>
    <row r="15" spans="1:15" x14ac:dyDescent="0.25">
      <c r="D15" s="17">
        <v>-3</v>
      </c>
      <c r="E15">
        <v>11.525180998683934</v>
      </c>
      <c r="F15">
        <v>209.69845561618712</v>
      </c>
      <c r="G15">
        <v>1.3541000000000001</v>
      </c>
      <c r="H15">
        <f>Paq_I_1* EXP(-1*(dE0_I_1/ (1 + ((3/zMid_I_1) ^n_I_1)))/(0.00198717*298))</f>
        <v>1.5034274308420885</v>
      </c>
      <c r="I15">
        <f t="shared" si="0"/>
        <v>2.0640422570030745E-3</v>
      </c>
      <c r="J15">
        <f>Paq_I_2* EXP(-1*(dE0_I_2/ (1 + ((3/(-1*zMid_I_2)) ^n_I_2)))/(0.00198717*298))</f>
        <v>1.5081981948069187</v>
      </c>
      <c r="K15">
        <f t="shared" si="1"/>
        <v>2.1909587709664003E-3</v>
      </c>
      <c r="M15">
        <v>-11</v>
      </c>
      <c r="N15">
        <f>Paq_I_1* EXP(-1*(dE0_I_1/ (1 + ((11/zMid_I_1) ^n_I_1)))/(0.00198717*298))</f>
        <v>1.0093908314446354</v>
      </c>
      <c r="O15">
        <f>Paq_I_2* EXP(-1*(dE0_I_2/ (1 + ((11/(-1*zMid_I_2)) ^n_I_2)))/(0.00198717*298))</f>
        <v>1.0087212244246899</v>
      </c>
    </row>
    <row r="16" spans="1:15" x14ac:dyDescent="0.25">
      <c r="D16" s="18">
        <v>-1.5</v>
      </c>
      <c r="E16">
        <v>10.263400072104256</v>
      </c>
      <c r="F16">
        <v>193.12505159558162</v>
      </c>
      <c r="G16">
        <v>1.3092999999999999</v>
      </c>
      <c r="H16">
        <f>Paq_I_1* EXP(-1*(dE0_I_1/ (1 + ((1.5/zMid_I_1) ^n_I_1)))/(0.00198717*298))</f>
        <v>1.5364511606705888</v>
      </c>
      <c r="I16">
        <f t="shared" si="0"/>
        <v>4.8274137004883991E-3</v>
      </c>
      <c r="J16">
        <f>Paq_I_2* EXP(-1*(dE0_I_2/ (1 + ((1.5/(-1*zMid_I_2)) ^n_I_2)))/(0.00198717*298))</f>
        <v>1.5378708173661275</v>
      </c>
      <c r="K16">
        <f t="shared" si="1"/>
        <v>4.8833105503177316E-3</v>
      </c>
      <c r="M16">
        <v>-10</v>
      </c>
      <c r="N16">
        <f>Paq_I_1* EXP(-1*(dE0_I_1/ (1 + ((10/zMid_I_1) ^n_I_1)))/(0.00198717*298))</f>
        <v>1.0757639520575213</v>
      </c>
      <c r="O16">
        <f>Paq_I_2* EXP(-1*(dE0_I_2/ (1 + ((10/(-1*zMid_I_2)) ^n_I_2)))/(0.00198717*298))</f>
        <v>1.07782926042855</v>
      </c>
    </row>
    <row r="17" spans="4:15" x14ac:dyDescent="0.25">
      <c r="D17" s="19">
        <v>0</v>
      </c>
      <c r="E17">
        <v>10.735853704185308</v>
      </c>
      <c r="F17">
        <v>197.31337553026106</v>
      </c>
      <c r="G17">
        <v>1.3405</v>
      </c>
      <c r="H17">
        <f>Paq_I_1* EXP(-1*(dE0_I_1/ (1 + ((0/zMid_I_1) ^n_I_1)))/(0.00198717*298))</f>
        <v>1.544433968976429</v>
      </c>
      <c r="I17">
        <f t="shared" si="0"/>
        <v>3.7825608036003528E-3</v>
      </c>
      <c r="J17">
        <f>Paq_I_2* EXP(-1*(dE0_I_2/ (1 + ((0/(-1*zMid_I_2)) ^n_I_2)))/(0.00198717*298))</f>
        <v>1.544433968976429</v>
      </c>
      <c r="K17">
        <f t="shared" si="1"/>
        <v>3.7825608036003528E-3</v>
      </c>
      <c r="M17">
        <v>-9</v>
      </c>
      <c r="N17">
        <f>Paq_I_1* EXP(-1*(dE0_I_1/ (1 + ((9/zMid_I_1) ^n_I_1)))/(0.00198717*298))</f>
        <v>1.1456408092678838</v>
      </c>
      <c r="O17">
        <f>Paq_I_2* EXP(-1*(dE0_I_2/ (1 + ((9/(-1*zMid_I_2)) ^n_I_2)))/(0.00198717*298))</f>
        <v>1.1503689097902736</v>
      </c>
    </row>
    <row r="18" spans="4:15" x14ac:dyDescent="0.25">
      <c r="D18" s="20">
        <v>1.5</v>
      </c>
      <c r="E18">
        <v>11.922071007916632</v>
      </c>
      <c r="F18">
        <v>211.87289009819162</v>
      </c>
      <c r="G18">
        <v>1.3863000000000001</v>
      </c>
      <c r="H18">
        <f>Paq_I_1* EXP(-1*(dE0_I_1/ (1 + ((1.5/zMid_I_1) ^n_I_1)))/(0.00198717*298))</f>
        <v>1.5364511606705888</v>
      </c>
      <c r="I18">
        <f t="shared" si="0"/>
        <v>1.9946528524145807E-3</v>
      </c>
      <c r="J18">
        <f>Paq_I_2* EXP(-1*(dE0_I_2/ (1 + ((1.5/(-1*zMid_I_2)) ^n_I_2)))/(0.00198717*298))</f>
        <v>1.5378708173661275</v>
      </c>
      <c r="K18">
        <f t="shared" si="1"/>
        <v>2.0306408571382989E-3</v>
      </c>
      <c r="M18">
        <v>-8</v>
      </c>
      <c r="N18">
        <f>Paq_I_1* EXP(-1*(dE0_I_1/ (1 + ((8/zMid_I_1) ^n_I_1)))/(0.00198717*298))</f>
        <v>1.2171969949134498</v>
      </c>
      <c r="O18">
        <f>Paq_I_2* EXP(-1*(dE0_I_2/ (1 + ((8/(-1*zMid_I_2)) ^n_I_2)))/(0.00198717*298))</f>
        <v>1.2242090466420885</v>
      </c>
    </row>
    <row r="19" spans="4:15" x14ac:dyDescent="0.25">
      <c r="D19" s="21">
        <v>3</v>
      </c>
      <c r="E19">
        <v>10.784706867664461</v>
      </c>
      <c r="F19">
        <v>212.60048258233337</v>
      </c>
      <c r="G19">
        <v>1.2498</v>
      </c>
      <c r="H19">
        <f>Paq_I_1* EXP(-1*(dE0_I_1/ (1 + ((3/zMid_I_1) ^n_I_1)))/(0.00198717*298))</f>
        <v>1.5034274308420885</v>
      </c>
      <c r="I19">
        <f t="shared" si="0"/>
        <v>6.4387704735839402E-3</v>
      </c>
      <c r="J19">
        <f>Paq_I_2* EXP(-1*(dE0_I_2/ (1 + ((3/(-1*zMid_I_2)) ^n_I_2)))/(0.00198717*298))</f>
        <v>1.5081981948069187</v>
      </c>
      <c r="K19">
        <f t="shared" si="1"/>
        <v>6.6614809972909304E-3</v>
      </c>
      <c r="M19">
        <v>-7</v>
      </c>
      <c r="N19">
        <f>Paq_I_1* EXP(-1*(dE0_I_1/ (1 + ((7/zMid_I_1) ^n_I_1)))/(0.00198717*298))</f>
        <v>1.2879638884333953</v>
      </c>
      <c r="O19">
        <f>Paq_I_2* EXP(-1*(dE0_I_2/ (1 + ((7/(-1*zMid_I_2)) ^n_I_2)))/(0.00198717*298))</f>
        <v>1.2965463690571843</v>
      </c>
    </row>
    <row r="20" spans="4:15" x14ac:dyDescent="0.25">
      <c r="D20" s="22">
        <v>4.5</v>
      </c>
      <c r="E20">
        <v>11.574131957223454</v>
      </c>
      <c r="F20">
        <v>207.82615645104704</v>
      </c>
      <c r="G20">
        <v>1.3721000000000001</v>
      </c>
      <c r="H20">
        <f>Paq_I_1* EXP(-1*(dE0_I_1/ (1 + ((4.5/zMid_I_1) ^n_I_1)))/(0.00198717*298))</f>
        <v>1.4415365974491114</v>
      </c>
      <c r="I20">
        <f t="shared" si="0"/>
        <v>4.5966966849384216E-4</v>
      </c>
      <c r="J20">
        <f>Paq_I_2* EXP(-1*(dE0_I_2/ (1 + ((4.5/(-1*zMid_I_2)) ^n_I_2)))/(0.00198717*298))</f>
        <v>1.4494599342316752</v>
      </c>
      <c r="K20">
        <f t="shared" si="1"/>
        <v>5.6741387706640129E-4</v>
      </c>
      <c r="M20">
        <v>-6</v>
      </c>
      <c r="N20">
        <f>Paq_I_1* EXP(-1*(dE0_I_1/ (1 + ((6/zMid_I_1) ^n_I_1)))/(0.00198717*298))</f>
        <v>1.3549688430384652</v>
      </c>
      <c r="O20">
        <f>Paq_I_2* EXP(-1*(dE0_I_2/ (1 + ((6/(-1*zMid_I_2)) ^n_I_2)))/(0.00198717*298))</f>
        <v>1.3641255618537684</v>
      </c>
    </row>
    <row r="21" spans="4:15" x14ac:dyDescent="0.25">
      <c r="D21" s="23">
        <v>6</v>
      </c>
      <c r="E21">
        <v>12.717570458125095</v>
      </c>
      <c r="F21">
        <v>218.70380004479716</v>
      </c>
      <c r="G21">
        <v>1.4326000000000001</v>
      </c>
      <c r="H21">
        <f>Paq_I_1* EXP(-1*(dE0_I_1/ (1 + ((6/zMid_I_1) ^n_I_1)))/(0.00198717*298))</f>
        <v>1.3549688430384652</v>
      </c>
      <c r="I21">
        <f t="shared" si="0"/>
        <v>5.8542889453221743E-4</v>
      </c>
      <c r="J21">
        <f>Paq_I_2* EXP(-1*(dE0_I_2/ (1 + ((6/(-1*zMid_I_2)) ^n_I_2)))/(0.00198717*298))</f>
        <v>1.3641255618537684</v>
      </c>
      <c r="K21">
        <f t="shared" si="1"/>
        <v>4.5243841308327033E-4</v>
      </c>
      <c r="M21">
        <v>-5</v>
      </c>
      <c r="N21">
        <f>Paq_I_1* EXP(-1*(dE0_I_1/ (1 + ((5/zMid_I_1) ^n_I_1)))/(0.00198717*298))</f>
        <v>1.4150395549239125</v>
      </c>
      <c r="O21">
        <f>Paq_I_2* EXP(-1*(dE0_I_2/ (1 + ((5/(-1*zMid_I_2)) ^n_I_2)))/(0.00198717*298))</f>
        <v>1.4236420748032343</v>
      </c>
    </row>
    <row r="22" spans="4:15" x14ac:dyDescent="0.25">
      <c r="D22" s="24">
        <v>7.5</v>
      </c>
      <c r="E22">
        <v>11.164945556044465</v>
      </c>
      <c r="F22">
        <v>210.91142211418727</v>
      </c>
      <c r="G22">
        <v>1.3042</v>
      </c>
      <c r="H22">
        <f>Paq_I_1* EXP(-1*(dE0_I_1/ (1 + ((7.5/zMid_I_1) ^n_I_1)))/(0.00198717*298))</f>
        <v>1.2528558379946997</v>
      </c>
      <c r="I22">
        <f t="shared" si="0"/>
        <v>3.0426155765519015E-4</v>
      </c>
      <c r="J22">
        <f>Paq_I_2* EXP(-1*(dE0_I_2/ (1 + ((7.5/(-1*zMid_I_2)) ^n_I_2)))/(0.00198717*298))</f>
        <v>1.2607623114919295</v>
      </c>
      <c r="K22">
        <f t="shared" si="1"/>
        <v>2.1641287615792396E-4</v>
      </c>
      <c r="M22">
        <v>-4</v>
      </c>
      <c r="N22">
        <f>Paq_I_1* EXP(-1*(dE0_I_1/ (1 + ((4/zMid_I_1) ^n_I_1)))/(0.00198717*298))</f>
        <v>1.4652499042023206</v>
      </c>
      <c r="O22">
        <f>Paq_I_2* EXP(-1*(dE0_I_2/ (1 + ((4/(-1*zMid_I_2)) ^n_I_2)))/(0.00198717*298))</f>
        <v>1.4722703562786177</v>
      </c>
    </row>
    <row r="23" spans="4:15" x14ac:dyDescent="0.25">
      <c r="D23" s="25">
        <v>9</v>
      </c>
      <c r="E23">
        <v>8.8494915592113781</v>
      </c>
      <c r="F23">
        <v>213.79921748310556</v>
      </c>
      <c r="G23">
        <v>1.0198</v>
      </c>
      <c r="H23">
        <f>Paq_I_1* EXP(-1*(dE0_I_1/ (1 + ((9/zMid_I_1) ^n_I_1)))/(0.00198717*298))</f>
        <v>1.1456408092678838</v>
      </c>
      <c r="I23">
        <f t="shared" si="0"/>
        <v>2.553631364048754E-3</v>
      </c>
      <c r="J23">
        <f>Paq_I_2* EXP(-1*(dE0_I_2/ (1 + ((9/(-1*zMid_I_2)) ^n_I_2)))/(0.00198717*298))</f>
        <v>1.1503689097902736</v>
      </c>
      <c r="K23">
        <f t="shared" si="1"/>
        <v>2.7376050988638405E-3</v>
      </c>
      <c r="M23">
        <v>-3</v>
      </c>
      <c r="N23">
        <f>Paq_I_1* EXP(-1*(dE0_I_1/ (1 + ((3/zMid_I_1) ^n_I_1)))/(0.00198717*298))</f>
        <v>1.5034274308420885</v>
      </c>
      <c r="O23">
        <f>Paq_I_2* EXP(-1*(dE0_I_2/ (1 + ((3/(-1*zMid_I_2)) ^n_I_2)))/(0.00198717*298))</f>
        <v>1.5081981948069187</v>
      </c>
    </row>
    <row r="24" spans="4:15" x14ac:dyDescent="0.25">
      <c r="D24" s="26">
        <v>10.5</v>
      </c>
      <c r="E24">
        <v>7.9861558799843371</v>
      </c>
      <c r="F24">
        <v>220.63045274559784</v>
      </c>
      <c r="G24">
        <v>0.89180000000000004</v>
      </c>
      <c r="H24">
        <f>Paq_I_1* EXP(-1*(dE0_I_1/ (1 + ((10.5/zMid_I_1) ^n_I_1)))/(0.00198717*298))</f>
        <v>1.0420513543402168</v>
      </c>
      <c r="I24">
        <f t="shared" si="0"/>
        <v>4.5726881388631581E-3</v>
      </c>
      <c r="J24">
        <f>Paq_I_2* EXP(-1*(dE0_I_2/ (1 + ((10.5/(-1*zMid_I_2)) ^n_I_2)))/(0.00198717*298))</f>
        <v>1.0427416324284122</v>
      </c>
      <c r="K24">
        <f t="shared" si="1"/>
        <v>4.6116656222256356E-3</v>
      </c>
      <c r="M24">
        <v>-2</v>
      </c>
      <c r="N24">
        <f>Paq_I_1* EXP(-1*(dE0_I_1/ (1 + ((2/zMid_I_1) ^n_I_1)))/(0.00198717*298))</f>
        <v>1.528612541284625</v>
      </c>
      <c r="O24">
        <f>Paq_I_2* EXP(-1*(dE0_I_2/ (1 + ((2/(-1*zMid_I_2)) ^n_I_2)))/(0.00198717*298))</f>
        <v>1.5310355331406342</v>
      </c>
    </row>
    <row r="25" spans="4:15" x14ac:dyDescent="0.25">
      <c r="D25" s="27">
        <v>12</v>
      </c>
      <c r="E25">
        <v>7.3248755379878201</v>
      </c>
      <c r="F25">
        <v>225.0124392487848</v>
      </c>
      <c r="G25">
        <v>0.80200000000000005</v>
      </c>
      <c r="H25">
        <f>Paq_I_1* EXP(-1*(dE0_I_1/ (1 + ((12/zMid_I_1) ^n_I_1)))/(0.00198717*298))</f>
        <v>0.94769970298393746</v>
      </c>
      <c r="I25">
        <f t="shared" si="0"/>
        <v>5.2557245664210887E-3</v>
      </c>
      <c r="J25">
        <f>Paq_I_2* EXP(-1*(dE0_I_2/ (1 + ((12/(-1*zMid_I_2)) ^n_I_2)))/(0.00198717*298))</f>
        <v>0.94445637184389575</v>
      </c>
      <c r="K25">
        <f t="shared" si="1"/>
        <v>5.042069695318791E-3</v>
      </c>
      <c r="M25">
        <v>-1</v>
      </c>
      <c r="N25">
        <f>Paq_I_1* EXP(-1*(dE0_I_1/ (1 + ((1/zMid_I_1) ^n_I_1)))/(0.00198717*298))</f>
        <v>1.5414051529570152</v>
      </c>
      <c r="O25">
        <f>Paq_I_2* EXP(-1*(dE0_I_2/ (1 + ((1/(-1*zMid_I_2)) ^n_I_2)))/(0.00198717*298))</f>
        <v>1.5420442567855845</v>
      </c>
    </row>
    <row r="26" spans="4:15" x14ac:dyDescent="0.25">
      <c r="D26" s="28">
        <v>13.5</v>
      </c>
      <c r="E26">
        <v>6.18791183434465</v>
      </c>
      <c r="F26">
        <v>218.45557134306293</v>
      </c>
      <c r="G26">
        <v>0.69789999999999996</v>
      </c>
      <c r="H26">
        <f>Paq_I_1* EXP(-1*(dE0_I_1/ (1 + ((13.5/zMid_I_1) ^n_I_1)))/(0.00198717*298))</f>
        <v>0.86517372026798511</v>
      </c>
      <c r="I26">
        <f t="shared" si="0"/>
        <v>8.7067786635502391E-3</v>
      </c>
      <c r="J26">
        <f>Paq_I_2* EXP(-1*(dE0_I_2/ (1 + ((13.5/(-1*zMid_I_2)) ^n_I_2)))/(0.00198717*298))</f>
        <v>0.85867304856984017</v>
      </c>
      <c r="K26">
        <f t="shared" si="1"/>
        <v>8.1062352213289151E-3</v>
      </c>
      <c r="M26">
        <v>0</v>
      </c>
      <c r="N26">
        <f>Paq_I_1* EXP(-1*(dE0_I_1/ (1 + ((0/zMid_I_1) ^n_I_1)))/(0.00198717*298))</f>
        <v>1.544433968976429</v>
      </c>
      <c r="O26">
        <f>Paq_I_2* EXP(-1*(dE0_I_2/ (1 + ((0/(-1*zMid_I_2)) ^n_I_2)))/(0.00198717*298))</f>
        <v>1.544433968976429</v>
      </c>
    </row>
    <row r="27" spans="4:15" x14ac:dyDescent="0.25">
      <c r="D27" s="29">
        <v>15</v>
      </c>
      <c r="E27">
        <v>7.1215125952160045</v>
      </c>
      <c r="F27">
        <v>224.03276726794545</v>
      </c>
      <c r="G27">
        <v>0.78320000000000001</v>
      </c>
      <c r="H27">
        <f>Paq_I_1* EXP(-1*(dE0_I_1/ (1 + ((15/zMid_I_1) ^n_I_1)))/(0.00198717*298))</f>
        <v>0.79487228838903079</v>
      </c>
      <c r="I27">
        <f t="shared" si="0"/>
        <v>4.1276482981656035E-5</v>
      </c>
      <c r="J27">
        <f>Paq_I_2* EXP(-1*(dE0_I_2/ (1 + ((15/(-1*zMid_I_2)) ^n_I_2)))/(0.00198717*298))</f>
        <v>0.78598574261278531</v>
      </c>
      <c r="K27">
        <f t="shared" si="1"/>
        <v>2.3777314073647182E-6</v>
      </c>
      <c r="M27">
        <v>1</v>
      </c>
      <c r="N27">
        <f>Paq_I_1* EXP(-1*(dE0_I_1/ (1 + ((1/zMid_I_1) ^n_I_1)))/(0.00198717*298))</f>
        <v>1.5414051529570152</v>
      </c>
      <c r="O27">
        <f>Paq_I_2* EXP(-1*(dE0_I_2/ (1 + ((1/(-1*zMid_I_2)) ^n_I_2)))/(0.00198717*298))</f>
        <v>1.5420442567855845</v>
      </c>
    </row>
    <row r="28" spans="4:15" x14ac:dyDescent="0.25">
      <c r="D28" s="30">
        <v>16.5</v>
      </c>
      <c r="E28">
        <v>7.2905506399931372</v>
      </c>
      <c r="F28">
        <v>233.75708221892813</v>
      </c>
      <c r="G28">
        <v>0.76839999999999997</v>
      </c>
      <c r="H28">
        <f>Paq_I_1* EXP(-1*(dE0_I_1/ (1 + ((16.5/zMid_I_1) ^n_I_1)))/(0.00198717*298))</f>
        <v>0.73593100669292488</v>
      </c>
      <c r="I28">
        <f t="shared" si="0"/>
        <v>3.5157205951938988E-4</v>
      </c>
      <c r="J28">
        <f>Paq_I_2* EXP(-1*(dE0_I_2/ (1 + ((16.5/(-1*zMid_I_2)) ^n_I_2)))/(0.00198717*298))</f>
        <v>0.72548674473816421</v>
      </c>
      <c r="K28">
        <f t="shared" si="1"/>
        <v>6.2289548828438433E-4</v>
      </c>
      <c r="M28">
        <v>2</v>
      </c>
      <c r="N28">
        <f>Paq_I_1* EXP(-1*(dE0_I_1/ (1 + ((2/zMid_I_1) ^n_I_1)))/(0.00198717*298))</f>
        <v>1.528612541284625</v>
      </c>
      <c r="O28">
        <f>Paq_I_2* EXP(-1*(dE0_I_2/ (1 + ((2/(-1*zMid_I_2)) ^n_I_2)))/(0.00198717*298))</f>
        <v>1.5310355331406342</v>
      </c>
    </row>
    <row r="29" spans="4:15" x14ac:dyDescent="0.25">
      <c r="D29" s="31">
        <v>18</v>
      </c>
      <c r="E29">
        <v>6.3191123396819995</v>
      </c>
      <c r="F29">
        <v>221.14244125881021</v>
      </c>
      <c r="G29">
        <v>0.70399999999999996</v>
      </c>
      <c r="H29">
        <f>Paq_I_1* EXP(-1*(dE0_I_1/ (1 + ((18/zMid_I_1) ^n_I_1)))/(0.00198717*298))</f>
        <v>0.68692705880549465</v>
      </c>
      <c r="I29">
        <f t="shared" si="0"/>
        <v>1.1367899238349133E-4</v>
      </c>
      <c r="J29">
        <f>Paq_I_2* EXP(-1*(dE0_I_2/ (1 + ((18/(-1*zMid_I_2)) ^n_I_2)))/(0.00198717*298))</f>
        <v>0.67560444821527044</v>
      </c>
      <c r="K29">
        <f t="shared" si="1"/>
        <v>3.1970007928485041E-4</v>
      </c>
      <c r="M29">
        <v>3</v>
      </c>
      <c r="N29">
        <f>Paq_I_1* EXP(-1*(dE0_I_1/ (1 + ((3/zMid_I_1) ^n_I_1)))/(0.00198717*298))</f>
        <v>1.5034274308420885</v>
      </c>
      <c r="O29">
        <f>Paq_I_2* EXP(-1*(dE0_I_2/ (1 + ((3/(-1*zMid_I_2)) ^n_I_2)))/(0.00198717*298))</f>
        <v>1.5081981948069187</v>
      </c>
    </row>
    <row r="30" spans="4:15" x14ac:dyDescent="0.25">
      <c r="D30" s="32">
        <v>19.5</v>
      </c>
      <c r="E30">
        <v>4.9419458027959031</v>
      </c>
      <c r="F30">
        <v>203.08284087537984</v>
      </c>
      <c r="G30">
        <v>0.59950000000000003</v>
      </c>
      <c r="H30">
        <f>Paq_I_1* EXP(-1*(dE0_I_1/ (1 + ((19.5/zMid_I_1) ^n_I_1)))/(0.00198717*298))</f>
        <v>0.64631253553799761</v>
      </c>
      <c r="I30">
        <f t="shared" si="0"/>
        <v>1.0662440036746483E-3</v>
      </c>
      <c r="J30">
        <f>Paq_I_2* EXP(-1*(dE0_I_2/ (1 + ((19.5/(-1*zMid_I_2)) ^n_I_2)))/(0.00198717*298))</f>
        <v>0.63462096935092593</v>
      </c>
      <c r="K30">
        <f t="shared" si="1"/>
        <v>6.1133703144108736E-4</v>
      </c>
      <c r="M30">
        <v>4</v>
      </c>
      <c r="N30">
        <f>Paq_I_1* EXP(-1*(dE0_I_1/ (1 + ((4/zMid_I_1) ^n_I_1)))/(0.00198717*298))</f>
        <v>1.4652499042023206</v>
      </c>
      <c r="O30">
        <f>Paq_I_2* EXP(-1*(dE0_I_2/ (1 + ((4/(-1*zMid_I_2)) ^n_I_2)))/(0.00198717*298))</f>
        <v>1.4722703562786177</v>
      </c>
    </row>
    <row r="31" spans="4:15" x14ac:dyDescent="0.25">
      <c r="D31" s="33">
        <v>21</v>
      </c>
      <c r="E31">
        <v>4.531685559911339</v>
      </c>
      <c r="F31">
        <v>202.23586360890673</v>
      </c>
      <c r="G31">
        <v>0.55210000000000004</v>
      </c>
      <c r="H31">
        <f>Paq_I_1* EXP(-1*(dE0_I_1/ (1 + ((21/zMid_I_1) ^n_I_1)))/(0.00198717*298))</f>
        <v>0.61263714347910625</v>
      </c>
      <c r="I31">
        <f t="shared" si="0"/>
        <v>2.041736359707484E-3</v>
      </c>
      <c r="J31">
        <f>Paq_I_2* EXP(-1*(dE0_I_2/ (1 + ((21/(-1*zMid_I_2)) ^n_I_2)))/(0.00198717*298))</f>
        <v>0.60093489143535772</v>
      </c>
      <c r="K31">
        <f t="shared" si="1"/>
        <v>1.3549520689125521E-3</v>
      </c>
      <c r="M31">
        <v>5</v>
      </c>
      <c r="N31">
        <f>Paq_I_1* EXP(-1*(dE0_I_1/ (1 + ((5/zMid_I_1) ^n_I_1)))/(0.00198717*298))</f>
        <v>1.4150395549239125</v>
      </c>
      <c r="O31">
        <f>Paq_I_2* EXP(-1*(dE0_I_2/ (1 + ((5/(-1*zMid_I_2)) ^n_I_2)))/(0.00198717*298))</f>
        <v>1.4236420748032343</v>
      </c>
    </row>
    <row r="32" spans="4:15" x14ac:dyDescent="0.25">
      <c r="D32" s="34">
        <v>22.5</v>
      </c>
      <c r="E32">
        <v>4.5640368800310513</v>
      </c>
      <c r="F32">
        <v>185.59265872251723</v>
      </c>
      <c r="G32">
        <v>0.60589999999999999</v>
      </c>
      <c r="H32">
        <f>Paq_I_1* EXP(-1*(dE0_I_1/ (1 + ((22.5/zMid_I_1) ^n_I_1)))/(0.00198717*298))</f>
        <v>0.58463881245481675</v>
      </c>
      <c r="I32">
        <f t="shared" si="0"/>
        <v>2.4066275557318187E-4</v>
      </c>
      <c r="J32">
        <f>Paq_I_2* EXP(-1*(dE0_I_2/ (1 + ((22.5/(-1*zMid_I_2)) ^n_I_2)))/(0.00198717*298))</f>
        <v>0.57316460989836371</v>
      </c>
      <c r="K32">
        <f t="shared" si="1"/>
        <v>5.8185088684969348E-4</v>
      </c>
      <c r="M32">
        <v>6</v>
      </c>
      <c r="N32">
        <f>Paq_I_1* EXP(-1*(dE0_I_1/ (1 + ((6/zMid_I_1) ^n_I_1)))/(0.00198717*298))</f>
        <v>1.3549688430384652</v>
      </c>
      <c r="O32">
        <f>Paq_I_2* EXP(-1*(dE0_I_2/ (1 + ((6/(-1*zMid_I_2)) ^n_I_2)))/(0.00198717*298))</f>
        <v>1.3641255618537684</v>
      </c>
    </row>
    <row r="33" spans="7:15" x14ac:dyDescent="0.25">
      <c r="M33">
        <v>7</v>
      </c>
      <c r="N33">
        <f>Paq_I_1* EXP(-1*(dE0_I_1/ (1 + ((7/zMid_I_1) ^n_I_1)))/(0.00198717*298))</f>
        <v>1.2879638884333953</v>
      </c>
      <c r="O33">
        <f>Paq_I_2* EXP(-1*(dE0_I_2/ (1 + ((7/(-1*zMid_I_2)) ^n_I_2)))/(0.00198717*298))</f>
        <v>1.2965463690571843</v>
      </c>
    </row>
    <row r="34" spans="7:15" x14ac:dyDescent="0.25">
      <c r="G34" t="s">
        <v>18</v>
      </c>
      <c r="H34" s="1" t="s">
        <v>20</v>
      </c>
      <c r="I34">
        <f>SQRT(AVERAGE(I$17:I$32))</f>
        <v>4.9059490440817879E-2</v>
      </c>
      <c r="M34">
        <v>8</v>
      </c>
      <c r="N34">
        <f>Paq_I_1* EXP(-1*(dE0_I_1/ (1 + ((8/zMid_I_1) ^n_I_1)))/(0.00198717*298))</f>
        <v>1.2171969949134498</v>
      </c>
      <c r="O34">
        <f>Paq_I_2* EXP(-1*(dE0_I_2/ (1 + ((8/(-1*zMid_I_2)) ^n_I_2)))/(0.00198717*298))</f>
        <v>1.2242090466420885</v>
      </c>
    </row>
    <row r="35" spans="7:15" x14ac:dyDescent="0.25">
      <c r="G35" t="s">
        <v>19</v>
      </c>
      <c r="J35" s="1" t="s">
        <v>20</v>
      </c>
      <c r="K35">
        <f>SQRT(AVERAGE(K$2:K$17))</f>
        <v>5.6075207463352934E-2</v>
      </c>
      <c r="M35">
        <v>9</v>
      </c>
      <c r="N35">
        <f>Paq_I_1* EXP(-1*(dE0_I_1/ (1 + ((9/zMid_I_1) ^n_I_1)))/(0.00198717*298))</f>
        <v>1.1456408092678838</v>
      </c>
      <c r="O35">
        <f>Paq_I_2* EXP(-1*(dE0_I_2/ (1 + ((9/(-1*zMid_I_2)) ^n_I_2)))/(0.00198717*298))</f>
        <v>1.1503689097902736</v>
      </c>
    </row>
    <row r="36" spans="7:15" x14ac:dyDescent="0.25">
      <c r="M36">
        <v>10</v>
      </c>
      <c r="N36">
        <f>Paq_I_1* EXP(-1*(dE0_I_1/ (1 + ((10/zMid_I_1) ^n_I_1)))/(0.00198717*298))</f>
        <v>1.0757639520575213</v>
      </c>
      <c r="O36">
        <f>Paq_I_2* EXP(-1*(dE0_I_2/ (1 + ((10/(-1*zMid_I_2)) ^n_I_2)))/(0.00198717*298))</f>
        <v>1.07782926042855</v>
      </c>
    </row>
    <row r="37" spans="7:15" x14ac:dyDescent="0.25">
      <c r="M37">
        <v>11</v>
      </c>
      <c r="N37">
        <f>Paq_I_1* EXP(-1*(dE0_I_1/ (1 + ((11/zMid_I_1) ^n_I_1)))/(0.00198717*298))</f>
        <v>1.0093908314446354</v>
      </c>
      <c r="O37">
        <f>Paq_I_2* EXP(-1*(dE0_I_2/ (1 + ((11/(-1*zMid_I_2)) ^n_I_2)))/(0.00198717*298))</f>
        <v>1.0087212244246899</v>
      </c>
    </row>
    <row r="38" spans="7:15" x14ac:dyDescent="0.25">
      <c r="M38">
        <v>12</v>
      </c>
      <c r="N38">
        <f>Paq_I_1* EXP(-1*(dE0_I_1/ (1 + ((12/zMid_I_1) ^n_I_1)))/(0.00198717*298))</f>
        <v>0.94769970298393746</v>
      </c>
      <c r="O38">
        <f>Paq_I_2* EXP(-1*(dE0_I_2/ (1 + ((12/(-1*zMid_I_2)) ^n_I_2)))/(0.00198717*298))</f>
        <v>0.94445637184389575</v>
      </c>
    </row>
    <row r="39" spans="7:15" x14ac:dyDescent="0.25">
      <c r="M39">
        <v>13</v>
      </c>
      <c r="N39">
        <f>Paq_I_1* EXP(-1*(dE0_I_1/ (1 + ((13/zMid_I_1) ^n_I_1)))/(0.00198717*298))</f>
        <v>0.89130953863868378</v>
      </c>
      <c r="O39">
        <f>Paq_I_2* EXP(-1*(dE0_I_2/ (1 + ((13/(-1*zMid_I_2)) ^n_I_2)))/(0.00198717*298))</f>
        <v>0.88580107192171287</v>
      </c>
    </row>
    <row r="40" spans="7:15" x14ac:dyDescent="0.25">
      <c r="M40">
        <v>14</v>
      </c>
      <c r="N40">
        <f>Paq_I_1* EXP(-1*(dE0_I_1/ (1 + ((14/zMid_I_1) ^n_I_1)))/(0.00198717*298))</f>
        <v>0.8404063022225472</v>
      </c>
      <c r="O40">
        <f>Paq_I_2* EXP(-1*(dE0_I_2/ (1 + ((14/(-1*zMid_I_2)) ^n_I_2)))/(0.00198717*298))</f>
        <v>0.83301219611871591</v>
      </c>
    </row>
    <row r="41" spans="7:15" x14ac:dyDescent="0.25">
      <c r="M41">
        <v>15</v>
      </c>
      <c r="N41">
        <f>Paq_I_1* EXP(-1*(dE0_I_1/ (1 + ((15/zMid_I_1) ^n_I_1)))/(0.00198717*298))</f>
        <v>0.79487228838903079</v>
      </c>
      <c r="O41">
        <f>Paq_I_2* EXP(-1*(dE0_I_2/ (1 + ((15/(-1*zMid_I_2)) ^n_I_2)))/(0.00198717*298))</f>
        <v>0.78598574261278531</v>
      </c>
    </row>
    <row r="42" spans="7:15" x14ac:dyDescent="0.25">
      <c r="M42">
        <v>16</v>
      </c>
      <c r="N42">
        <f>Paq_I_1* EXP(-1*(dE0_I_1/ (1 + ((16/zMid_I_1) ^n_I_1)))/(0.00198717*298))</f>
        <v>0.75439802136209655</v>
      </c>
      <c r="O42">
        <f>Paq_I_2* EXP(-1*(dE0_I_2/ (1 + ((16/(-1*zMid_I_2)) ^n_I_2)))/(0.00198717*298))</f>
        <v>0.74438914083262864</v>
      </c>
    </row>
    <row r="43" spans="7:15" x14ac:dyDescent="0.25">
      <c r="M43">
        <v>17</v>
      </c>
      <c r="N43">
        <f>Paq_I_1* EXP(-1*(dE0_I_1/ (1 + ((17/zMid_I_1) ^n_I_1)))/(0.00198717*298))</f>
        <v>0.71856894396365423</v>
      </c>
      <c r="O43">
        <f>Paq_I_2* EXP(-1*(dE0_I_2/ (1 + ((17/(-1*zMid_I_2)) ^n_I_2)))/(0.00198717*298))</f>
        <v>0.7077649115875102</v>
      </c>
    </row>
    <row r="44" spans="7:15" x14ac:dyDescent="0.25">
      <c r="M44">
        <v>18</v>
      </c>
      <c r="N44">
        <f>Paq_I_1* EXP(-1*(dE0_I_1/ (1 + ((18/zMid_I_1) ^n_I_1)))/(0.00198717*298))</f>
        <v>0.68692705880549465</v>
      </c>
      <c r="O44">
        <f>Paq_I_2* EXP(-1*(dE0_I_2/ (1 + ((18/(-1*zMid_I_2)) ^n_I_2)))/(0.00198717*298))</f>
        <v>0.67560444821527044</v>
      </c>
    </row>
    <row r="45" spans="7:15" x14ac:dyDescent="0.25">
      <c r="M45">
        <v>19</v>
      </c>
      <c r="N45">
        <f>Paq_I_1* EXP(-1*(dE0_I_1/ (1 + ((19/zMid_I_1) ^n_I_1)))/(0.00198717*298))</f>
        <v>0.65901148460875514</v>
      </c>
      <c r="O45">
        <f>Paq_I_2* EXP(-1*(dE0_I_2/ (1 + ((19/(-1*zMid_I_2)) ^n_I_2)))/(0.00198717*298))</f>
        <v>0.64739624009336705</v>
      </c>
    </row>
    <row r="46" spans="7:15" x14ac:dyDescent="0.25">
      <c r="M46">
        <v>20</v>
      </c>
      <c r="N46">
        <f>Paq_I_1* EXP(-1*(dE0_I_1/ (1 + ((20/zMid_I_1) ^n_I_1)))/(0.00198717*298))</f>
        <v>0.63438297965233881</v>
      </c>
      <c r="O46">
        <f>Paq_I_2* EXP(-1*(dE0_I_2/ (1 + ((20/(-1*zMid_I_2)) ^n_I_2)))/(0.00198717*298))</f>
        <v>0.622654626529763</v>
      </c>
    </row>
    <row r="47" spans="7:15" x14ac:dyDescent="0.25">
      <c r="M47">
        <v>21</v>
      </c>
      <c r="N47">
        <f>Paq_I_1* EXP(-1*(dE0_I_1/ (1 + ((21/zMid_I_1) ^n_I_1)))/(0.00198717*298))</f>
        <v>0.61263714347910625</v>
      </c>
      <c r="O47">
        <f>Paq_I_2* EXP(-1*(dE0_I_2/ (1 + ((21/(-1*zMid_I_2)) ^n_I_2)))/(0.00198717*298))</f>
        <v>0.60093489143535772</v>
      </c>
    </row>
    <row r="48" spans="7:15" x14ac:dyDescent="0.25">
      <c r="M48">
        <v>22</v>
      </c>
      <c r="N48">
        <f>Paq_I_1* EXP(-1*(dE0_I_1/ (1 + ((22/zMid_I_1) ^n_I_1)))/(0.00198717*298))</f>
        <v>0.59341010423967544</v>
      </c>
      <c r="O48">
        <f>Paq_I_2* EXP(-1*(dE0_I_2/ (1 + ((22/(-1*zMid_I_2)) ^n_I_2)))/(0.00198717*298))</f>
        <v>0.58183940733421491</v>
      </c>
    </row>
    <row r="49" spans="13:15" x14ac:dyDescent="0.25">
      <c r="M49">
        <v>23</v>
      </c>
      <c r="N49">
        <f>Paq_I_1* EXP(-1*(dE0_I_1/ (1 + ((23/zMid_I_1) ^n_I_1)))/(0.00198717*298))</f>
        <v>0.57637951197343795</v>
      </c>
      <c r="O49">
        <f>Paq_I_2* EXP(-1*(dE0_I_2/ (1 + ((23/(-1*zMid_I_2)) ^n_I_2)))/(0.00198717*298))</f>
        <v>0.56501829318089303</v>
      </c>
    </row>
    <row r="50" spans="13:15" x14ac:dyDescent="0.25">
      <c r="M50">
        <v>24</v>
      </c>
      <c r="N50">
        <f>Paq_I_1* EXP(-1*(dE0_I_1/ (1 + ((24/zMid_I_1) ^n_I_1)))/(0.00198717*298))</f>
        <v>0.56126280149259677</v>
      </c>
      <c r="O50">
        <f>Paq_I_2* EXP(-1*(dE0_I_2/ (1 + ((24/(-1*zMid_I_2)) ^n_I_2)))/(0.00198717*298))</f>
        <v>0.55016696811370014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50"/>
  <sheetViews>
    <sheetView topLeftCell="A40" workbookViewId="0"/>
  </sheetViews>
  <sheetFormatPr defaultRowHeight="15" x14ac:dyDescent="0.25"/>
  <cols>
    <col min="1" max="1" width="6" bestFit="1" customWidth="1"/>
    <col min="2" max="2" width="12.7109375" bestFit="1" customWidth="1"/>
    <col min="4" max="4" width="10.42578125" bestFit="1" customWidth="1"/>
    <col min="5" max="6" width="12" bestFit="1" customWidth="1"/>
    <col min="7" max="7" width="16.140625" bestFit="1" customWidth="1"/>
    <col min="8" max="11" width="12" bestFit="1" customWidth="1"/>
    <col min="13" max="13" width="3.7109375" bestFit="1" customWidth="1"/>
    <col min="14" max="15" width="12" bestFit="1" customWidth="1"/>
  </cols>
  <sheetData>
    <row r="1" spans="1:15" ht="18" x14ac:dyDescent="0.35">
      <c r="A1" s="1" t="s">
        <v>0</v>
      </c>
      <c r="B1">
        <v>4425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M1" s="1" t="s">
        <v>21</v>
      </c>
      <c r="N1" s="1" t="s">
        <v>22</v>
      </c>
      <c r="O1" s="1" t="s">
        <v>23</v>
      </c>
    </row>
    <row r="2" spans="1:15" ht="18" x14ac:dyDescent="0.35">
      <c r="A2" s="1" t="s">
        <v>1</v>
      </c>
      <c r="B2">
        <v>266.54717271090936</v>
      </c>
      <c r="D2" s="4">
        <v>-22.5</v>
      </c>
      <c r="E2">
        <v>1.1539163303661661</v>
      </c>
      <c r="F2">
        <v>37.146305786227806</v>
      </c>
      <c r="G2">
        <v>0.51570000000000005</v>
      </c>
      <c r="H2">
        <f>Paq_V_1* EXP(-1*(dE0_V_1/ (1 + ((22.5/zMid_V_1) ^n_V_1)))/(0.00198717*298))</f>
        <v>0.61952221862175605</v>
      </c>
      <c r="I2">
        <f t="shared" ref="I2:I32" si="0">IF(ISERROR((LOG(H2)-LOG(G2))^2),0,(LOG(H2)-LOG(G2))^2)</f>
        <v>6.3456765946825339E-3</v>
      </c>
      <c r="J2">
        <f>Paq_V_2* EXP(-1*(dE0_V_2/ (1 + ((22.5/(-1*zMid_V_2)) ^n_V_2)))/(0.00198717*298))</f>
        <v>0.45749794117344883</v>
      </c>
      <c r="K2">
        <f t="shared" ref="K2:K32" si="1">IF(ISERROR((LOG(J2)-LOG(G2))^2),0,(LOG(J2)-LOG(G2))^2)</f>
        <v>2.7048307540728186E-3</v>
      </c>
      <c r="M2">
        <v>-24</v>
      </c>
      <c r="N2">
        <f>Paq_V_1* EXP(-1*(dE0_V_1/ (1 + ((24/zMid_V_1) ^n_V_1)))/(0.00198717*298))</f>
        <v>0.60215235832122194</v>
      </c>
      <c r="O2">
        <f>Paq_V_2* EXP(-1*(dE0_V_2/ (1 + ((24/(-1*zMid_V_2)) ^n_V_2)))/(0.00198717*298))</f>
        <v>0.44222901944311593</v>
      </c>
    </row>
    <row r="3" spans="1:15" x14ac:dyDescent="0.25">
      <c r="D3" s="5">
        <v>-21</v>
      </c>
      <c r="E3">
        <v>1.4934809506834663</v>
      </c>
      <c r="F3">
        <v>53.383067205069459</v>
      </c>
      <c r="G3">
        <v>0.46439999999999998</v>
      </c>
      <c r="H3">
        <f>Paq_V_1* EXP(-1*(dE0_V_1/ (1 + ((21/zMid_V_1) ^n_V_1)))/(0.00198717*298))</f>
        <v>0.64165118687801659</v>
      </c>
      <c r="I3">
        <f t="shared" si="0"/>
        <v>1.971406692005806E-2</v>
      </c>
      <c r="J3">
        <f>Paq_V_2* EXP(-1*(dE0_V_2/ (1 + ((21/(-1*zMid_V_2)) ^n_V_2)))/(0.00198717*298))</f>
        <v>0.47750681771996217</v>
      </c>
      <c r="K3">
        <f t="shared" si="1"/>
        <v>1.4610440818279142E-4</v>
      </c>
      <c r="M3">
        <v>-23</v>
      </c>
      <c r="N3">
        <f>Paq_V_1* EXP(-1*(dE0_V_1/ (1 + ((23/zMid_V_1) ^n_V_1)))/(0.00198717*298))</f>
        <v>0.61326717116488028</v>
      </c>
      <c r="O3">
        <f>Paq_V_2* EXP(-1*(dE0_V_2/ (1 + ((23/(-1*zMid_V_2)) ^n_V_2)))/(0.00198717*298))</f>
        <v>0.45195309091730484</v>
      </c>
    </row>
    <row r="4" spans="1:15" ht="18" x14ac:dyDescent="0.35">
      <c r="A4" s="2" t="s">
        <v>2</v>
      </c>
      <c r="B4">
        <v>0.51858828880716024</v>
      </c>
      <c r="D4" s="6">
        <v>-19.5</v>
      </c>
      <c r="E4">
        <v>2.8500349625407257</v>
      </c>
      <c r="F4">
        <v>104.67349192897072</v>
      </c>
      <c r="G4">
        <v>0.45200000000000001</v>
      </c>
      <c r="H4">
        <f>Paq_V_1* EXP(-1*(dE0_V_1/ (1 + ((19.5/zMid_V_1) ^n_V_1)))/(0.00198717*298))</f>
        <v>0.67007596863030217</v>
      </c>
      <c r="I4">
        <f t="shared" si="0"/>
        <v>2.9236078149534443E-2</v>
      </c>
      <c r="J4">
        <f>Paq_V_2* EXP(-1*(dE0_V_2/ (1 + ((19.5/(-1*zMid_V_2)) ^n_V_2)))/(0.00198717*298))</f>
        <v>0.50403846714120581</v>
      </c>
      <c r="K4">
        <f t="shared" si="1"/>
        <v>2.2396790346478255E-3</v>
      </c>
      <c r="M4">
        <v>-22</v>
      </c>
      <c r="N4">
        <f>Paq_V_1* EXP(-1*(dE0_V_1/ (1 + ((22/zMid_V_1) ^n_V_1)))/(0.00198717*298))</f>
        <v>0.62630286132209312</v>
      </c>
      <c r="O4">
        <f>Paq_V_2* EXP(-1*(dE0_V_2/ (1 + ((22/(-1*zMid_V_2)) ^n_V_2)))/(0.00198717*298))</f>
        <v>0.46356524009085764</v>
      </c>
    </row>
    <row r="5" spans="1:15" ht="18" x14ac:dyDescent="0.35">
      <c r="A5" s="2" t="s">
        <v>3</v>
      </c>
      <c r="B5">
        <v>-0.66405528948253267</v>
      </c>
      <c r="D5" s="7">
        <v>-18</v>
      </c>
      <c r="E5">
        <v>5.5885239551233346</v>
      </c>
      <c r="F5">
        <v>171.11905245556184</v>
      </c>
      <c r="G5">
        <v>0.54220000000000002</v>
      </c>
      <c r="H5">
        <f>Paq_V_1* EXP(-1*(dE0_V_1/ (1 + ((18/zMid_V_1) ^n_V_1)))/(0.00198717*298))</f>
        <v>0.70682279908993029</v>
      </c>
      <c r="I5">
        <f t="shared" si="0"/>
        <v>1.3259761162010702E-2</v>
      </c>
      <c r="J5">
        <f>Paq_V_2* EXP(-1*(dE0_V_2/ (1 + ((18/(-1*zMid_V_2)) ^n_V_2)))/(0.00198717*298))</f>
        <v>0.53958957637484051</v>
      </c>
      <c r="K5">
        <f t="shared" si="1"/>
        <v>4.3930555758851933E-6</v>
      </c>
      <c r="M5">
        <v>-21</v>
      </c>
      <c r="N5">
        <f>Paq_V_1* EXP(-1*(dE0_V_1/ (1 + ((21/zMid_V_1) ^n_V_1)))/(0.00198717*298))</f>
        <v>0.64165118687801659</v>
      </c>
      <c r="O5">
        <f>Paq_V_2* EXP(-1*(dE0_V_2/ (1 + ((21/(-1*zMid_V_2)) ^n_V_2)))/(0.00198717*298))</f>
        <v>0.47750681771996217</v>
      </c>
    </row>
    <row r="6" spans="1:15" ht="18" x14ac:dyDescent="0.35">
      <c r="A6" s="2" t="s">
        <v>4</v>
      </c>
      <c r="B6">
        <v>13.268874085193824</v>
      </c>
      <c r="D6" s="8">
        <v>-16.5</v>
      </c>
      <c r="E6">
        <v>7.8907760065997214</v>
      </c>
      <c r="F6">
        <v>239.24085021505925</v>
      </c>
      <c r="G6">
        <v>0.54749999999999999</v>
      </c>
      <c r="H6">
        <f>Paq_V_1* EXP(-1*(dE0_V_1/ (1 + ((16.5/zMid_V_1) ^n_V_1)))/(0.00198717*298))</f>
        <v>0.75447101934460314</v>
      </c>
      <c r="I6">
        <f t="shared" si="0"/>
        <v>1.9392912790760417E-2</v>
      </c>
      <c r="J6">
        <f>Paq_V_2* EXP(-1*(dE0_V_2/ (1 + ((16.5/(-1*zMid_V_2)) ^n_V_2)))/(0.00198717*298))</f>
        <v>0.58757531750189829</v>
      </c>
      <c r="K6">
        <f t="shared" si="1"/>
        <v>9.4122683712542939E-4</v>
      </c>
      <c r="M6">
        <v>-20</v>
      </c>
      <c r="N6">
        <f>Paq_V_1* EXP(-1*(dE0_V_1/ (1 + ((20/zMid_V_1) ^n_V_1)))/(0.00198717*298))</f>
        <v>0.65978751273477132</v>
      </c>
      <c r="O6">
        <f>Paq_V_2* EXP(-1*(dE0_V_2/ (1 + ((20/(-1*zMid_V_2)) ^n_V_2)))/(0.00198717*298))</f>
        <v>0.49433277050254792</v>
      </c>
    </row>
    <row r="7" spans="1:15" x14ac:dyDescent="0.25">
      <c r="A7" s="2" t="s">
        <v>5</v>
      </c>
      <c r="B7">
        <v>3.1599780300688884</v>
      </c>
      <c r="D7" s="9">
        <v>-15</v>
      </c>
      <c r="E7">
        <v>12.222644261438948</v>
      </c>
      <c r="F7">
        <v>301.1099037843893</v>
      </c>
      <c r="G7">
        <v>0.67390000000000005</v>
      </c>
      <c r="H7">
        <f>Paq_V_1* EXP(-1*(dE0_V_1/ (1 + ((15/zMid_V_1) ^n_V_1)))/(0.00198717*298))</f>
        <v>0.81607354409365085</v>
      </c>
      <c r="I7">
        <f t="shared" si="0"/>
        <v>6.9112357726147638E-3</v>
      </c>
      <c r="J7">
        <f>Paq_V_2* EXP(-1*(dE0_V_2/ (1 + ((15/(-1*zMid_V_2)) ^n_V_2)))/(0.00198717*298))</f>
        <v>0.65241094019727441</v>
      </c>
      <c r="K7">
        <f t="shared" si="1"/>
        <v>1.9808370555818004E-4</v>
      </c>
      <c r="M7">
        <v>-19</v>
      </c>
      <c r="N7">
        <f>Paq_V_1* EXP(-1*(dE0_V_1/ (1 + ((19/zMid_V_1) ^n_V_1)))/(0.00198717*298))</f>
        <v>0.68128441104398019</v>
      </c>
      <c r="O7">
        <f>Paq_V_2* EXP(-1*(dE0_V_2/ (1 + ((19/(-1*zMid_V_2)) ^n_V_2)))/(0.00198717*298))</f>
        <v>0.51473867039963939</v>
      </c>
    </row>
    <row r="8" spans="1:15" x14ac:dyDescent="0.25">
      <c r="D8" s="10">
        <v>-13.5</v>
      </c>
      <c r="E8">
        <v>15.094598973045773</v>
      </c>
      <c r="F8">
        <v>325.144691447757</v>
      </c>
      <c r="G8">
        <v>0.77070000000000005</v>
      </c>
      <c r="H8">
        <f>Paq_V_1* EXP(-1*(dE0_V_1/ (1 + ((13.5/zMid_V_1) ^n_V_1)))/(0.00198717*298))</f>
        <v>0.89471588149993619</v>
      </c>
      <c r="I8">
        <f t="shared" si="0"/>
        <v>4.1990124334779265E-3</v>
      </c>
      <c r="J8">
        <f>Paq_V_2* EXP(-1*(dE0_V_2/ (1 + ((13.5/(-1*zMid_V_2)) ^n_V_2)))/(0.00198717*298))</f>
        <v>0.73912299474711129</v>
      </c>
      <c r="K8">
        <f t="shared" si="1"/>
        <v>3.3009966932457839E-4</v>
      </c>
      <c r="M8">
        <v>-18</v>
      </c>
      <c r="N8">
        <f>Paq_V_1* EXP(-1*(dE0_V_1/ (1 + ((18/zMid_V_1) ^n_V_1)))/(0.00198717*298))</f>
        <v>0.70682279908993029</v>
      </c>
      <c r="O8">
        <f>Paq_V_2* EXP(-1*(dE0_V_2/ (1 + ((18/(-1*zMid_V_2)) ^n_V_2)))/(0.00198717*298))</f>
        <v>0.53958957637484051</v>
      </c>
    </row>
    <row r="9" spans="1:15" ht="18" x14ac:dyDescent="0.35">
      <c r="A9" s="3" t="s">
        <v>6</v>
      </c>
      <c r="B9">
        <v>0.37698812904596296</v>
      </c>
      <c r="D9" s="11">
        <v>-12</v>
      </c>
      <c r="E9">
        <v>17.332837847638487</v>
      </c>
      <c r="F9">
        <v>335.09215104301728</v>
      </c>
      <c r="G9">
        <v>0.85870000000000002</v>
      </c>
      <c r="H9">
        <f>Paq_V_1* EXP(-1*(dE0_V_1/ (1 + ((12/zMid_V_1) ^n_V_1)))/(0.00198717*298))</f>
        <v>0.99237736978836999</v>
      </c>
      <c r="I9">
        <f t="shared" si="0"/>
        <v>3.9482861291714752E-3</v>
      </c>
      <c r="J9">
        <f>Paq_V_2* EXP(-1*(dE0_V_2/ (1 + ((12/(-1*zMid_V_2)) ^n_V_2)))/(0.00198717*298))</f>
        <v>0.85182021655576268</v>
      </c>
      <c r="K9">
        <f t="shared" si="1"/>
        <v>1.2204680393429361E-5</v>
      </c>
      <c r="M9">
        <v>-17</v>
      </c>
      <c r="N9">
        <f>Paq_V_1* EXP(-1*(dE0_V_1/ (1 + ((17/zMid_V_1) ^n_V_1)))/(0.00198717*298))</f>
        <v>0.73719567927018836</v>
      </c>
      <c r="O9">
        <f>Paq_V_2* EXP(-1*(dE0_V_2/ (1 + ((17/(-1*zMid_V_2)) ^n_V_2)))/(0.00198717*298))</f>
        <v>0.56994539806638544</v>
      </c>
    </row>
    <row r="10" spans="1:15" ht="18" x14ac:dyDescent="0.35">
      <c r="A10" s="3" t="s">
        <v>7</v>
      </c>
      <c r="B10">
        <v>-0.84156948287413536</v>
      </c>
      <c r="D10" s="12">
        <v>-10.5</v>
      </c>
      <c r="E10">
        <v>20.978233136644739</v>
      </c>
      <c r="F10">
        <v>329.71261028763035</v>
      </c>
      <c r="G10">
        <v>1.0563</v>
      </c>
      <c r="H10">
        <f>Paq_V_1* EXP(-1*(dE0_V_1/ (1 + ((10.5/zMid_V_1) ^n_V_1)))/(0.00198717*298))</f>
        <v>1.1078505964606571</v>
      </c>
      <c r="I10">
        <f t="shared" si="0"/>
        <v>4.2823816210283127E-4</v>
      </c>
      <c r="J10">
        <f>Paq_V_2* EXP(-1*(dE0_V_2/ (1 + ((10.5/(-1*zMid_V_2)) ^n_V_2)))/(0.00198717*298))</f>
        <v>0.99031139044644689</v>
      </c>
      <c r="K10">
        <f t="shared" si="1"/>
        <v>7.8486854878584097E-4</v>
      </c>
      <c r="M10">
        <v>-16</v>
      </c>
      <c r="N10">
        <f>Paq_V_1* EXP(-1*(dE0_V_1/ (1 + ((16/zMid_V_1) ^n_V_1)))/(0.00198717*298))</f>
        <v>0.77329582499656935</v>
      </c>
      <c r="O10">
        <f>Paq_V_2* EXP(-1*(dE0_V_2/ (1 + ((16/(-1*zMid_V_2)) ^n_V_2)))/(0.00198717*298))</f>
        <v>0.60707124146116687</v>
      </c>
    </row>
    <row r="11" spans="1:15" ht="18" x14ac:dyDescent="0.35">
      <c r="A11" s="3" t="s">
        <v>8</v>
      </c>
      <c r="B11">
        <v>-13.090125642760093</v>
      </c>
      <c r="D11" s="13">
        <v>-9</v>
      </c>
      <c r="E11">
        <v>19.213642846591533</v>
      </c>
      <c r="F11">
        <v>284.46716551243782</v>
      </c>
      <c r="G11">
        <v>1.1213</v>
      </c>
      <c r="H11">
        <f>Paq_V_1* EXP(-1*(dE0_V_1/ (1 + ((9/zMid_V_1) ^n_V_1)))/(0.00198717*298))</f>
        <v>1.2342335499412089</v>
      </c>
      <c r="I11">
        <f t="shared" si="0"/>
        <v>1.7368494200812787E-3</v>
      </c>
      <c r="J11">
        <f>Paq_V_2* EXP(-1*(dE0_V_2/ (1 + ((9/(-1*zMid_V_2)) ^n_V_2)))/(0.00198717*298))</f>
        <v>1.1455191462868588</v>
      </c>
      <c r="K11">
        <f t="shared" si="1"/>
        <v>8.6128241941801431E-5</v>
      </c>
      <c r="M11">
        <v>-15</v>
      </c>
      <c r="N11">
        <f>Paq_V_1* EXP(-1*(dE0_V_1/ (1 + ((15/zMid_V_1) ^n_V_1)))/(0.00198717*298))</f>
        <v>0.81607354409365085</v>
      </c>
      <c r="O11">
        <f>Paq_V_2* EXP(-1*(dE0_V_2/ (1 + ((15/(-1*zMid_V_2)) ^n_V_2)))/(0.00198717*298))</f>
        <v>0.65241094019727441</v>
      </c>
    </row>
    <row r="12" spans="1:15" x14ac:dyDescent="0.25">
      <c r="A12" s="3" t="s">
        <v>9</v>
      </c>
      <c r="B12">
        <v>3.4103219925918924</v>
      </c>
      <c r="D12" s="14">
        <v>-7.5</v>
      </c>
      <c r="E12">
        <v>17.179776618535236</v>
      </c>
      <c r="F12">
        <v>233.0137027127592</v>
      </c>
      <c r="G12">
        <v>1.224</v>
      </c>
      <c r="H12">
        <f>Paq_V_1* EXP(-1*(dE0_V_1/ (1 + ((7.5/zMid_V_1) ^n_V_1)))/(0.00198717*298))</f>
        <v>1.3580522853448138</v>
      </c>
      <c r="I12">
        <f t="shared" si="0"/>
        <v>2.0371748057324227E-3</v>
      </c>
      <c r="J12">
        <f>Paq_V_2* EXP(-1*(dE0_V_2/ (1 + ((7.5/(-1*zMid_V_2)) ^n_V_2)))/(0.00198717*298))</f>
        <v>1.2977138829702326</v>
      </c>
      <c r="K12">
        <f t="shared" si="1"/>
        <v>6.4503467949488154E-4</v>
      </c>
      <c r="M12">
        <v>-14</v>
      </c>
      <c r="N12">
        <f>Paq_V_1* EXP(-1*(dE0_V_1/ (1 + ((14/zMid_V_1) ^n_V_1)))/(0.00198717*298))</f>
        <v>0.86644472582518128</v>
      </c>
      <c r="O12">
        <f>Paq_V_2* EXP(-1*(dE0_V_2/ (1 + ((14/(-1*zMid_V_2)) ^n_V_2)))/(0.00198717*298))</f>
        <v>0.70748746206942159</v>
      </c>
    </row>
    <row r="13" spans="1:15" x14ac:dyDescent="0.25">
      <c r="D13" s="15">
        <v>-6</v>
      </c>
      <c r="E13">
        <v>18.913291098788889</v>
      </c>
      <c r="F13">
        <v>229.72199232624777</v>
      </c>
      <c r="G13">
        <v>1.3668</v>
      </c>
      <c r="H13">
        <f>Paq_V_1* EXP(-1*(dE0_V_1/ (1 + ((6/zMid_V_1) ^n_V_1)))/(0.00198717*298))</f>
        <v>1.4627125489561115</v>
      </c>
      <c r="I13">
        <f t="shared" si="0"/>
        <v>8.6753912899189037E-4</v>
      </c>
      <c r="J13">
        <f>Paq_V_2* EXP(-1*(dE0_V_2/ (1 + ((6/(-1*zMid_V_2)) ^n_V_2)))/(0.00198717*298))</f>
        <v>1.4229471516364958</v>
      </c>
      <c r="K13">
        <f t="shared" si="1"/>
        <v>3.0568328088828437E-4</v>
      </c>
      <c r="M13">
        <v>-13</v>
      </c>
      <c r="N13">
        <f>Paq_V_1* EXP(-1*(dE0_V_1/ (1 + ((13/zMid_V_1) ^n_V_1)))/(0.00198717*298))</f>
        <v>0.92512574230402134</v>
      </c>
      <c r="O13">
        <f>Paq_V_2* EXP(-1*(dE0_V_2/ (1 + ((13/(-1*zMid_V_2)) ^n_V_2)))/(0.00198717*298))</f>
        <v>0.77367919995531431</v>
      </c>
    </row>
    <row r="14" spans="1:15" x14ac:dyDescent="0.25">
      <c r="D14" s="16">
        <v>-4.5</v>
      </c>
      <c r="E14">
        <v>21.461428320866286</v>
      </c>
      <c r="F14">
        <v>238.06457551464311</v>
      </c>
      <c r="G14">
        <v>1.4965999999999999</v>
      </c>
      <c r="H14">
        <f>Paq_V_1* EXP(-1*(dE0_V_1/ (1 + ((4.5/zMid_V_1) ^n_V_1)))/(0.00198717*298))</f>
        <v>1.5358926142311471</v>
      </c>
      <c r="I14">
        <f t="shared" si="0"/>
        <v>1.2667752556614852E-4</v>
      </c>
      <c r="J14">
        <f>Paq_V_2* EXP(-1*(dE0_V_2/ (1 + ((4.5/(-1*zMid_V_2)) ^n_V_2)))/(0.00198717*298))</f>
        <v>1.5057673417827897</v>
      </c>
      <c r="K14">
        <f t="shared" si="1"/>
        <v>7.0338079308886359E-6</v>
      </c>
      <c r="M14">
        <v>-12</v>
      </c>
      <c r="N14">
        <f>Paq_V_1* EXP(-1*(dE0_V_1/ (1 + ((12/zMid_V_1) ^n_V_1)))/(0.00198717*298))</f>
        <v>0.99237736978836999</v>
      </c>
      <c r="O14">
        <f>Paq_V_2* EXP(-1*(dE0_V_2/ (1 + ((12/(-1*zMid_V_2)) ^n_V_2)))/(0.00198717*298))</f>
        <v>0.85182021655576268</v>
      </c>
    </row>
    <row r="15" spans="1:15" x14ac:dyDescent="0.25">
      <c r="D15" s="17">
        <v>-3</v>
      </c>
      <c r="E15">
        <v>21.028295267385484</v>
      </c>
      <c r="F15">
        <v>209.69845561618712</v>
      </c>
      <c r="G15">
        <v>1.6647000000000001</v>
      </c>
      <c r="H15">
        <f>Paq_V_1* EXP(-1*(dE0_V_1/ (1 + ((3/zMid_V_1) ^n_V_1)))/(0.00198717*298))</f>
        <v>1.575560124891769</v>
      </c>
      <c r="I15">
        <f t="shared" si="0"/>
        <v>5.7125773464537213E-4</v>
      </c>
      <c r="J15">
        <f>Paq_V_2* EXP(-1*(dE0_V_2/ (1 + ((3/(-1*zMid_V_2)) ^n_V_2)))/(0.00198717*298))</f>
        <v>1.5470025382380701</v>
      </c>
      <c r="K15">
        <f t="shared" si="1"/>
        <v>1.0141010485765309E-3</v>
      </c>
      <c r="M15">
        <v>-11</v>
      </c>
      <c r="N15">
        <f>Paq_V_1* EXP(-1*(dE0_V_1/ (1 + ((11/zMid_V_1) ^n_V_1)))/(0.00198717*298))</f>
        <v>1.0676659571023435</v>
      </c>
      <c r="O15">
        <f>Paq_V_2* EXP(-1*(dE0_V_2/ (1 + ((11/(-1*zMid_V_2)) ^n_V_2)))/(0.00198717*298))</f>
        <v>0.94161370233998287</v>
      </c>
    </row>
    <row r="16" spans="1:15" x14ac:dyDescent="0.25">
      <c r="D16" s="18">
        <v>-1.5</v>
      </c>
      <c r="E16">
        <v>18.921703973094814</v>
      </c>
      <c r="F16">
        <v>193.12505159558162</v>
      </c>
      <c r="G16">
        <v>1.6265000000000001</v>
      </c>
      <c r="H16">
        <f>Paq_V_1* EXP(-1*(dE0_V_1/ (1 + ((1.5/zMid_V_1) ^n_V_1)))/(0.00198717*298))</f>
        <v>1.5897766024020379</v>
      </c>
      <c r="I16">
        <f t="shared" si="0"/>
        <v>9.8366062843048189E-5</v>
      </c>
      <c r="J16">
        <f>Paq_V_2* EXP(-1*(dE0_V_2/ (1 + ((1.5/(-1*zMid_V_2)) ^n_V_2)))/(0.00198717*298))</f>
        <v>1.5600624747564922</v>
      </c>
      <c r="K16">
        <f t="shared" si="1"/>
        <v>3.2804733400169082E-4</v>
      </c>
      <c r="M16">
        <v>-10</v>
      </c>
      <c r="N16">
        <f>Paq_V_1* EXP(-1*(dE0_V_1/ (1 + ((10/zMid_V_1) ^n_V_1)))/(0.00198717*298))</f>
        <v>1.1493066839852866</v>
      </c>
      <c r="O16">
        <f>Paq_V_2* EXP(-1*(dE0_V_2/ (1 + ((10/(-1*zMid_V_2)) ^n_V_2)))/(0.00198717*298))</f>
        <v>1.040964292805636</v>
      </c>
    </row>
    <row r="17" spans="4:15" x14ac:dyDescent="0.25">
      <c r="D17" s="19">
        <v>0</v>
      </c>
      <c r="E17">
        <v>17.606180559508779</v>
      </c>
      <c r="F17">
        <v>197.31337553026106</v>
      </c>
      <c r="G17">
        <v>1.4813000000000001</v>
      </c>
      <c r="H17">
        <f>Paq_V_1* EXP(-1*(dE0_V_1/ (1 + ((0/zMid_V_1) ^n_V_1)))/(0.00198717*298))</f>
        <v>1.5915929881369775</v>
      </c>
      <c r="I17">
        <f t="shared" si="0"/>
        <v>9.7275336736652189E-4</v>
      </c>
      <c r="J17">
        <f>Paq_V_2* EXP(-1*(dE0_V_2/ (1 + ((0/(-1*zMid_V_2)) ^n_V_2)))/(0.00198717*298))</f>
        <v>1.5614336493143139</v>
      </c>
      <c r="K17">
        <f t="shared" si="1"/>
        <v>5.235178044917674E-4</v>
      </c>
      <c r="M17">
        <v>-9</v>
      </c>
      <c r="N17">
        <f>Paq_V_1* EXP(-1*(dE0_V_1/ (1 + ((9/zMid_V_1) ^n_V_1)))/(0.00198717*298))</f>
        <v>1.2342335499412089</v>
      </c>
      <c r="O17">
        <f>Paq_V_2* EXP(-1*(dE0_V_2/ (1 + ((9/(-1*zMid_V_2)) ^n_V_2)))/(0.00198717*298))</f>
        <v>1.1455191462868588</v>
      </c>
    </row>
    <row r="18" spans="4:15" x14ac:dyDescent="0.25">
      <c r="D18" s="20">
        <v>1.5</v>
      </c>
      <c r="E18">
        <v>19.295698860646613</v>
      </c>
      <c r="F18">
        <v>211.87289009819162</v>
      </c>
      <c r="G18">
        <v>1.5119</v>
      </c>
      <c r="H18">
        <f>Paq_V_1* EXP(-1*(dE0_V_1/ (1 + ((1.5/zMid_V_1) ^n_V_1)))/(0.00198717*298))</f>
        <v>1.5897766024020379</v>
      </c>
      <c r="I18">
        <f t="shared" si="0"/>
        <v>4.7580844852486578E-4</v>
      </c>
      <c r="J18">
        <f>Paq_V_2* EXP(-1*(dE0_V_2/ (1 + ((1.5/(-1*zMid_V_2)) ^n_V_2)))/(0.00198717*298))</f>
        <v>1.5600624747564922</v>
      </c>
      <c r="K18">
        <f t="shared" si="1"/>
        <v>1.8547507898608923E-4</v>
      </c>
      <c r="M18">
        <v>-8</v>
      </c>
      <c r="N18">
        <f>Paq_V_1* EXP(-1*(dE0_V_1/ (1 + ((8/zMid_V_1) ^n_V_1)))/(0.00198717*298))</f>
        <v>1.3180971288376098</v>
      </c>
      <c r="O18">
        <f>Paq_V_2* EXP(-1*(dE0_V_2/ (1 + ((8/(-1*zMid_V_2)) ^n_V_2)))/(0.00198717*298))</f>
        <v>1.2488422422337944</v>
      </c>
    </row>
    <row r="19" spans="4:15" x14ac:dyDescent="0.25">
      <c r="D19" s="21">
        <v>3</v>
      </c>
      <c r="E19">
        <v>21.073959012326675</v>
      </c>
      <c r="F19">
        <v>212.60048258233337</v>
      </c>
      <c r="G19">
        <v>1.6456</v>
      </c>
      <c r="H19">
        <f>Paq_V_1* EXP(-1*(dE0_V_1/ (1 + ((3/zMid_V_1) ^n_V_1)))/(0.00198717*298))</f>
        <v>1.575560124891769</v>
      </c>
      <c r="I19">
        <f t="shared" si="0"/>
        <v>3.5680557004445242E-4</v>
      </c>
      <c r="J19">
        <f>Paq_V_2* EXP(-1*(dE0_V_2/ (1 + ((3/(-1*zMid_V_2)) ^n_V_2)))/(0.00198717*298))</f>
        <v>1.5470025382380701</v>
      </c>
      <c r="K19">
        <f t="shared" si="1"/>
        <v>7.2002343542606714E-4</v>
      </c>
      <c r="M19">
        <v>-7</v>
      </c>
      <c r="N19">
        <f>Paq_V_1* EXP(-1*(dE0_V_1/ (1 + ((7/zMid_V_1) ^n_V_1)))/(0.00198717*298))</f>
        <v>1.3958420476235893</v>
      </c>
      <c r="O19">
        <f>Paq_V_2* EXP(-1*(dE0_V_2/ (1 + ((7/(-1*zMid_V_2)) ^n_V_2)))/(0.00198717*298))</f>
        <v>1.3435135222771666</v>
      </c>
    </row>
    <row r="20" spans="4:15" x14ac:dyDescent="0.25">
      <c r="D20" s="22">
        <v>4.5</v>
      </c>
      <c r="E20">
        <v>21.229833770986389</v>
      </c>
      <c r="F20">
        <v>207.82615645104704</v>
      </c>
      <c r="G20">
        <v>1.6958</v>
      </c>
      <c r="H20">
        <f>Paq_V_1* EXP(-1*(dE0_V_1/ (1 + ((4.5/zMid_V_1) ^n_V_1)))/(0.00198717*298))</f>
        <v>1.5358926142311471</v>
      </c>
      <c r="I20">
        <f t="shared" si="0"/>
        <v>1.850185180030393E-3</v>
      </c>
      <c r="J20">
        <f>Paq_V_2* EXP(-1*(dE0_V_2/ (1 + ((4.5/(-1*zMid_V_2)) ^n_V_2)))/(0.00198717*298))</f>
        <v>1.5057673417827897</v>
      </c>
      <c r="K20">
        <f t="shared" si="1"/>
        <v>2.6642896370744611E-3</v>
      </c>
      <c r="M20">
        <v>-6</v>
      </c>
      <c r="N20">
        <f>Paq_V_1* EXP(-1*(dE0_V_1/ (1 + ((6/zMid_V_1) ^n_V_1)))/(0.00198717*298))</f>
        <v>1.4627125489561115</v>
      </c>
      <c r="O20">
        <f>Paq_V_2* EXP(-1*(dE0_V_2/ (1 + ((6/(-1*zMid_V_2)) ^n_V_2)))/(0.00198717*298))</f>
        <v>1.4229471516364958</v>
      </c>
    </row>
    <row r="21" spans="4:15" x14ac:dyDescent="0.25">
      <c r="D21" s="23">
        <v>6</v>
      </c>
      <c r="E21">
        <v>20.393141563445067</v>
      </c>
      <c r="F21">
        <v>218.70380004479716</v>
      </c>
      <c r="G21">
        <v>1.548</v>
      </c>
      <c r="H21">
        <f>Paq_V_1* EXP(-1*(dE0_V_1/ (1 + ((6/zMid_V_1) ^n_V_1)))/(0.00198717*298))</f>
        <v>1.4627125489561115</v>
      </c>
      <c r="I21">
        <f t="shared" si="0"/>
        <v>6.0574901923760634E-4</v>
      </c>
      <c r="J21">
        <f>Paq_V_2* EXP(-1*(dE0_V_2/ (1 + ((6/(-1*zMid_V_2)) ^n_V_2)))/(0.00198717*298))</f>
        <v>1.4229471516364958</v>
      </c>
      <c r="K21">
        <f t="shared" si="1"/>
        <v>1.3382563100454085E-3</v>
      </c>
      <c r="M21">
        <v>-5</v>
      </c>
      <c r="N21">
        <f>Paq_V_1* EXP(-1*(dE0_V_1/ (1 + ((5/zMid_V_1) ^n_V_1)))/(0.00198717*298))</f>
        <v>1.5153618130702187</v>
      </c>
      <c r="O21">
        <f>Paq_V_2* EXP(-1*(dE0_V_2/ (1 + ((5/(-1*zMid_V_2)) ^n_V_2)))/(0.00198717*298))</f>
        <v>1.4831611061412258</v>
      </c>
    </row>
    <row r="22" spans="4:15" x14ac:dyDescent="0.25">
      <c r="D22" s="24">
        <v>7.5</v>
      </c>
      <c r="E22">
        <v>16.940517030933506</v>
      </c>
      <c r="F22">
        <v>210.91142211418727</v>
      </c>
      <c r="G22">
        <v>1.3333999999999999</v>
      </c>
      <c r="H22">
        <f>Paq_V_1* EXP(-1*(dE0_V_1/ (1 + ((7.5/zMid_V_1) ^n_V_1)))/(0.00198717*298))</f>
        <v>1.3580522853448138</v>
      </c>
      <c r="I22">
        <f t="shared" si="0"/>
        <v>6.3298571216365633E-5</v>
      </c>
      <c r="J22">
        <f>Paq_V_2* EXP(-1*(dE0_V_2/ (1 + ((7.5/(-1*zMid_V_2)) ^n_V_2)))/(0.00198717*298))</f>
        <v>1.2977138829702326</v>
      </c>
      <c r="K22">
        <f t="shared" si="1"/>
        <v>1.3880374316637594E-4</v>
      </c>
      <c r="M22">
        <v>-4</v>
      </c>
      <c r="N22">
        <f>Paq_V_1* EXP(-1*(dE0_V_1/ (1 + ((4/zMid_V_1) ^n_V_1)))/(0.00198717*298))</f>
        <v>1.5526108838466577</v>
      </c>
      <c r="O22">
        <f>Paq_V_2* EXP(-1*(dE0_V_2/ (1 + ((4/(-1*zMid_V_2)) ^n_V_2)))/(0.00198717*298))</f>
        <v>1.5236432935858044</v>
      </c>
    </row>
    <row r="23" spans="4:15" x14ac:dyDescent="0.25">
      <c r="D23" s="25">
        <v>9</v>
      </c>
      <c r="E23">
        <v>14.641161522879177</v>
      </c>
      <c r="F23">
        <v>213.79921748310556</v>
      </c>
      <c r="G23">
        <v>1.1369</v>
      </c>
      <c r="H23">
        <f>Paq_V_1* EXP(-1*(dE0_V_1/ (1 + ((9/zMid_V_1) ^n_V_1)))/(0.00198717*298))</f>
        <v>1.2342335499412089</v>
      </c>
      <c r="I23">
        <f t="shared" si="0"/>
        <v>1.272711411593955E-3</v>
      </c>
      <c r="J23">
        <f>Paq_V_2* EXP(-1*(dE0_V_2/ (1 + ((9/(-1*zMid_V_2)) ^n_V_2)))/(0.00198717*298))</f>
        <v>1.1455191462868588</v>
      </c>
      <c r="K23">
        <f t="shared" si="1"/>
        <v>1.0758963713078146E-5</v>
      </c>
      <c r="M23">
        <v>-3</v>
      </c>
      <c r="N23">
        <f>Paq_V_1* EXP(-1*(dE0_V_1/ (1 + ((3/zMid_V_1) ^n_V_1)))/(0.00198717*298))</f>
        <v>1.575560124891769</v>
      </c>
      <c r="O23">
        <f>Paq_V_2* EXP(-1*(dE0_V_2/ (1 + ((3/(-1*zMid_V_2)) ^n_V_2)))/(0.00198717*298))</f>
        <v>1.5470025382380701</v>
      </c>
    </row>
    <row r="24" spans="4:15" x14ac:dyDescent="0.25">
      <c r="D24" s="26">
        <v>10.5</v>
      </c>
      <c r="E24">
        <v>13.483522650283026</v>
      </c>
      <c r="F24">
        <v>220.63045274559784</v>
      </c>
      <c r="G24">
        <v>1.0145999999999999</v>
      </c>
      <c r="H24">
        <f>Paq_V_1* EXP(-1*(dE0_V_1/ (1 + ((10.5/zMid_V_1) ^n_V_1)))/(0.00198717*298))</f>
        <v>1.1078505964606571</v>
      </c>
      <c r="I24">
        <f t="shared" si="0"/>
        <v>1.4581964001816549E-3</v>
      </c>
      <c r="J24">
        <f>Paq_V_2* EXP(-1*(dE0_V_2/ (1 + ((10.5/(-1*zMid_V_2)) ^n_V_2)))/(0.00198717*298))</f>
        <v>0.99031139044644689</v>
      </c>
      <c r="K24">
        <f t="shared" si="1"/>
        <v>1.107352905163441E-4</v>
      </c>
      <c r="M24">
        <v>-2</v>
      </c>
      <c r="N24">
        <f>Paq_V_1* EXP(-1*(dE0_V_1/ (1 + ((2/zMid_V_1) ^n_V_1)))/(0.00198717*298))</f>
        <v>1.5870952888961456</v>
      </c>
      <c r="O24">
        <f>Paq_V_2* EXP(-1*(dE0_V_2/ (1 + ((2/(-1*zMid_V_2)) ^n_V_2)))/(0.00198717*298))</f>
        <v>1.5577826716466301</v>
      </c>
    </row>
    <row r="25" spans="4:15" x14ac:dyDescent="0.25">
      <c r="D25" s="27">
        <v>12</v>
      </c>
      <c r="E25">
        <v>13.996587449108377</v>
      </c>
      <c r="F25">
        <v>225.0124392487848</v>
      </c>
      <c r="G25">
        <v>1.0327</v>
      </c>
      <c r="H25">
        <f>Paq_V_1* EXP(-1*(dE0_V_1/ (1 + ((12/zMid_V_1) ^n_V_1)))/(0.00198717*298))</f>
        <v>0.99237736978836999</v>
      </c>
      <c r="I25">
        <f t="shared" si="0"/>
        <v>2.9919745132046935E-4</v>
      </c>
      <c r="J25">
        <f>Paq_V_2* EXP(-1*(dE0_V_2/ (1 + ((12/(-1*zMid_V_2)) ^n_V_2)))/(0.00198717*298))</f>
        <v>0.85182021655576268</v>
      </c>
      <c r="K25">
        <f t="shared" si="1"/>
        <v>6.9933469952326048E-3</v>
      </c>
      <c r="M25">
        <v>-1</v>
      </c>
      <c r="N25">
        <f>Paq_V_1* EXP(-1*(dE0_V_1/ (1 + ((1/zMid_V_1) ^n_V_1)))/(0.00198717*298))</f>
        <v>1.5910880221168682</v>
      </c>
      <c r="O25">
        <f>Paq_V_2* EXP(-1*(dE0_V_2/ (1 + ((1/(-1*zMid_V_2)) ^n_V_2)))/(0.00198717*298))</f>
        <v>1.5610893716131793</v>
      </c>
    </row>
    <row r="26" spans="4:15" x14ac:dyDescent="0.25">
      <c r="D26" s="28">
        <v>13.5</v>
      </c>
      <c r="E26">
        <v>13.981047969144134</v>
      </c>
      <c r="F26">
        <v>218.45557134306293</v>
      </c>
      <c r="G26">
        <v>1.0625</v>
      </c>
      <c r="H26">
        <f>Paq_V_1* EXP(-1*(dE0_V_1/ (1 + ((13.5/zMid_V_1) ^n_V_1)))/(0.00198717*298))</f>
        <v>0.89471588149993619</v>
      </c>
      <c r="I26">
        <f t="shared" si="0"/>
        <v>5.571695750025139E-3</v>
      </c>
      <c r="J26">
        <f>Paq_V_2* EXP(-1*(dE0_V_2/ (1 + ((13.5/(-1*zMid_V_2)) ^n_V_2)))/(0.00198717*298))</f>
        <v>0.73912299474711129</v>
      </c>
      <c r="K26">
        <f t="shared" si="1"/>
        <v>2.4841613457374061E-2</v>
      </c>
      <c r="M26">
        <v>0</v>
      </c>
      <c r="N26">
        <f>Paq_V_1* EXP(-1*(dE0_V_1/ (1 + ((0/zMid_V_1) ^n_V_1)))/(0.00198717*298))</f>
        <v>1.5915929881369775</v>
      </c>
      <c r="O26">
        <f>Paq_V_2* EXP(-1*(dE0_V_2/ (1 + ((0/(-1*zMid_V_2)) ^n_V_2)))/(0.00198717*298))</f>
        <v>1.5614336493143139</v>
      </c>
    </row>
    <row r="27" spans="4:15" x14ac:dyDescent="0.25">
      <c r="D27" s="29">
        <v>15</v>
      </c>
      <c r="E27">
        <v>11.211481455418422</v>
      </c>
      <c r="F27">
        <v>224.03276726794545</v>
      </c>
      <c r="G27">
        <v>0.83079999999999998</v>
      </c>
      <c r="H27">
        <f>Paq_V_1* EXP(-1*(dE0_V_1/ (1 + ((15/zMid_V_1) ^n_V_1)))/(0.00198717*298))</f>
        <v>0.81607354409365085</v>
      </c>
      <c r="I27">
        <f t="shared" si="0"/>
        <v>6.0329224472460698E-5</v>
      </c>
      <c r="J27">
        <f>Paq_V_2* EXP(-1*(dE0_V_2/ (1 + ((15/(-1*zMid_V_2)) ^n_V_2)))/(0.00198717*298))</f>
        <v>0.65241094019727441</v>
      </c>
      <c r="K27">
        <f t="shared" si="1"/>
        <v>1.101980370127106E-2</v>
      </c>
      <c r="M27">
        <v>1</v>
      </c>
      <c r="N27">
        <f>Paq_V_1* EXP(-1*(dE0_V_1/ (1 + ((1/zMid_V_1) ^n_V_1)))/(0.00198717*298))</f>
        <v>1.5910880221168682</v>
      </c>
      <c r="O27">
        <f>Paq_V_2* EXP(-1*(dE0_V_2/ (1 + ((1/(-1*zMid_V_2)) ^n_V_2)))/(0.00198717*298))</f>
        <v>1.5610893716131793</v>
      </c>
    </row>
    <row r="28" spans="4:15" x14ac:dyDescent="0.25">
      <c r="D28" s="30">
        <v>16.5</v>
      </c>
      <c r="E28">
        <v>9.0135514046629091</v>
      </c>
      <c r="F28">
        <v>233.75708221892813</v>
      </c>
      <c r="G28">
        <v>0.6401</v>
      </c>
      <c r="H28">
        <f>Paq_V_1* EXP(-1*(dE0_V_1/ (1 + ((16.5/zMid_V_1) ^n_V_1)))/(0.00198717*298))</f>
        <v>0.75447101934460314</v>
      </c>
      <c r="I28">
        <f t="shared" si="0"/>
        <v>5.0972082093838165E-3</v>
      </c>
      <c r="J28">
        <f>Paq_V_2* EXP(-1*(dE0_V_2/ (1 + ((16.5/(-1*zMid_V_2)) ^n_V_2)))/(0.00198717*298))</f>
        <v>0.58757531750189829</v>
      </c>
      <c r="K28">
        <f t="shared" si="1"/>
        <v>1.3826709220504127E-3</v>
      </c>
      <c r="M28">
        <v>2</v>
      </c>
      <c r="N28">
        <f>Paq_V_1* EXP(-1*(dE0_V_1/ (1 + ((2/zMid_V_1) ^n_V_1)))/(0.00198717*298))</f>
        <v>1.5870952888961456</v>
      </c>
      <c r="O28">
        <f>Paq_V_2* EXP(-1*(dE0_V_2/ (1 + ((2/(-1*zMid_V_2)) ^n_V_2)))/(0.00198717*298))</f>
        <v>1.5577826716466301</v>
      </c>
    </row>
    <row r="29" spans="4:15" x14ac:dyDescent="0.25">
      <c r="D29" s="31">
        <v>18</v>
      </c>
      <c r="E29">
        <v>9.2675557847255323</v>
      </c>
      <c r="F29">
        <v>221.14244125881021</v>
      </c>
      <c r="G29">
        <v>0.69569999999999999</v>
      </c>
      <c r="H29">
        <f>Paq_V_1* EXP(-1*(dE0_V_1/ (1 + ((18/zMid_V_1) ^n_V_1)))/(0.00198717*298))</f>
        <v>0.70682279908993029</v>
      </c>
      <c r="I29">
        <f t="shared" si="0"/>
        <v>4.7452068630531426E-5</v>
      </c>
      <c r="J29">
        <f>Paq_V_2* EXP(-1*(dE0_V_2/ (1 + ((18/(-1*zMid_V_2)) ^n_V_2)))/(0.00198717*298))</f>
        <v>0.53958957637484051</v>
      </c>
      <c r="K29">
        <f t="shared" si="1"/>
        <v>1.2178987893343171E-2</v>
      </c>
      <c r="M29">
        <v>3</v>
      </c>
      <c r="N29">
        <f>Paq_V_1* EXP(-1*(dE0_V_1/ (1 + ((3/zMid_V_1) ^n_V_1)))/(0.00198717*298))</f>
        <v>1.575560124891769</v>
      </c>
      <c r="O29">
        <f>Paq_V_2* EXP(-1*(dE0_V_2/ (1 + ((3/(-1*zMid_V_2)) ^n_V_2)))/(0.00198717*298))</f>
        <v>1.5470025382380701</v>
      </c>
    </row>
    <row r="30" spans="4:15" x14ac:dyDescent="0.25">
      <c r="D30" s="32">
        <v>19.5</v>
      </c>
      <c r="E30">
        <v>8.8136087074661003</v>
      </c>
      <c r="F30">
        <v>203.08284087537984</v>
      </c>
      <c r="G30">
        <v>0.72050000000000003</v>
      </c>
      <c r="H30">
        <f>Paq_V_1* EXP(-1*(dE0_V_1/ (1 + ((19.5/zMid_V_1) ^n_V_1)))/(0.00198717*298))</f>
        <v>0.67007596863030217</v>
      </c>
      <c r="I30">
        <f t="shared" si="0"/>
        <v>9.9287646500323661E-4</v>
      </c>
      <c r="J30">
        <f>Paq_V_2* EXP(-1*(dE0_V_2/ (1 + ((19.5/(-1*zMid_V_2)) ^n_V_2)))/(0.00198717*298))</f>
        <v>0.50403846714120581</v>
      </c>
      <c r="K30">
        <f t="shared" si="1"/>
        <v>2.4077822936437513E-2</v>
      </c>
      <c r="M30">
        <v>4</v>
      </c>
      <c r="N30">
        <f>Paq_V_1* EXP(-1*(dE0_V_1/ (1 + ((4/zMid_V_1) ^n_V_1)))/(0.00198717*298))</f>
        <v>1.5526108838466577</v>
      </c>
      <c r="O30">
        <f>Paq_V_2* EXP(-1*(dE0_V_2/ (1 + ((4/(-1*zMid_V_2)) ^n_V_2)))/(0.00198717*298))</f>
        <v>1.5236432935858044</v>
      </c>
    </row>
    <row r="31" spans="4:15" x14ac:dyDescent="0.25">
      <c r="D31" s="33">
        <v>21</v>
      </c>
      <c r="E31">
        <v>7.801100145590171</v>
      </c>
      <c r="F31">
        <v>202.23586360890673</v>
      </c>
      <c r="G31">
        <v>0.64039999999999997</v>
      </c>
      <c r="H31">
        <f>Paq_V_1* EXP(-1*(dE0_V_1/ (1 + ((21/zMid_V_1) ^n_V_1)))/(0.00198717*298))</f>
        <v>0.64165118687801659</v>
      </c>
      <c r="I31">
        <f t="shared" si="0"/>
        <v>7.1855914603856596E-7</v>
      </c>
      <c r="J31">
        <f>Paq_V_2* EXP(-1*(dE0_V_2/ (1 + ((21/(-1*zMid_V_2)) ^n_V_2)))/(0.00198717*298))</f>
        <v>0.47750681771996217</v>
      </c>
      <c r="K31">
        <f t="shared" si="1"/>
        <v>1.6249046165428691E-2</v>
      </c>
      <c r="M31">
        <v>5</v>
      </c>
      <c r="N31">
        <f>Paq_V_1* EXP(-1*(dE0_V_1/ (1 + ((5/zMid_V_1) ^n_V_1)))/(0.00198717*298))</f>
        <v>1.5153618130702187</v>
      </c>
      <c r="O31">
        <f>Paq_V_2* EXP(-1*(dE0_V_2/ (1 + ((5/(-1*zMid_V_2)) ^n_V_2)))/(0.00198717*298))</f>
        <v>1.4831611061412258</v>
      </c>
    </row>
    <row r="32" spans="4:15" x14ac:dyDescent="0.25">
      <c r="D32" s="34">
        <v>22.5</v>
      </c>
      <c r="E32">
        <v>6.8660541847193706</v>
      </c>
      <c r="F32">
        <v>185.59265872251723</v>
      </c>
      <c r="G32">
        <v>0.61419999999999997</v>
      </c>
      <c r="H32">
        <f>Paq_V_1* EXP(-1*(dE0_V_1/ (1 + ((22.5/zMid_V_1) ^n_V_1)))/(0.00198717*298))</f>
        <v>0.61952221862175605</v>
      </c>
      <c r="I32">
        <f t="shared" si="0"/>
        <v>1.4040567125345179E-5</v>
      </c>
      <c r="J32">
        <f>Paq_V_2* EXP(-1*(dE0_V_2/ (1 + ((22.5/(-1*zMid_V_2)) ^n_V_2)))/(0.00198717*298))</f>
        <v>0.45749794117344883</v>
      </c>
      <c r="K32">
        <f t="shared" si="1"/>
        <v>1.636369732889454E-2</v>
      </c>
      <c r="M32">
        <v>6</v>
      </c>
      <c r="N32">
        <f>Paq_V_1* EXP(-1*(dE0_V_1/ (1 + ((6/zMid_V_1) ^n_V_1)))/(0.00198717*298))</f>
        <v>1.4627125489561115</v>
      </c>
      <c r="O32">
        <f>Paq_V_2* EXP(-1*(dE0_V_2/ (1 + ((6/(-1*zMid_V_2)) ^n_V_2)))/(0.00198717*298))</f>
        <v>1.4229471516364958</v>
      </c>
    </row>
    <row r="33" spans="7:15" x14ac:dyDescent="0.25">
      <c r="M33">
        <v>7</v>
      </c>
      <c r="N33">
        <f>Paq_V_1* EXP(-1*(dE0_V_1/ (1 + ((7/zMid_V_1) ^n_V_1)))/(0.00198717*298))</f>
        <v>1.3958420476235893</v>
      </c>
      <c r="O33">
        <f>Paq_V_2* EXP(-1*(dE0_V_2/ (1 + ((7/(-1*zMid_V_2)) ^n_V_2)))/(0.00198717*298))</f>
        <v>1.3435135222771666</v>
      </c>
    </row>
    <row r="34" spans="7:15" x14ac:dyDescent="0.25">
      <c r="G34" t="s">
        <v>18</v>
      </c>
      <c r="H34" s="1" t="s">
        <v>20</v>
      </c>
      <c r="I34">
        <f>SQRT(AVERAGE(I$17:I$32))</f>
        <v>3.4585967406687186E-2</v>
      </c>
      <c r="M34">
        <v>8</v>
      </c>
      <c r="N34">
        <f>Paq_V_1* EXP(-1*(dE0_V_1/ (1 + ((8/zMid_V_1) ^n_V_1)))/(0.00198717*298))</f>
        <v>1.3180971288376098</v>
      </c>
      <c r="O34">
        <f>Paq_V_2* EXP(-1*(dE0_V_2/ (1 + ((8/(-1*zMid_V_2)) ^n_V_2)))/(0.00198717*298))</f>
        <v>1.2488422422337944</v>
      </c>
    </row>
    <row r="35" spans="7:15" x14ac:dyDescent="0.25">
      <c r="G35" t="s">
        <v>19</v>
      </c>
      <c r="J35" s="1" t="s">
        <v>20</v>
      </c>
      <c r="K35">
        <f>SQRT(AVERAGE(K$2:K$17))</f>
        <v>2.5336531050778027E-2</v>
      </c>
      <c r="M35">
        <v>9</v>
      </c>
      <c r="N35">
        <f>Paq_V_1* EXP(-1*(dE0_V_1/ (1 + ((9/zMid_V_1) ^n_V_1)))/(0.00198717*298))</f>
        <v>1.2342335499412089</v>
      </c>
      <c r="O35">
        <f>Paq_V_2* EXP(-1*(dE0_V_2/ (1 + ((9/(-1*zMid_V_2)) ^n_V_2)))/(0.00198717*298))</f>
        <v>1.1455191462868588</v>
      </c>
    </row>
    <row r="36" spans="7:15" x14ac:dyDescent="0.25">
      <c r="M36">
        <v>10</v>
      </c>
      <c r="N36">
        <f>Paq_V_1* EXP(-1*(dE0_V_1/ (1 + ((10/zMid_V_1) ^n_V_1)))/(0.00198717*298))</f>
        <v>1.1493066839852866</v>
      </c>
      <c r="O36">
        <f>Paq_V_2* EXP(-1*(dE0_V_2/ (1 + ((10/(-1*zMid_V_2)) ^n_V_2)))/(0.00198717*298))</f>
        <v>1.040964292805636</v>
      </c>
    </row>
    <row r="37" spans="7:15" x14ac:dyDescent="0.25">
      <c r="M37">
        <v>11</v>
      </c>
      <c r="N37">
        <f>Paq_V_1* EXP(-1*(dE0_V_1/ (1 + ((11/zMid_V_1) ^n_V_1)))/(0.00198717*298))</f>
        <v>1.0676659571023435</v>
      </c>
      <c r="O37">
        <f>Paq_V_2* EXP(-1*(dE0_V_2/ (1 + ((11/(-1*zMid_V_2)) ^n_V_2)))/(0.00198717*298))</f>
        <v>0.94161370233998287</v>
      </c>
    </row>
    <row r="38" spans="7:15" x14ac:dyDescent="0.25">
      <c r="M38">
        <v>12</v>
      </c>
      <c r="N38">
        <f>Paq_V_1* EXP(-1*(dE0_V_1/ (1 + ((12/zMid_V_1) ^n_V_1)))/(0.00198717*298))</f>
        <v>0.99237736978836999</v>
      </c>
      <c r="O38">
        <f>Paq_V_2* EXP(-1*(dE0_V_2/ (1 + ((12/(-1*zMid_V_2)) ^n_V_2)))/(0.00198717*298))</f>
        <v>0.85182021655576268</v>
      </c>
    </row>
    <row r="39" spans="7:15" x14ac:dyDescent="0.25">
      <c r="M39">
        <v>13</v>
      </c>
      <c r="N39">
        <f>Paq_V_1* EXP(-1*(dE0_V_1/ (1 + ((13/zMid_V_1) ^n_V_1)))/(0.00198717*298))</f>
        <v>0.92512574230402134</v>
      </c>
      <c r="O39">
        <f>Paq_V_2* EXP(-1*(dE0_V_2/ (1 + ((13/(-1*zMid_V_2)) ^n_V_2)))/(0.00198717*298))</f>
        <v>0.77367919995531431</v>
      </c>
    </row>
    <row r="40" spans="7:15" x14ac:dyDescent="0.25">
      <c r="M40">
        <v>14</v>
      </c>
      <c r="N40">
        <f>Paq_V_1* EXP(-1*(dE0_V_1/ (1 + ((14/zMid_V_1) ^n_V_1)))/(0.00198717*298))</f>
        <v>0.86644472582518128</v>
      </c>
      <c r="O40">
        <f>Paq_V_2* EXP(-1*(dE0_V_2/ (1 + ((14/(-1*zMid_V_2)) ^n_V_2)))/(0.00198717*298))</f>
        <v>0.70748746206942159</v>
      </c>
    </row>
    <row r="41" spans="7:15" x14ac:dyDescent="0.25">
      <c r="M41">
        <v>15</v>
      </c>
      <c r="N41">
        <f>Paq_V_1* EXP(-1*(dE0_V_1/ (1 + ((15/zMid_V_1) ^n_V_1)))/(0.00198717*298))</f>
        <v>0.81607354409365085</v>
      </c>
      <c r="O41">
        <f>Paq_V_2* EXP(-1*(dE0_V_2/ (1 + ((15/(-1*zMid_V_2)) ^n_V_2)))/(0.00198717*298))</f>
        <v>0.65241094019727441</v>
      </c>
    </row>
    <row r="42" spans="7:15" x14ac:dyDescent="0.25">
      <c r="M42">
        <v>16</v>
      </c>
      <c r="N42">
        <f>Paq_V_1* EXP(-1*(dE0_V_1/ (1 + ((16/zMid_V_1) ^n_V_1)))/(0.00198717*298))</f>
        <v>0.77329582499656935</v>
      </c>
      <c r="O42">
        <f>Paq_V_2* EXP(-1*(dE0_V_2/ (1 + ((16/(-1*zMid_V_2)) ^n_V_2)))/(0.00198717*298))</f>
        <v>0.60707124146116687</v>
      </c>
    </row>
    <row r="43" spans="7:15" x14ac:dyDescent="0.25">
      <c r="M43">
        <v>17</v>
      </c>
      <c r="N43">
        <f>Paq_V_1* EXP(-1*(dE0_V_1/ (1 + ((17/zMid_V_1) ^n_V_1)))/(0.00198717*298))</f>
        <v>0.73719567927018836</v>
      </c>
      <c r="O43">
        <f>Paq_V_2* EXP(-1*(dE0_V_2/ (1 + ((17/(-1*zMid_V_2)) ^n_V_2)))/(0.00198717*298))</f>
        <v>0.56994539806638544</v>
      </c>
    </row>
    <row r="44" spans="7:15" x14ac:dyDescent="0.25">
      <c r="M44">
        <v>18</v>
      </c>
      <c r="N44">
        <f>Paq_V_1* EXP(-1*(dE0_V_1/ (1 + ((18/zMid_V_1) ^n_V_1)))/(0.00198717*298))</f>
        <v>0.70682279908993029</v>
      </c>
      <c r="O44">
        <f>Paq_V_2* EXP(-1*(dE0_V_2/ (1 + ((18/(-1*zMid_V_2)) ^n_V_2)))/(0.00198717*298))</f>
        <v>0.53958957637484051</v>
      </c>
    </row>
    <row r="45" spans="7:15" x14ac:dyDescent="0.25">
      <c r="M45">
        <v>19</v>
      </c>
      <c r="N45">
        <f>Paq_V_1* EXP(-1*(dE0_V_1/ (1 + ((19/zMid_V_1) ^n_V_1)))/(0.00198717*298))</f>
        <v>0.68128441104398019</v>
      </c>
      <c r="O45">
        <f>Paq_V_2* EXP(-1*(dE0_V_2/ (1 + ((19/(-1*zMid_V_2)) ^n_V_2)))/(0.00198717*298))</f>
        <v>0.51473867039963939</v>
      </c>
    </row>
    <row r="46" spans="7:15" x14ac:dyDescent="0.25">
      <c r="M46">
        <v>20</v>
      </c>
      <c r="N46">
        <f>Paq_V_1* EXP(-1*(dE0_V_1/ (1 + ((20/zMid_V_1) ^n_V_1)))/(0.00198717*298))</f>
        <v>0.65978751273477132</v>
      </c>
      <c r="O46">
        <f>Paq_V_2* EXP(-1*(dE0_V_2/ (1 + ((20/(-1*zMid_V_2)) ^n_V_2)))/(0.00198717*298))</f>
        <v>0.49433277050254792</v>
      </c>
    </row>
    <row r="47" spans="7:15" x14ac:dyDescent="0.25">
      <c r="M47">
        <v>21</v>
      </c>
      <c r="N47">
        <f>Paq_V_1* EXP(-1*(dE0_V_1/ (1 + ((21/zMid_V_1) ^n_V_1)))/(0.00198717*298))</f>
        <v>0.64165118687801659</v>
      </c>
      <c r="O47">
        <f>Paq_V_2* EXP(-1*(dE0_V_2/ (1 + ((21/(-1*zMid_V_2)) ^n_V_2)))/(0.00198717*298))</f>
        <v>0.47750681771996217</v>
      </c>
    </row>
    <row r="48" spans="7:15" x14ac:dyDescent="0.25">
      <c r="M48">
        <v>22</v>
      </c>
      <c r="N48">
        <f>Paq_V_1* EXP(-1*(dE0_V_1/ (1 + ((22/zMid_V_1) ^n_V_1)))/(0.00198717*298))</f>
        <v>0.62630286132209312</v>
      </c>
      <c r="O48">
        <f>Paq_V_2* EXP(-1*(dE0_V_2/ (1 + ((22/(-1*zMid_V_2)) ^n_V_2)))/(0.00198717*298))</f>
        <v>0.46356524009085764</v>
      </c>
    </row>
    <row r="49" spans="13:15" x14ac:dyDescent="0.25">
      <c r="M49">
        <v>23</v>
      </c>
      <c r="N49">
        <f>Paq_V_1* EXP(-1*(dE0_V_1/ (1 + ((23/zMid_V_1) ^n_V_1)))/(0.00198717*298))</f>
        <v>0.61326717116488028</v>
      </c>
      <c r="O49">
        <f>Paq_V_2* EXP(-1*(dE0_V_2/ (1 + ((23/(-1*zMid_V_2)) ^n_V_2)))/(0.00198717*298))</f>
        <v>0.45195309091730484</v>
      </c>
    </row>
    <row r="50" spans="13:15" x14ac:dyDescent="0.25">
      <c r="M50">
        <v>24</v>
      </c>
      <c r="N50">
        <f>Paq_V_1* EXP(-1*(dE0_V_1/ (1 + ((24/zMid_V_1) ^n_V_1)))/(0.00198717*298))</f>
        <v>0.60215235832122194</v>
      </c>
      <c r="O50">
        <f>Paq_V_2* EXP(-1*(dE0_V_2/ (1 + ((24/(-1*zMid_V_2)) ^n_V_2)))/(0.00198717*298))</f>
        <v>0.44222901944311593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50"/>
  <sheetViews>
    <sheetView topLeftCell="A43" workbookViewId="0"/>
  </sheetViews>
  <sheetFormatPr defaultRowHeight="15" x14ac:dyDescent="0.25"/>
  <cols>
    <col min="1" max="1" width="6" bestFit="1" customWidth="1"/>
    <col min="2" max="2" width="12.7109375" bestFit="1" customWidth="1"/>
    <col min="4" max="4" width="10.42578125" bestFit="1" customWidth="1"/>
    <col min="5" max="6" width="12" bestFit="1" customWidth="1"/>
    <col min="7" max="7" width="16.140625" bestFit="1" customWidth="1"/>
    <col min="8" max="11" width="12" bestFit="1" customWidth="1"/>
    <col min="13" max="13" width="3.7109375" bestFit="1" customWidth="1"/>
    <col min="14" max="15" width="12" bestFit="1" customWidth="1"/>
  </cols>
  <sheetData>
    <row r="1" spans="1:15" ht="18" x14ac:dyDescent="0.35">
      <c r="A1" s="1" t="s">
        <v>0</v>
      </c>
      <c r="B1">
        <v>4425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M1" s="1" t="s">
        <v>21</v>
      </c>
      <c r="N1" s="1" t="s">
        <v>22</v>
      </c>
      <c r="O1" s="1" t="s">
        <v>23</v>
      </c>
    </row>
    <row r="2" spans="1:15" ht="18" x14ac:dyDescent="0.35">
      <c r="A2" s="1" t="s">
        <v>1</v>
      </c>
      <c r="B2">
        <v>322.22694830933045</v>
      </c>
      <c r="D2" s="4">
        <v>-22.5</v>
      </c>
      <c r="E2">
        <v>4.3368248644670597</v>
      </c>
      <c r="F2">
        <v>37.146305786227806</v>
      </c>
      <c r="G2">
        <v>1.6032999999999999</v>
      </c>
      <c r="H2">
        <f>Paq_D_1* EXP(-1*(dE0_D_1/ (1 + ((22.5/zMid_D_1) ^n_D_1)))/(0.00198717*298))</f>
        <v>1.5642644521615594</v>
      </c>
      <c r="I2">
        <f t="shared" ref="I2:I32" si="0">IF(ISERROR((LOG(H2)-LOG(G2))^2),0,(LOG(H2)-LOG(G2))^2)</f>
        <v>1.1458881389326964E-4</v>
      </c>
      <c r="J2">
        <f>Paq_D_2* EXP(-1*(dE0_D_2/ (1 + ((22.5/(-1*zMid_D_2)) ^n_D_2)))/(0.00198717*298))</f>
        <v>1.6742056315927156</v>
      </c>
      <c r="K2">
        <f t="shared" ref="K2:K32" si="1">IF(ISERROR((LOG(J2)-LOG(G2))^2),0,(LOG(J2)-LOG(G2))^2)</f>
        <v>3.5321465701827862E-4</v>
      </c>
      <c r="M2">
        <v>-24</v>
      </c>
      <c r="N2">
        <f>Paq_D_1* EXP(-1*(dE0_D_1/ (1 + ((24/zMid_D_1) ^n_D_1)))/(0.00198717*298))</f>
        <v>1.5754721345154179</v>
      </c>
      <c r="O2">
        <f>Paq_D_2* EXP(-1*(dE0_D_2/ (1 + ((24/(-1*zMid_D_2)) ^n_D_2)))/(0.00198717*298))</f>
        <v>1.6784514234447285</v>
      </c>
    </row>
    <row r="3" spans="1:15" x14ac:dyDescent="0.25">
      <c r="D3" s="5">
        <v>-21</v>
      </c>
      <c r="E3">
        <v>6.4018641048283458</v>
      </c>
      <c r="F3">
        <v>53.383067205069459</v>
      </c>
      <c r="G3">
        <v>1.6469</v>
      </c>
      <c r="H3">
        <f>Paq_D_1* EXP(-1*(dE0_D_1/ (1 + ((21/zMid_D_1) ^n_D_1)))/(0.00198717*298))</f>
        <v>1.5439947178135864</v>
      </c>
      <c r="I3">
        <f t="shared" si="0"/>
        <v>7.8519994060300194E-4</v>
      </c>
      <c r="J3">
        <f>Paq_D_2* EXP(-1*(dE0_D_2/ (1 + ((21/(-1*zMid_D_2)) ^n_D_2)))/(0.00198717*298))</f>
        <v>1.6644624300416959</v>
      </c>
      <c r="K3">
        <f t="shared" si="1"/>
        <v>2.1222304358594006E-5</v>
      </c>
      <c r="M3">
        <v>-23</v>
      </c>
      <c r="N3">
        <f>Paq_D_1* EXP(-1*(dE0_D_1/ (1 + ((23/zMid_D_1) ^n_D_1)))/(0.00198717*298))</f>
        <v>1.5687432561884571</v>
      </c>
      <c r="O3">
        <f>Paq_D_2* EXP(-1*(dE0_D_2/ (1 + ((23/(-1*zMid_D_2)) ^n_D_2)))/(0.00198717*298))</f>
        <v>1.6760141526962375</v>
      </c>
    </row>
    <row r="4" spans="1:15" ht="18" x14ac:dyDescent="0.35">
      <c r="A4" s="2" t="s">
        <v>2</v>
      </c>
      <c r="B4">
        <v>1.5916320430884838</v>
      </c>
      <c r="D4" s="6">
        <v>-19.5</v>
      </c>
      <c r="E4">
        <v>12.255581760631639</v>
      </c>
      <c r="F4">
        <v>104.67349192897072</v>
      </c>
      <c r="G4">
        <v>1.6079000000000001</v>
      </c>
      <c r="H4">
        <f>Paq_D_1* EXP(-1*(dE0_D_1/ (1 + ((19.5/zMid_D_1) ^n_D_1)))/(0.00198717*298))</f>
        <v>1.5067394023853755</v>
      </c>
      <c r="I4">
        <f t="shared" si="0"/>
        <v>7.9641861309895834E-4</v>
      </c>
      <c r="J4">
        <f>Paq_D_2* EXP(-1*(dE0_D_2/ (1 + ((19.5/(-1*zMid_D_2)) ^n_D_2)))/(0.00198717*298))</f>
        <v>1.6411050775216633</v>
      </c>
      <c r="K4">
        <f t="shared" si="1"/>
        <v>7.8807413419571071E-5</v>
      </c>
      <c r="M4">
        <v>-22</v>
      </c>
      <c r="N4">
        <f>Paq_D_1* EXP(-1*(dE0_D_1/ (1 + ((22/zMid_D_1) ^n_D_1)))/(0.00198717*298))</f>
        <v>1.5588084242146003</v>
      </c>
      <c r="O4">
        <f>Paq_D_2* EXP(-1*(dE0_D_2/ (1 + ((22/(-1*zMid_D_2)) ^n_D_2)))/(0.00198717*298))</f>
        <v>1.6718223513792165</v>
      </c>
    </row>
    <row r="5" spans="1:15" ht="18" x14ac:dyDescent="0.35">
      <c r="A5" s="2" t="s">
        <v>3</v>
      </c>
      <c r="B5">
        <v>0.53569517249587784</v>
      </c>
      <c r="D5" s="7">
        <v>-18</v>
      </c>
      <c r="E5">
        <v>20.998470335194771</v>
      </c>
      <c r="F5">
        <v>171.11905245556184</v>
      </c>
      <c r="G5">
        <v>1.6852</v>
      </c>
      <c r="H5">
        <f>Paq_D_1* EXP(-1*(dE0_D_1/ (1 + ((18/zMid_D_1) ^n_D_1)))/(0.00198717*298))</f>
        <v>1.4386453068641012</v>
      </c>
      <c r="I5">
        <f t="shared" si="0"/>
        <v>4.719376342590881E-3</v>
      </c>
      <c r="J5">
        <f>Paq_D_2* EXP(-1*(dE0_D_2/ (1 + ((18/(-1*zMid_D_2)) ^n_D_2)))/(0.00198717*298))</f>
        <v>1.5836686916053089</v>
      </c>
      <c r="K5">
        <f t="shared" si="1"/>
        <v>7.2830461618556594E-4</v>
      </c>
      <c r="M5">
        <v>-21</v>
      </c>
      <c r="N5">
        <f>Paq_D_1* EXP(-1*(dE0_D_1/ (1 + ((21/zMid_D_1) ^n_D_1)))/(0.00198717*298))</f>
        <v>1.5439947178135864</v>
      </c>
      <c r="O5">
        <f>Paq_D_2* EXP(-1*(dE0_D_2/ (1 + ((21/(-1*zMid_D_2)) ^n_D_2)))/(0.00198717*298))</f>
        <v>1.6644624300416959</v>
      </c>
    </row>
    <row r="6" spans="1:15" ht="18" x14ac:dyDescent="0.35">
      <c r="A6" s="2" t="s">
        <v>4</v>
      </c>
      <c r="B6">
        <v>14.038967455499218</v>
      </c>
      <c r="D6" s="8">
        <v>-16.5</v>
      </c>
      <c r="E6">
        <v>26.754014420741253</v>
      </c>
      <c r="F6">
        <v>239.24085021505925</v>
      </c>
      <c r="G6">
        <v>1.5357000000000001</v>
      </c>
      <c r="H6">
        <f>Paq_D_1* EXP(-1*(dE0_D_1/ (1 + ((16.5/zMid_D_1) ^n_D_1)))/(0.00198717*298))</f>
        <v>1.3206879492638954</v>
      </c>
      <c r="I6">
        <f t="shared" si="0"/>
        <v>4.2910581993462552E-3</v>
      </c>
      <c r="J6">
        <f>Paq_D_2* EXP(-1*(dE0_D_2/ (1 + ((16.5/(-1*zMid_D_2)) ^n_D_2)))/(0.00198717*298))</f>
        <v>1.4476691380777071</v>
      </c>
      <c r="K6">
        <f t="shared" si="1"/>
        <v>6.5725926661350719E-4</v>
      </c>
      <c r="M6">
        <v>-20</v>
      </c>
      <c r="N6">
        <f>Paq_D_1* EXP(-1*(dE0_D_1/ (1 + ((20/zMid_D_1) ^n_D_1)))/(0.00198717*298))</f>
        <v>1.5217576633062309</v>
      </c>
      <c r="O6">
        <f>Paq_D_2* EXP(-1*(dE0_D_2/ (1 + ((20/(-1*zMid_D_2)) ^n_D_2)))/(0.00198717*298))</f>
        <v>1.6512872975452946</v>
      </c>
    </row>
    <row r="7" spans="1:15" x14ac:dyDescent="0.25">
      <c r="A7" s="2" t="s">
        <v>5</v>
      </c>
      <c r="B7">
        <v>8.3423299664373989</v>
      </c>
      <c r="D7" s="9">
        <v>-15</v>
      </c>
      <c r="E7">
        <v>24.522471248792147</v>
      </c>
      <c r="F7">
        <v>301.1099037843893</v>
      </c>
      <c r="G7">
        <v>1.1184000000000001</v>
      </c>
      <c r="H7">
        <f>Paq_D_1* EXP(-1*(dE0_D_1/ (1 + ((15/zMid_D_1) ^n_D_1)))/(0.00198717*298))</f>
        <v>1.1437238578085753</v>
      </c>
      <c r="I7">
        <f t="shared" si="0"/>
        <v>9.4556605436049718E-5</v>
      </c>
      <c r="J7">
        <f>Paq_D_2* EXP(-1*(dE0_D_2/ (1 + ((15/(-1*zMid_D_2)) ^n_D_2)))/(0.00198717*298))</f>
        <v>1.1850077125949987</v>
      </c>
      <c r="K7">
        <f t="shared" si="1"/>
        <v>6.312163080604981E-4</v>
      </c>
      <c r="M7">
        <v>-19</v>
      </c>
      <c r="N7">
        <f>Paq_D_1* EXP(-1*(dE0_D_1/ (1 + ((19/zMid_D_1) ^n_D_1)))/(0.00198717*298))</f>
        <v>1.4883512170434778</v>
      </c>
      <c r="O7">
        <f>Paq_D_2* EXP(-1*(dE0_D_2/ (1 + ((19/(-1*zMid_D_2)) ^n_D_2)))/(0.00198717*298))</f>
        <v>1.6273471156109676</v>
      </c>
    </row>
    <row r="8" spans="1:15" x14ac:dyDescent="0.25">
      <c r="D8" s="10">
        <v>-13.5</v>
      </c>
      <c r="E8">
        <v>20.569116395194534</v>
      </c>
      <c r="F8">
        <v>325.144691447757</v>
      </c>
      <c r="G8">
        <v>0.86870000000000003</v>
      </c>
      <c r="H8">
        <f>Paq_D_1* EXP(-1*(dE0_D_1/ (1 + ((13.5/zMid_D_1) ^n_D_1)))/(0.00198717*298))</f>
        <v>0.94105070043202155</v>
      </c>
      <c r="I8">
        <f t="shared" si="0"/>
        <v>1.2070899998519408E-3</v>
      </c>
      <c r="J8">
        <f>Paq_D_2* EXP(-1*(dE0_D_2/ (1 + ((13.5/(-1*zMid_D_2)) ^n_D_2)))/(0.00198717*298))</f>
        <v>0.87249977947741753</v>
      </c>
      <c r="K8">
        <f t="shared" si="1"/>
        <v>3.5929367453381603E-6</v>
      </c>
      <c r="M8">
        <v>-18</v>
      </c>
      <c r="N8">
        <f>Paq_D_1* EXP(-1*(dE0_D_1/ (1 + ((18/zMid_D_1) ^n_D_1)))/(0.00198717*298))</f>
        <v>1.4386453068641012</v>
      </c>
      <c r="O8">
        <f>Paq_D_2* EXP(-1*(dE0_D_2/ (1 + ((18/(-1*zMid_D_2)) ^n_D_2)))/(0.00198717*298))</f>
        <v>1.5836686916053089</v>
      </c>
    </row>
    <row r="9" spans="1:15" ht="18" x14ac:dyDescent="0.35">
      <c r="A9" s="3" t="s">
        <v>6</v>
      </c>
      <c r="B9">
        <v>1.6823003043091502</v>
      </c>
      <c r="D9" s="11">
        <v>-12</v>
      </c>
      <c r="E9">
        <v>17.051754942851854</v>
      </c>
      <c r="F9">
        <v>335.09215104301728</v>
      </c>
      <c r="G9">
        <v>0.69879999999999998</v>
      </c>
      <c r="H9">
        <f>Paq_D_1* EXP(-1*(dE0_D_1/ (1 + ((12/zMid_D_1) ^n_D_1)))/(0.00198717*298))</f>
        <v>0.78073929285301791</v>
      </c>
      <c r="I9">
        <f t="shared" si="0"/>
        <v>2.3187249562431609E-3</v>
      </c>
      <c r="J9">
        <f>Paq_D_2* EXP(-1*(dE0_D_2/ (1 + ((12/(-1*zMid_D_2)) ^n_D_2)))/(0.00198717*298))</f>
        <v>0.68229082142707853</v>
      </c>
      <c r="K9">
        <f t="shared" si="1"/>
        <v>1.0781431801571943E-4</v>
      </c>
      <c r="M9">
        <v>-17</v>
      </c>
      <c r="N9">
        <f>Paq_D_1* EXP(-1*(dE0_D_1/ (1 + ((17/zMid_D_1) ^n_D_1)))/(0.00198717*298))</f>
        <v>1.3666473569001019</v>
      </c>
      <c r="O9">
        <f>Paq_D_2* EXP(-1*(dE0_D_2/ (1 + ((17/(-1*zMid_D_2)) ^n_D_2)))/(0.00198717*298))</f>
        <v>1.5055245338573211</v>
      </c>
    </row>
    <row r="10" spans="1:15" ht="18" x14ac:dyDescent="0.35">
      <c r="A10" s="3" t="s">
        <v>7</v>
      </c>
      <c r="B10">
        <v>0.61336089385783676</v>
      </c>
      <c r="D10" s="12">
        <v>-10.5</v>
      </c>
      <c r="E10">
        <v>15.142795943092809</v>
      </c>
      <c r="F10">
        <v>329.71261028763035</v>
      </c>
      <c r="G10">
        <v>0.63070000000000004</v>
      </c>
      <c r="H10">
        <f>Paq_D_1* EXP(-1*(dE0_D_1/ (1 + ((10.5/zMid_D_1) ^n_D_1)))/(0.00198717*298))</f>
        <v>0.6933634989855173</v>
      </c>
      <c r="I10">
        <f t="shared" si="0"/>
        <v>1.6923469073275874E-3</v>
      </c>
      <c r="J10">
        <f>Paq_D_2* EXP(-1*(dE0_D_2/ (1 + ((10.5/(-1*zMid_D_2)) ^n_D_2)))/(0.00198717*298))</f>
        <v>0.61631518053122736</v>
      </c>
      <c r="K10">
        <f t="shared" si="1"/>
        <v>1.0039971809547411E-4</v>
      </c>
      <c r="M10">
        <v>-16</v>
      </c>
      <c r="N10">
        <f>Paq_D_1* EXP(-1*(dE0_D_1/ (1 + ((16/zMid_D_1) ^n_D_1)))/(0.00198717*298))</f>
        <v>1.2677870513119196</v>
      </c>
      <c r="O10">
        <f>Paq_D_2* EXP(-1*(dE0_D_2/ (1 + ((16/(-1*zMid_D_2)) ^n_D_2)))/(0.00198717*298))</f>
        <v>1.3746621653106683</v>
      </c>
    </row>
    <row r="11" spans="1:15" ht="18" x14ac:dyDescent="0.35">
      <c r="A11" s="3" t="s">
        <v>8</v>
      </c>
      <c r="B11">
        <v>-14.155501491610845</v>
      </c>
      <c r="D11" s="13">
        <v>-9</v>
      </c>
      <c r="E11">
        <v>14.00394668180396</v>
      </c>
      <c r="F11">
        <v>284.46716551243782</v>
      </c>
      <c r="G11">
        <v>0.67600000000000005</v>
      </c>
      <c r="H11">
        <f>Paq_D_1* EXP(-1*(dE0_D_1/ (1 + ((9/zMid_D_1) ^n_D_1)))/(0.00198717*298))</f>
        <v>0.65821223927616479</v>
      </c>
      <c r="I11">
        <f t="shared" si="0"/>
        <v>1.3411359271358494E-4</v>
      </c>
      <c r="J11">
        <f>Paq_D_2* EXP(-1*(dE0_D_2/ (1 + ((9/(-1*zMid_D_2)) ^n_D_2)))/(0.00198717*298))</f>
        <v>0.60039595756647535</v>
      </c>
      <c r="K11">
        <f t="shared" si="1"/>
        <v>2.6531705333682648E-3</v>
      </c>
      <c r="M11">
        <v>-15</v>
      </c>
      <c r="N11">
        <f>Paq_D_1* EXP(-1*(dE0_D_1/ (1 + ((15/zMid_D_1) ^n_D_1)))/(0.00198717*298))</f>
        <v>1.1437238578085753</v>
      </c>
      <c r="O11">
        <f>Paq_D_2* EXP(-1*(dE0_D_2/ (1 + ((15/(-1*zMid_D_2)) ^n_D_2)))/(0.00198717*298))</f>
        <v>1.1850077125949987</v>
      </c>
    </row>
    <row r="12" spans="1:15" x14ac:dyDescent="0.25">
      <c r="A12" s="3" t="s">
        <v>9</v>
      </c>
      <c r="B12">
        <v>11.576700409409282</v>
      </c>
      <c r="D12" s="14">
        <v>-7.5</v>
      </c>
      <c r="E12">
        <v>10.677857968496228</v>
      </c>
      <c r="F12">
        <v>233.0137027127592</v>
      </c>
      <c r="G12">
        <v>0.62929999999999997</v>
      </c>
      <c r="H12">
        <f>Paq_D_1* EXP(-1*(dE0_D_1/ (1 + ((7.5/zMid_D_1) ^n_D_1)))/(0.00198717*298))</f>
        <v>0.64723624123566603</v>
      </c>
      <c r="I12">
        <f t="shared" si="0"/>
        <v>1.4896435247094676E-4</v>
      </c>
      <c r="J12">
        <f>Paq_D_2* EXP(-1*(dE0_D_2/ (1 + ((7.5/(-1*zMid_D_2)) ^n_D_2)))/(0.00198717*298))</f>
        <v>0.59753130484241768</v>
      </c>
      <c r="K12">
        <f t="shared" si="1"/>
        <v>5.0611810074329224E-4</v>
      </c>
      <c r="M12">
        <v>-14</v>
      </c>
      <c r="N12">
        <f>Paq_D_1* EXP(-1*(dE0_D_1/ (1 + ((14/zMid_D_1) ^n_D_1)))/(0.00198717*298))</f>
        <v>1.0072319021779039</v>
      </c>
      <c r="O12">
        <f>Paq_D_2* EXP(-1*(dE0_D_2/ (1 + ((14/(-1*zMid_D_2)) ^n_D_2)))/(0.00198717*298))</f>
        <v>0.96967688503133376</v>
      </c>
    </row>
    <row r="13" spans="1:15" x14ac:dyDescent="0.25">
      <c r="D13" s="15">
        <v>-6</v>
      </c>
      <c r="E13">
        <v>10.439699338664846</v>
      </c>
      <c r="F13">
        <v>229.72199232624777</v>
      </c>
      <c r="G13">
        <v>0.62409999999999999</v>
      </c>
      <c r="H13">
        <f>Paq_D_1* EXP(-1*(dE0_D_1/ (1 + ((6/zMid_D_1) ^n_D_1)))/(0.00198717*298))</f>
        <v>0.64461080038835084</v>
      </c>
      <c r="I13">
        <f t="shared" si="0"/>
        <v>1.9721694919933123E-4</v>
      </c>
      <c r="J13">
        <f>Paq_D_2* EXP(-1*(dE0_D_2/ (1 + ((6/(-1*zMid_D_2)) ^n_D_2)))/(0.00198717*298))</f>
        <v>0.59716529494113002</v>
      </c>
      <c r="K13">
        <f t="shared" si="1"/>
        <v>3.6709113045301135E-4</v>
      </c>
      <c r="M13">
        <v>-13</v>
      </c>
      <c r="N13">
        <f>Paq_D_1* EXP(-1*(dE0_D_1/ (1 + ((13/zMid_D_1) ^n_D_1)))/(0.00198717*298))</f>
        <v>0.8799994574849056</v>
      </c>
      <c r="O13">
        <f>Paq_D_2* EXP(-1*(dE0_D_2/ (1 + ((13/(-1*zMid_D_2)) ^n_D_2)))/(0.00198717*298))</f>
        <v>0.7912445136652404</v>
      </c>
    </row>
    <row r="14" spans="1:15" x14ac:dyDescent="0.25">
      <c r="D14" s="16">
        <v>-4.5</v>
      </c>
      <c r="E14">
        <v>10.585473532579217</v>
      </c>
      <c r="F14">
        <v>238.06457551464311</v>
      </c>
      <c r="G14">
        <v>0.61060000000000003</v>
      </c>
      <c r="H14">
        <f>Paq_D_1* EXP(-1*(dE0_D_1/ (1 + ((4.5/zMid_D_1) ^n_D_1)))/(0.00198717*298))</f>
        <v>0.64417018112571156</v>
      </c>
      <c r="I14">
        <f t="shared" si="0"/>
        <v>5.402750443137224E-4</v>
      </c>
      <c r="J14">
        <f>Paq_D_2* EXP(-1*(dE0_D_2/ (1 + ((4.5/(-1*zMid_D_2)) ^n_D_2)))/(0.00198717*298))</f>
        <v>0.59713645390127446</v>
      </c>
      <c r="K14">
        <f t="shared" si="1"/>
        <v>9.3764657070803534E-5</v>
      </c>
      <c r="M14">
        <v>-12</v>
      </c>
      <c r="N14">
        <f>Paq_D_1* EXP(-1*(dE0_D_1/ (1 + ((12/zMid_D_1) ^n_D_1)))/(0.00198717*298))</f>
        <v>0.78073929285301791</v>
      </c>
      <c r="O14">
        <f>Paq_D_2* EXP(-1*(dE0_D_2/ (1 + ((12/(-1*zMid_D_2)) ^n_D_2)))/(0.00198717*298))</f>
        <v>0.68229082142707853</v>
      </c>
    </row>
    <row r="15" spans="1:15" x14ac:dyDescent="0.25">
      <c r="D15" s="17">
        <v>-3</v>
      </c>
      <c r="E15">
        <v>7.7317786895764256</v>
      </c>
      <c r="F15">
        <v>209.69845561618712</v>
      </c>
      <c r="G15">
        <v>0.50629999999999997</v>
      </c>
      <c r="H15">
        <f>Paq_D_1* EXP(-1*(dE0_D_1/ (1 + ((3/zMid_D_1) ^n_D_1)))/(0.00198717*298))</f>
        <v>0.64412769188216157</v>
      </c>
      <c r="I15">
        <f t="shared" si="0"/>
        <v>1.0933639099303092E-2</v>
      </c>
      <c r="J15">
        <f>Paq_D_2* EXP(-1*(dE0_D_2/ (1 + ((3/(-1*zMid_D_2)) ^n_D_2)))/(0.00198717*298))</f>
        <v>0.59713539349183209</v>
      </c>
      <c r="K15">
        <f t="shared" si="1"/>
        <v>5.1358559026773269E-3</v>
      </c>
      <c r="M15">
        <v>-11</v>
      </c>
      <c r="N15">
        <f>Paq_D_1* EXP(-1*(dE0_D_1/ (1 + ((11/zMid_D_1) ^n_D_1)))/(0.00198717*298))</f>
        <v>0.71511548666369018</v>
      </c>
      <c r="O15">
        <f>Paq_D_2* EXP(-1*(dE0_D_2/ (1 + ((11/(-1*zMid_D_2)) ^n_D_2)))/(0.00198717*298))</f>
        <v>0.6296483174615346</v>
      </c>
    </row>
    <row r="16" spans="1:15" x14ac:dyDescent="0.25">
      <c r="D16" s="18">
        <v>-1.5</v>
      </c>
      <c r="E16">
        <v>7.9741717652005883</v>
      </c>
      <c r="F16">
        <v>193.12505159558162</v>
      </c>
      <c r="G16">
        <v>0.56699999999999995</v>
      </c>
      <c r="H16">
        <f>Paq_D_1* EXP(-1*(dE0_D_1/ (1 + ((1.5/zMid_D_1) ^n_D_1)))/(0.00198717*298))</f>
        <v>0.64412620268906984</v>
      </c>
      <c r="I16">
        <f t="shared" si="0"/>
        <v>3.0678202945563565E-3</v>
      </c>
      <c r="J16">
        <f>Paq_D_2* EXP(-1*(dE0_D_2/ (1 + ((1.5/(-1*zMid_D_2)) ^n_D_2)))/(0.00198717*298))</f>
        <v>0.59713538370215669</v>
      </c>
      <c r="K16">
        <f t="shared" si="1"/>
        <v>5.0578874236767619E-4</v>
      </c>
      <c r="M16">
        <v>-10</v>
      </c>
      <c r="N16">
        <f>Paq_D_1* EXP(-1*(dE0_D_1/ (1 + ((10/zMid_D_1) ^n_D_1)))/(0.00198717*298))</f>
        <v>0.67742372029760922</v>
      </c>
      <c r="O16">
        <f>Paq_D_2* EXP(-1*(dE0_D_2/ (1 + ((10/(-1*zMid_D_2)) ^n_D_2)))/(0.00198717*298))</f>
        <v>0.6081097072621986</v>
      </c>
    </row>
    <row r="17" spans="4:15" x14ac:dyDescent="0.25">
      <c r="D17" s="19">
        <v>0</v>
      </c>
      <c r="E17">
        <v>8.147678354689651</v>
      </c>
      <c r="F17">
        <v>197.31337553026106</v>
      </c>
      <c r="G17">
        <v>0.56710000000000005</v>
      </c>
      <c r="H17">
        <f>Paq_D_1* EXP(-1*(dE0_D_1/ (1 + ((0/zMid_D_1) ^n_D_1)))/(0.00198717*298))</f>
        <v>0.6441261980865014</v>
      </c>
      <c r="I17">
        <f t="shared" si="0"/>
        <v>3.0593416753904885E-3</v>
      </c>
      <c r="J17">
        <f>Paq_D_2* EXP(-1*(dE0_D_2/ (1 + ((0/(-1*zMid_D_2)) ^n_D_2)))/(0.00198717*298))</f>
        <v>0.59713538369895058</v>
      </c>
      <c r="K17">
        <f t="shared" si="1"/>
        <v>5.023497008017965E-4</v>
      </c>
      <c r="M17">
        <v>-9</v>
      </c>
      <c r="N17">
        <f>Paq_D_1* EXP(-1*(dE0_D_1/ (1 + ((9/zMid_D_1) ^n_D_1)))/(0.00198717*298))</f>
        <v>0.65821223927616479</v>
      </c>
      <c r="O17">
        <f>Paq_D_2* EXP(-1*(dE0_D_2/ (1 + ((9/(-1*zMid_D_2)) ^n_D_2)))/(0.00198717*298))</f>
        <v>0.60039595756647535</v>
      </c>
    </row>
    <row r="18" spans="4:15" x14ac:dyDescent="0.25">
      <c r="D18" s="20">
        <v>1.5</v>
      </c>
      <c r="E18">
        <v>7.7074570909945042</v>
      </c>
      <c r="F18">
        <v>211.87289009819162</v>
      </c>
      <c r="G18">
        <v>0.49959999999999999</v>
      </c>
      <c r="H18">
        <f>Paq_D_1* EXP(-1*(dE0_D_1/ (1 + ((1.5/zMid_D_1) ^n_D_1)))/(0.00198717*298))</f>
        <v>0.64412620268906984</v>
      </c>
      <c r="I18">
        <f t="shared" si="0"/>
        <v>1.2176799544478959E-2</v>
      </c>
      <c r="J18">
        <f>Paq_D_2* EXP(-1*(dE0_D_2/ (1 + ((1.5/(-1*zMid_D_2)) ^n_D_2)))/(0.00198717*298))</f>
        <v>0.59713538370215669</v>
      </c>
      <c r="K18">
        <f t="shared" si="1"/>
        <v>5.9985608487007043E-3</v>
      </c>
      <c r="M18">
        <v>-8</v>
      </c>
      <c r="N18">
        <f>Paq_D_1* EXP(-1*(dE0_D_1/ (1 + ((8/zMid_D_1) ^n_D_1)))/(0.00198717*298))</f>
        <v>0.64944342358443263</v>
      </c>
      <c r="O18">
        <f>Paq_D_2* EXP(-1*(dE0_D_2/ (1 + ((8/(-1*zMid_D_2)) ^n_D_2)))/(0.00198717*298))</f>
        <v>0.59797087108764935</v>
      </c>
    </row>
    <row r="19" spans="4:15" x14ac:dyDescent="0.25">
      <c r="D19" s="21">
        <v>3</v>
      </c>
      <c r="E19">
        <v>9.8399390320783251</v>
      </c>
      <c r="F19">
        <v>212.60048258233337</v>
      </c>
      <c r="G19">
        <v>0.63560000000000005</v>
      </c>
      <c r="H19">
        <f>Paq_D_1* EXP(-1*(dE0_D_1/ (1 + ((3/zMid_D_1) ^n_D_1)))/(0.00198717*298))</f>
        <v>0.64412769188216157</v>
      </c>
      <c r="I19">
        <f t="shared" si="0"/>
        <v>3.3501892117326725E-5</v>
      </c>
      <c r="J19">
        <f>Paq_D_2* EXP(-1*(dE0_D_2/ (1 + ((3/(-1*zMid_D_2)) ^n_D_2)))/(0.00198717*298))</f>
        <v>0.59713539349183209</v>
      </c>
      <c r="K19">
        <f t="shared" si="1"/>
        <v>7.3501038916894818E-4</v>
      </c>
      <c r="M19">
        <v>-7</v>
      </c>
      <c r="N19">
        <f>Paq_D_1* EXP(-1*(dE0_D_1/ (1 + ((7/zMid_D_1) ^n_D_1)))/(0.00198717*298))</f>
        <v>0.64587749513591375</v>
      </c>
      <c r="O19">
        <f>Paq_D_2* EXP(-1*(dE0_D_2/ (1 + ((7/(-1*zMid_D_2)) ^n_D_2)))/(0.00198717*298))</f>
        <v>0.59731354245956514</v>
      </c>
    </row>
    <row r="20" spans="4:15" x14ac:dyDescent="0.25">
      <c r="D20" s="22">
        <v>4.5</v>
      </c>
      <c r="E20">
        <v>12.532686385308601</v>
      </c>
      <c r="F20">
        <v>207.82615645104704</v>
      </c>
      <c r="G20">
        <v>0.82809999999999995</v>
      </c>
      <c r="H20">
        <f>Paq_D_1* EXP(-1*(dE0_D_1/ (1 + ((4.5/zMid_D_1) ^n_D_1)))/(0.00198717*298))</f>
        <v>0.64417018112571156</v>
      </c>
      <c r="I20">
        <f t="shared" si="0"/>
        <v>1.1898919232532095E-2</v>
      </c>
      <c r="J20">
        <f>Paq_D_2* EXP(-1*(dE0_D_2/ (1 + ((4.5/(-1*zMid_D_2)) ^n_D_2)))/(0.00198717*298))</f>
        <v>0.59713645390127446</v>
      </c>
      <c r="K20">
        <f t="shared" si="1"/>
        <v>2.0166612857193407E-2</v>
      </c>
      <c r="M20">
        <v>-6</v>
      </c>
      <c r="N20">
        <f>Paq_D_1* EXP(-1*(dE0_D_1/ (1 + ((6/zMid_D_1) ^n_D_1)))/(0.00198717*298))</f>
        <v>0.64461080038835084</v>
      </c>
      <c r="O20">
        <f>Paq_D_2* EXP(-1*(dE0_D_2/ (1 + ((6/(-1*zMid_D_2)) ^n_D_2)))/(0.00198717*298))</f>
        <v>0.59716529494113002</v>
      </c>
    </row>
    <row r="21" spans="4:15" x14ac:dyDescent="0.25">
      <c r="D21" s="23">
        <v>6</v>
      </c>
      <c r="E21">
        <v>11.817147199929423</v>
      </c>
      <c r="F21">
        <v>218.70380004479716</v>
      </c>
      <c r="G21">
        <v>0.74199999999999999</v>
      </c>
      <c r="H21">
        <f>Paq_D_1* EXP(-1*(dE0_D_1/ (1 + ((6/zMid_D_1) ^n_D_1)))/(0.00198717*298))</f>
        <v>0.64461080038835084</v>
      </c>
      <c r="I21">
        <f t="shared" si="0"/>
        <v>3.7339832583265105E-3</v>
      </c>
      <c r="J21">
        <f>Paq_D_2* EXP(-1*(dE0_D_2/ (1 + ((6/(-1*zMid_D_2)) ^n_D_2)))/(0.00198717*298))</f>
        <v>0.59716529494113002</v>
      </c>
      <c r="K21">
        <f t="shared" si="1"/>
        <v>8.8942525725574789E-3</v>
      </c>
      <c r="M21">
        <v>-5</v>
      </c>
      <c r="N21">
        <f>Paq_D_1* EXP(-1*(dE0_D_1/ (1 + ((5/zMid_D_1) ^n_D_1)))/(0.00198717*298))</f>
        <v>0.64423211956494109</v>
      </c>
      <c r="O21">
        <f>Paq_D_2* EXP(-1*(dE0_D_2/ (1 + ((5/(-1*zMid_D_2)) ^n_D_2)))/(0.00198717*298))</f>
        <v>0.59713900767888872</v>
      </c>
    </row>
    <row r="22" spans="4:15" x14ac:dyDescent="0.25">
      <c r="D22" s="24">
        <v>7.5</v>
      </c>
      <c r="E22">
        <v>10.044284233036313</v>
      </c>
      <c r="F22">
        <v>210.91142211418727</v>
      </c>
      <c r="G22">
        <v>0.65400000000000003</v>
      </c>
      <c r="H22">
        <f>Paq_D_1* EXP(-1*(dE0_D_1/ (1 + ((7.5/zMid_D_1) ^n_D_1)))/(0.00198717*298))</f>
        <v>0.64723624123566603</v>
      </c>
      <c r="I22">
        <f t="shared" si="0"/>
        <v>2.0384513695749912E-5</v>
      </c>
      <c r="J22">
        <f>Paq_D_2* EXP(-1*(dE0_D_2/ (1 + ((7.5/(-1*zMid_D_2)) ^n_D_2)))/(0.00198717*298))</f>
        <v>0.59753130484241768</v>
      </c>
      <c r="K22">
        <f t="shared" si="1"/>
        <v>1.5379797787407989E-3</v>
      </c>
      <c r="M22">
        <v>-4</v>
      </c>
      <c r="N22">
        <f>Paq_D_1* EXP(-1*(dE0_D_1/ (1 + ((4/zMid_D_1) ^n_D_1)))/(0.00198717*298))</f>
        <v>0.64414266321969493</v>
      </c>
      <c r="O22">
        <f>Paq_D_2* EXP(-1*(dE0_D_2/ (1 + ((4/(-1*zMid_D_2)) ^n_D_2)))/(0.00198717*298))</f>
        <v>0.59713565740773245</v>
      </c>
    </row>
    <row r="23" spans="4:15" x14ac:dyDescent="0.25">
      <c r="D23" s="25">
        <v>9</v>
      </c>
      <c r="E23">
        <v>10.403605522837372</v>
      </c>
      <c r="F23">
        <v>213.79921748310556</v>
      </c>
      <c r="G23">
        <v>0.66820000000000002</v>
      </c>
      <c r="H23">
        <f>Paq_D_1* EXP(-1*(dE0_D_1/ (1 + ((9/zMid_D_1) ^n_D_1)))/(0.00198717*298))</f>
        <v>0.65821223927616479</v>
      </c>
      <c r="I23">
        <f t="shared" si="0"/>
        <v>4.2778371546329852E-5</v>
      </c>
      <c r="J23">
        <f>Paq_D_2* EXP(-1*(dE0_D_2/ (1 + ((9/(-1*zMid_D_2)) ^n_D_2)))/(0.00198717*298))</f>
        <v>0.60039595756647535</v>
      </c>
      <c r="K23">
        <f t="shared" si="1"/>
        <v>2.159341176565628E-3</v>
      </c>
      <c r="M23">
        <v>-3</v>
      </c>
      <c r="N23">
        <f>Paq_D_1* EXP(-1*(dE0_D_1/ (1 + ((3/zMid_D_1) ^n_D_1)))/(0.00198717*298))</f>
        <v>0.64412769188216157</v>
      </c>
      <c r="O23">
        <f>Paq_D_2* EXP(-1*(dE0_D_2/ (1 + ((3/(-1*zMid_D_2)) ^n_D_2)))/(0.00198717*298))</f>
        <v>0.59713539349183209</v>
      </c>
    </row>
    <row r="24" spans="4:15" x14ac:dyDescent="0.25">
      <c r="D24" s="26">
        <v>10.5</v>
      </c>
      <c r="E24">
        <v>10.865625453249709</v>
      </c>
      <c r="F24">
        <v>220.63045274559784</v>
      </c>
      <c r="G24">
        <v>0.67630000000000001</v>
      </c>
      <c r="H24">
        <f>Paq_D_1* EXP(-1*(dE0_D_1/ (1 + ((10.5/zMid_D_1) ^n_D_1)))/(0.00198717*298))</f>
        <v>0.6933634989855173</v>
      </c>
      <c r="I24">
        <f t="shared" si="0"/>
        <v>1.1710676158527953E-4</v>
      </c>
      <c r="J24">
        <f>Paq_D_2* EXP(-1*(dE0_D_2/ (1 + ((10.5/(-1*zMid_D_2)) ^n_D_2)))/(0.00198717*298))</f>
        <v>0.61631518053122736</v>
      </c>
      <c r="K24">
        <f t="shared" si="1"/>
        <v>1.6270350397123827E-3</v>
      </c>
      <c r="M24">
        <v>-2</v>
      </c>
      <c r="N24">
        <f>Paq_D_1* EXP(-1*(dE0_D_1/ (1 + ((2/zMid_D_1) ^n_D_1)))/(0.00198717*298))</f>
        <v>0.64412624881831571</v>
      </c>
      <c r="O24">
        <f>Paq_D_2* EXP(-1*(dE0_D_2/ (1 + ((2/(-1*zMid_D_2)) ^n_D_2)))/(0.00198717*298))</f>
        <v>0.59713538378856035</v>
      </c>
    </row>
    <row r="25" spans="4:15" x14ac:dyDescent="0.25">
      <c r="D25" s="27">
        <v>12</v>
      </c>
      <c r="E25">
        <v>12.840705657921843</v>
      </c>
      <c r="F25">
        <v>225.0124392487848</v>
      </c>
      <c r="G25">
        <v>0.78369999999999995</v>
      </c>
      <c r="H25">
        <f>Paq_D_1* EXP(-1*(dE0_D_1/ (1 + ((12/zMid_D_1) ^n_D_1)))/(0.00198717*298))</f>
        <v>0.78073929285301791</v>
      </c>
      <c r="I25">
        <f t="shared" si="0"/>
        <v>2.702110620766901E-6</v>
      </c>
      <c r="J25">
        <f>Paq_D_2* EXP(-1*(dE0_D_2/ (1 + ((12/(-1*zMid_D_2)) ^n_D_2)))/(0.00198717*298))</f>
        <v>0.68229082142707853</v>
      </c>
      <c r="K25">
        <f t="shared" si="1"/>
        <v>3.6216706541988444E-3</v>
      </c>
      <c r="M25">
        <v>-1</v>
      </c>
      <c r="N25">
        <f>Paq_D_1* EXP(-1*(dE0_D_1/ (1 + ((1/zMid_D_1) ^n_D_1)))/(0.00198717*298))</f>
        <v>0.64412619824281214</v>
      </c>
      <c r="O25">
        <f>Paq_D_2* EXP(-1*(dE0_D_2/ (1 + ((1/(-1*zMid_D_2)) ^n_D_2)))/(0.00198717*298))</f>
        <v>0.59713538369898</v>
      </c>
    </row>
    <row r="26" spans="4:15" x14ac:dyDescent="0.25">
      <c r="D26" s="28">
        <v>13.5</v>
      </c>
      <c r="E26">
        <v>14.469750067235591</v>
      </c>
      <c r="F26">
        <v>218.45557134306293</v>
      </c>
      <c r="G26">
        <v>0.90959999999999996</v>
      </c>
      <c r="H26">
        <f>Paq_D_1* EXP(-1*(dE0_D_1/ (1 + ((13.5/zMid_D_1) ^n_D_1)))/(0.00198717*298))</f>
        <v>0.94105070043202155</v>
      </c>
      <c r="I26">
        <f t="shared" si="0"/>
        <v>2.1793349086330317E-4</v>
      </c>
      <c r="J26">
        <f>Paq_D_2* EXP(-1*(dE0_D_2/ (1 + ((13.5/(-1*zMid_D_2)) ^n_D_2)))/(0.00198717*298))</f>
        <v>0.87249977947741753</v>
      </c>
      <c r="K26">
        <f t="shared" si="1"/>
        <v>3.270717757629264E-4</v>
      </c>
      <c r="M26">
        <v>0</v>
      </c>
      <c r="N26">
        <f>Paq_D_1* EXP(-1*(dE0_D_1/ (1 + ((0/zMid_D_1) ^n_D_1)))/(0.00198717*298))</f>
        <v>0.6441261980865014</v>
      </c>
      <c r="O26">
        <f>Paq_D_2* EXP(-1*(dE0_D_2/ (1 + ((0/(-1*zMid_D_2)) ^n_D_2)))/(0.00198717*298))</f>
        <v>0.59713538369895058</v>
      </c>
    </row>
    <row r="27" spans="4:15" x14ac:dyDescent="0.25">
      <c r="D27" s="29">
        <v>15</v>
      </c>
      <c r="E27">
        <v>20.216866707401767</v>
      </c>
      <c r="F27">
        <v>224.03276726794545</v>
      </c>
      <c r="G27">
        <v>1.2392000000000001</v>
      </c>
      <c r="H27">
        <f>Paq_D_1* EXP(-1*(dE0_D_1/ (1 + ((15/zMid_D_1) ^n_D_1)))/(0.00198717*298))</f>
        <v>1.1437238578085753</v>
      </c>
      <c r="I27">
        <f t="shared" si="0"/>
        <v>1.2124480180963535E-3</v>
      </c>
      <c r="J27">
        <f>Paq_D_2* EXP(-1*(dE0_D_2/ (1 + ((15/(-1*zMid_D_2)) ^n_D_2)))/(0.00198717*298))</f>
        <v>1.1850077125949987</v>
      </c>
      <c r="K27">
        <f t="shared" si="1"/>
        <v>3.7714524781726737E-4</v>
      </c>
      <c r="M27">
        <v>1</v>
      </c>
      <c r="N27">
        <f>Paq_D_1* EXP(-1*(dE0_D_1/ (1 + ((1/zMid_D_1) ^n_D_1)))/(0.00198717*298))</f>
        <v>0.64412619824281214</v>
      </c>
      <c r="O27">
        <f>Paq_D_2* EXP(-1*(dE0_D_2/ (1 + ((1/(-1*zMid_D_2)) ^n_D_2)))/(0.00198717*298))</f>
        <v>0.59713538369898</v>
      </c>
    </row>
    <row r="28" spans="4:15" x14ac:dyDescent="0.25">
      <c r="D28" s="30">
        <v>16.5</v>
      </c>
      <c r="E28">
        <v>22.002483127632601</v>
      </c>
      <c r="F28">
        <v>233.75708221892813</v>
      </c>
      <c r="G28">
        <v>1.2926</v>
      </c>
      <c r="H28">
        <f>Paq_D_1* EXP(-1*(dE0_D_1/ (1 + ((16.5/zMid_D_1) ^n_D_1)))/(0.00198717*298))</f>
        <v>1.3206879492638954</v>
      </c>
      <c r="I28">
        <f t="shared" si="0"/>
        <v>8.7162081921003499E-5</v>
      </c>
      <c r="J28">
        <f>Paq_D_2* EXP(-1*(dE0_D_2/ (1 + ((16.5/(-1*zMid_D_2)) ^n_D_2)))/(0.00198717*298))</f>
        <v>1.4476691380777071</v>
      </c>
      <c r="K28">
        <f t="shared" si="1"/>
        <v>2.4211482104382342E-3</v>
      </c>
      <c r="M28">
        <v>2</v>
      </c>
      <c r="N28">
        <f>Paq_D_1* EXP(-1*(dE0_D_1/ (1 + ((2/zMid_D_1) ^n_D_1)))/(0.00198717*298))</f>
        <v>0.64412624881831571</v>
      </c>
      <c r="O28">
        <f>Paq_D_2* EXP(-1*(dE0_D_2/ (1 + ((2/(-1*zMid_D_2)) ^n_D_2)))/(0.00198717*298))</f>
        <v>0.59713538378856035</v>
      </c>
    </row>
    <row r="29" spans="4:15" x14ac:dyDescent="0.25">
      <c r="D29" s="31">
        <v>18</v>
      </c>
      <c r="E29">
        <v>20.789704013262487</v>
      </c>
      <c r="F29">
        <v>221.14244125881021</v>
      </c>
      <c r="G29">
        <v>1.2909999999999999</v>
      </c>
      <c r="H29">
        <f>Paq_D_1* EXP(-1*(dE0_D_1/ (1 + ((18/zMid_D_1) ^n_D_1)))/(0.00198717*298))</f>
        <v>1.4386453068641012</v>
      </c>
      <c r="I29">
        <f t="shared" si="0"/>
        <v>2.2115849127021785E-3</v>
      </c>
      <c r="J29">
        <f>Paq_D_2* EXP(-1*(dE0_D_2/ (1 + ((18/(-1*zMid_D_2)) ^n_D_2)))/(0.00198717*298))</f>
        <v>1.5836686916053089</v>
      </c>
      <c r="K29">
        <f t="shared" si="1"/>
        <v>7.8744483930179923E-3</v>
      </c>
      <c r="M29">
        <v>3</v>
      </c>
      <c r="N29">
        <f>Paq_D_1* EXP(-1*(dE0_D_1/ (1 + ((3/zMid_D_1) ^n_D_1)))/(0.00198717*298))</f>
        <v>0.64412769188216157</v>
      </c>
      <c r="O29">
        <f>Paq_D_2* EXP(-1*(dE0_D_2/ (1 + ((3/(-1*zMid_D_2)) ^n_D_2)))/(0.00198717*298))</f>
        <v>0.59713539349183209</v>
      </c>
    </row>
    <row r="30" spans="4:15" x14ac:dyDescent="0.25">
      <c r="D30" s="32">
        <v>19.5</v>
      </c>
      <c r="E30">
        <v>23.825027683653349</v>
      </c>
      <c r="F30">
        <v>203.08284087537984</v>
      </c>
      <c r="G30">
        <v>1.6111</v>
      </c>
      <c r="H30">
        <f>Paq_D_1* EXP(-1*(dE0_D_1/ (1 + ((19.5/zMid_D_1) ^n_D_1)))/(0.00198717*298))</f>
        <v>1.5067394023853755</v>
      </c>
      <c r="I30">
        <f t="shared" si="0"/>
        <v>8.4589953706847194E-4</v>
      </c>
      <c r="J30">
        <f>Paq_D_2* EXP(-1*(dE0_D_2/ (1 + ((19.5/(-1*zMid_D_2)) ^n_D_2)))/(0.00198717*298))</f>
        <v>1.6411050775216633</v>
      </c>
      <c r="K30">
        <f t="shared" si="1"/>
        <v>6.422245734722553E-5</v>
      </c>
      <c r="M30">
        <v>4</v>
      </c>
      <c r="N30">
        <f>Paq_D_1* EXP(-1*(dE0_D_1/ (1 + ((4/zMid_D_1) ^n_D_1)))/(0.00198717*298))</f>
        <v>0.64414266321969493</v>
      </c>
      <c r="O30">
        <f>Paq_D_2* EXP(-1*(dE0_D_2/ (1 + ((4/(-1*zMid_D_2)) ^n_D_2)))/(0.00198717*298))</f>
        <v>0.59713565740773245</v>
      </c>
    </row>
    <row r="31" spans="4:15" x14ac:dyDescent="0.25">
      <c r="D31" s="33">
        <v>21</v>
      </c>
      <c r="E31">
        <v>23.655381492958057</v>
      </c>
      <c r="F31">
        <v>202.23586360890673</v>
      </c>
      <c r="G31">
        <v>1.6063000000000001</v>
      </c>
      <c r="H31">
        <f>Paq_D_1* EXP(-1*(dE0_D_1/ (1 + ((21/zMid_D_1) ^n_D_1)))/(0.00198717*298))</f>
        <v>1.5439947178135864</v>
      </c>
      <c r="I31">
        <f t="shared" si="0"/>
        <v>2.9518157680280196E-4</v>
      </c>
      <c r="J31">
        <f>Paq_D_2* EXP(-1*(dE0_D_2/ (1 + ((21/(-1*zMid_D_2)) ^n_D_2)))/(0.00198717*298))</f>
        <v>1.6644624300416959</v>
      </c>
      <c r="K31">
        <f t="shared" si="1"/>
        <v>2.3862023349059219E-4</v>
      </c>
      <c r="M31">
        <v>5</v>
      </c>
      <c r="N31">
        <f>Paq_D_1* EXP(-1*(dE0_D_1/ (1 + ((5/zMid_D_1) ^n_D_1)))/(0.00198717*298))</f>
        <v>0.64423211956494109</v>
      </c>
      <c r="O31">
        <f>Paq_D_2* EXP(-1*(dE0_D_2/ (1 + ((5/(-1*zMid_D_2)) ^n_D_2)))/(0.00198717*298))</f>
        <v>0.59713900767888872</v>
      </c>
    </row>
    <row r="32" spans="4:15" x14ac:dyDescent="0.25">
      <c r="D32" s="34">
        <v>22.5</v>
      </c>
      <c r="E32">
        <v>20.632739089874516</v>
      </c>
      <c r="F32">
        <v>185.59265872251723</v>
      </c>
      <c r="G32">
        <v>1.5266999999999999</v>
      </c>
      <c r="H32">
        <f>Paq_D_1* EXP(-1*(dE0_D_1/ (1 + ((22.5/zMid_D_1) ^n_D_1)))/(0.00198717*298))</f>
        <v>1.5642644521615594</v>
      </c>
      <c r="I32">
        <f t="shared" si="0"/>
        <v>1.1143906942326832E-4</v>
      </c>
      <c r="J32">
        <f>Paq_D_2* EXP(-1*(dE0_D_2/ (1 + ((22.5/(-1*zMid_D_2)) ^n_D_2)))/(0.00198717*298))</f>
        <v>1.6742056315927156</v>
      </c>
      <c r="K32">
        <f t="shared" si="1"/>
        <v>1.6044104637082371E-3</v>
      </c>
      <c r="M32">
        <v>6</v>
      </c>
      <c r="N32">
        <f>Paq_D_1* EXP(-1*(dE0_D_1/ (1 + ((6/zMid_D_1) ^n_D_1)))/(0.00198717*298))</f>
        <v>0.64461080038835084</v>
      </c>
      <c r="O32">
        <f>Paq_D_2* EXP(-1*(dE0_D_2/ (1 + ((6/(-1*zMid_D_2)) ^n_D_2)))/(0.00198717*298))</f>
        <v>0.59716529494113002</v>
      </c>
    </row>
    <row r="33" spans="7:15" x14ac:dyDescent="0.25">
      <c r="M33">
        <v>7</v>
      </c>
      <c r="N33">
        <f>Paq_D_1* EXP(-1*(dE0_D_1/ (1 + ((7/zMid_D_1) ^n_D_1)))/(0.00198717*298))</f>
        <v>0.64587749513591375</v>
      </c>
      <c r="O33">
        <f>Paq_D_2* EXP(-1*(dE0_D_2/ (1 + ((7/(-1*zMid_D_2)) ^n_D_2)))/(0.00198717*298))</f>
        <v>0.59731354245956514</v>
      </c>
    </row>
    <row r="34" spans="7:15" x14ac:dyDescent="0.25">
      <c r="G34" t="s">
        <v>18</v>
      </c>
      <c r="H34" s="1" t="s">
        <v>20</v>
      </c>
      <c r="I34">
        <f>SQRT(AVERAGE(I$17:I$32))</f>
        <v>4.7478393801266922E-2</v>
      </c>
      <c r="M34">
        <v>8</v>
      </c>
      <c r="N34">
        <f>Paq_D_1* EXP(-1*(dE0_D_1/ (1 + ((8/zMid_D_1) ^n_D_1)))/(0.00198717*298))</f>
        <v>0.64944342358443263</v>
      </c>
      <c r="O34">
        <f>Paq_D_2* EXP(-1*(dE0_D_2/ (1 + ((8/(-1*zMid_D_2)) ^n_D_2)))/(0.00198717*298))</f>
        <v>0.59797087108764935</v>
      </c>
    </row>
    <row r="35" spans="7:15" x14ac:dyDescent="0.25">
      <c r="G35" t="s">
        <v>19</v>
      </c>
      <c r="J35" s="1" t="s">
        <v>20</v>
      </c>
      <c r="K35">
        <f>SQRT(AVERAGE(K$2:K$17))</f>
        <v>2.7890377267521319E-2</v>
      </c>
      <c r="M35">
        <v>9</v>
      </c>
      <c r="N35">
        <f>Paq_D_1* EXP(-1*(dE0_D_1/ (1 + ((9/zMid_D_1) ^n_D_1)))/(0.00198717*298))</f>
        <v>0.65821223927616479</v>
      </c>
      <c r="O35">
        <f>Paq_D_2* EXP(-1*(dE0_D_2/ (1 + ((9/(-1*zMid_D_2)) ^n_D_2)))/(0.00198717*298))</f>
        <v>0.60039595756647535</v>
      </c>
    </row>
    <row r="36" spans="7:15" x14ac:dyDescent="0.25">
      <c r="M36">
        <v>10</v>
      </c>
      <c r="N36">
        <f>Paq_D_1* EXP(-1*(dE0_D_1/ (1 + ((10/zMid_D_1) ^n_D_1)))/(0.00198717*298))</f>
        <v>0.67742372029760922</v>
      </c>
      <c r="O36">
        <f>Paq_D_2* EXP(-1*(dE0_D_2/ (1 + ((10/(-1*zMid_D_2)) ^n_D_2)))/(0.00198717*298))</f>
        <v>0.6081097072621986</v>
      </c>
    </row>
    <row r="37" spans="7:15" x14ac:dyDescent="0.25">
      <c r="M37">
        <v>11</v>
      </c>
      <c r="N37">
        <f>Paq_D_1* EXP(-1*(dE0_D_1/ (1 + ((11/zMid_D_1) ^n_D_1)))/(0.00198717*298))</f>
        <v>0.71511548666369018</v>
      </c>
      <c r="O37">
        <f>Paq_D_2* EXP(-1*(dE0_D_2/ (1 + ((11/(-1*zMid_D_2)) ^n_D_2)))/(0.00198717*298))</f>
        <v>0.6296483174615346</v>
      </c>
    </row>
    <row r="38" spans="7:15" x14ac:dyDescent="0.25">
      <c r="M38">
        <v>12</v>
      </c>
      <c r="N38">
        <f>Paq_D_1* EXP(-1*(dE0_D_1/ (1 + ((12/zMid_D_1) ^n_D_1)))/(0.00198717*298))</f>
        <v>0.78073929285301791</v>
      </c>
      <c r="O38">
        <f>Paq_D_2* EXP(-1*(dE0_D_2/ (1 + ((12/(-1*zMid_D_2)) ^n_D_2)))/(0.00198717*298))</f>
        <v>0.68229082142707853</v>
      </c>
    </row>
    <row r="39" spans="7:15" x14ac:dyDescent="0.25">
      <c r="M39">
        <v>13</v>
      </c>
      <c r="N39">
        <f>Paq_D_1* EXP(-1*(dE0_D_1/ (1 + ((13/zMid_D_1) ^n_D_1)))/(0.00198717*298))</f>
        <v>0.8799994574849056</v>
      </c>
      <c r="O39">
        <f>Paq_D_2* EXP(-1*(dE0_D_2/ (1 + ((13/(-1*zMid_D_2)) ^n_D_2)))/(0.00198717*298))</f>
        <v>0.7912445136652404</v>
      </c>
    </row>
    <row r="40" spans="7:15" x14ac:dyDescent="0.25">
      <c r="M40">
        <v>14</v>
      </c>
      <c r="N40">
        <f>Paq_D_1* EXP(-1*(dE0_D_1/ (1 + ((14/zMid_D_1) ^n_D_1)))/(0.00198717*298))</f>
        <v>1.0072319021779039</v>
      </c>
      <c r="O40">
        <f>Paq_D_2* EXP(-1*(dE0_D_2/ (1 + ((14/(-1*zMid_D_2)) ^n_D_2)))/(0.00198717*298))</f>
        <v>0.96967688503133376</v>
      </c>
    </row>
    <row r="41" spans="7:15" x14ac:dyDescent="0.25">
      <c r="M41">
        <v>15</v>
      </c>
      <c r="N41">
        <f>Paq_D_1* EXP(-1*(dE0_D_1/ (1 + ((15/zMid_D_1) ^n_D_1)))/(0.00198717*298))</f>
        <v>1.1437238578085753</v>
      </c>
      <c r="O41">
        <f>Paq_D_2* EXP(-1*(dE0_D_2/ (1 + ((15/(-1*zMid_D_2)) ^n_D_2)))/(0.00198717*298))</f>
        <v>1.1850077125949987</v>
      </c>
    </row>
    <row r="42" spans="7:15" x14ac:dyDescent="0.25">
      <c r="M42">
        <v>16</v>
      </c>
      <c r="N42">
        <f>Paq_D_1* EXP(-1*(dE0_D_1/ (1 + ((16/zMid_D_1) ^n_D_1)))/(0.00198717*298))</f>
        <v>1.2677870513119196</v>
      </c>
      <c r="O42">
        <f>Paq_D_2* EXP(-1*(dE0_D_2/ (1 + ((16/(-1*zMid_D_2)) ^n_D_2)))/(0.00198717*298))</f>
        <v>1.3746621653106683</v>
      </c>
    </row>
    <row r="43" spans="7:15" x14ac:dyDescent="0.25">
      <c r="M43">
        <v>17</v>
      </c>
      <c r="N43">
        <f>Paq_D_1* EXP(-1*(dE0_D_1/ (1 + ((17/zMid_D_1) ^n_D_1)))/(0.00198717*298))</f>
        <v>1.3666473569001019</v>
      </c>
      <c r="O43">
        <f>Paq_D_2* EXP(-1*(dE0_D_2/ (1 + ((17/(-1*zMid_D_2)) ^n_D_2)))/(0.00198717*298))</f>
        <v>1.5055245338573211</v>
      </c>
    </row>
    <row r="44" spans="7:15" x14ac:dyDescent="0.25">
      <c r="M44">
        <v>18</v>
      </c>
      <c r="N44">
        <f>Paq_D_1* EXP(-1*(dE0_D_1/ (1 + ((18/zMid_D_1) ^n_D_1)))/(0.00198717*298))</f>
        <v>1.4386453068641012</v>
      </c>
      <c r="O44">
        <f>Paq_D_2* EXP(-1*(dE0_D_2/ (1 + ((18/(-1*zMid_D_2)) ^n_D_2)))/(0.00198717*298))</f>
        <v>1.5836686916053089</v>
      </c>
    </row>
    <row r="45" spans="7:15" x14ac:dyDescent="0.25">
      <c r="M45">
        <v>19</v>
      </c>
      <c r="N45">
        <f>Paq_D_1* EXP(-1*(dE0_D_1/ (1 + ((19/zMid_D_1) ^n_D_1)))/(0.00198717*298))</f>
        <v>1.4883512170434778</v>
      </c>
      <c r="O45">
        <f>Paq_D_2* EXP(-1*(dE0_D_2/ (1 + ((19/(-1*zMid_D_2)) ^n_D_2)))/(0.00198717*298))</f>
        <v>1.6273471156109676</v>
      </c>
    </row>
    <row r="46" spans="7:15" x14ac:dyDescent="0.25">
      <c r="M46">
        <v>20</v>
      </c>
      <c r="N46">
        <f>Paq_D_1* EXP(-1*(dE0_D_1/ (1 + ((20/zMid_D_1) ^n_D_1)))/(0.00198717*298))</f>
        <v>1.5217576633062309</v>
      </c>
      <c r="O46">
        <f>Paq_D_2* EXP(-1*(dE0_D_2/ (1 + ((20/(-1*zMid_D_2)) ^n_D_2)))/(0.00198717*298))</f>
        <v>1.6512872975452946</v>
      </c>
    </row>
    <row r="47" spans="7:15" x14ac:dyDescent="0.25">
      <c r="M47">
        <v>21</v>
      </c>
      <c r="N47">
        <f>Paq_D_1* EXP(-1*(dE0_D_1/ (1 + ((21/zMid_D_1) ^n_D_1)))/(0.00198717*298))</f>
        <v>1.5439947178135864</v>
      </c>
      <c r="O47">
        <f>Paq_D_2* EXP(-1*(dE0_D_2/ (1 + ((21/(-1*zMid_D_2)) ^n_D_2)))/(0.00198717*298))</f>
        <v>1.6644624300416959</v>
      </c>
    </row>
    <row r="48" spans="7:15" x14ac:dyDescent="0.25">
      <c r="M48">
        <v>22</v>
      </c>
      <c r="N48">
        <f>Paq_D_1* EXP(-1*(dE0_D_1/ (1 + ((22/zMid_D_1) ^n_D_1)))/(0.00198717*298))</f>
        <v>1.5588084242146003</v>
      </c>
      <c r="O48">
        <f>Paq_D_2* EXP(-1*(dE0_D_2/ (1 + ((22/(-1*zMid_D_2)) ^n_D_2)))/(0.00198717*298))</f>
        <v>1.6718223513792165</v>
      </c>
    </row>
    <row r="49" spans="13:15" x14ac:dyDescent="0.25">
      <c r="M49">
        <v>23</v>
      </c>
      <c r="N49">
        <f>Paq_D_1* EXP(-1*(dE0_D_1/ (1 + ((23/zMid_D_1) ^n_D_1)))/(0.00198717*298))</f>
        <v>1.5687432561884571</v>
      </c>
      <c r="O49">
        <f>Paq_D_2* EXP(-1*(dE0_D_2/ (1 + ((23/(-1*zMid_D_2)) ^n_D_2)))/(0.00198717*298))</f>
        <v>1.6760141526962375</v>
      </c>
    </row>
    <row r="50" spans="13:15" x14ac:dyDescent="0.25">
      <c r="M50">
        <v>24</v>
      </c>
      <c r="N50">
        <f>Paq_D_1* EXP(-1*(dE0_D_1/ (1 + ((24/zMid_D_1) ^n_D_1)))/(0.00198717*298))</f>
        <v>1.5754721345154179</v>
      </c>
      <c r="O50">
        <f>Paq_D_2* EXP(-1*(dE0_D_2/ (1 + ((24/(-1*zMid_D_2)) ^n_D_2)))/(0.00198717*298))</f>
        <v>1.6784514234447285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50"/>
  <sheetViews>
    <sheetView topLeftCell="A43" workbookViewId="0"/>
  </sheetViews>
  <sheetFormatPr defaultRowHeight="15" x14ac:dyDescent="0.25"/>
  <cols>
    <col min="1" max="1" width="6" bestFit="1" customWidth="1"/>
    <col min="2" max="2" width="12" bestFit="1" customWidth="1"/>
    <col min="4" max="4" width="10.42578125" bestFit="1" customWidth="1"/>
    <col min="5" max="6" width="12" bestFit="1" customWidth="1"/>
    <col min="7" max="7" width="16.140625" bestFit="1" customWidth="1"/>
    <col min="8" max="11" width="12" bestFit="1" customWidth="1"/>
    <col min="13" max="13" width="3.7109375" bestFit="1" customWidth="1"/>
    <col min="14" max="15" width="12" bestFit="1" customWidth="1"/>
  </cols>
  <sheetData>
    <row r="1" spans="1:15" ht="18" x14ac:dyDescent="0.35">
      <c r="A1" s="1" t="s">
        <v>0</v>
      </c>
      <c r="B1">
        <v>4425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M1" s="1" t="s">
        <v>21</v>
      </c>
      <c r="N1" s="1" t="s">
        <v>22</v>
      </c>
      <c r="O1" s="1" t="s">
        <v>23</v>
      </c>
    </row>
    <row r="2" spans="1:15" ht="18" x14ac:dyDescent="0.35">
      <c r="A2" s="1" t="s">
        <v>1</v>
      </c>
      <c r="B2">
        <v>188.05638681352238</v>
      </c>
      <c r="D2" s="4">
        <v>-22.5</v>
      </c>
      <c r="E2">
        <v>3.4376052485924409</v>
      </c>
      <c r="F2">
        <v>37.146305786227806</v>
      </c>
      <c r="G2">
        <v>2.1775000000000002</v>
      </c>
      <c r="H2">
        <f>Paq_E_1* EXP(-1*(dE0_E_1/ (1 + ((22.5/zMid_E_1) ^n_E_1)))/(0.00198717*298))</f>
        <v>1.3631353610105004</v>
      </c>
      <c r="I2">
        <f t="shared" ref="I2:I32" si="0">IF(ISERROR((LOG(H2)-LOG(G2))^2),0,(LOG(H2)-LOG(G2))^2)</f>
        <v>4.1379362681948834E-2</v>
      </c>
      <c r="J2">
        <f>Paq_E_2* EXP(-1*(dE0_E_2/ (1 + ((22.5/(-1*zMid_E_2)) ^n_E_2)))/(0.00198717*298))</f>
        <v>1.8489472490683481</v>
      </c>
      <c r="K2">
        <f t="shared" ref="K2:K32" si="1">IF(ISERROR((LOG(J2)-LOG(G2))^2),0,(LOG(J2)-LOG(G2))^2)</f>
        <v>5.0457784200865436E-3</v>
      </c>
      <c r="M2">
        <v>-24</v>
      </c>
      <c r="N2">
        <f>Paq_E_1* EXP(-1*(dE0_E_1/ (1 + ((24/zMid_E_1) ^n_E_1)))/(0.00198717*298))</f>
        <v>1.3733823961011362</v>
      </c>
      <c r="O2">
        <f>Paq_E_2* EXP(-1*(dE0_E_2/ (1 + ((24/(-1*zMid_E_2)) ^n_E_2)))/(0.00198717*298))</f>
        <v>1.9704682306664385</v>
      </c>
    </row>
    <row r="3" spans="1:15" x14ac:dyDescent="0.25">
      <c r="D3" s="5">
        <v>-21</v>
      </c>
      <c r="E3">
        <v>3.7753852814301783</v>
      </c>
      <c r="F3">
        <v>53.383067205069459</v>
      </c>
      <c r="G3">
        <v>1.6640999999999999</v>
      </c>
      <c r="H3">
        <f>Paq_E_1* EXP(-1*(dE0_E_1/ (1 + ((21/zMid_E_1) ^n_E_1)))/(0.00198717*298))</f>
        <v>1.3466108379837096</v>
      </c>
      <c r="I3">
        <f t="shared" si="0"/>
        <v>8.4524699082126377E-3</v>
      </c>
      <c r="J3">
        <f>Paq_E_2* EXP(-1*(dE0_E_2/ (1 + ((21/(-1*zMid_E_2)) ^n_E_2)))/(0.00198717*298))</f>
        <v>1.7043907880066609</v>
      </c>
      <c r="K3">
        <f t="shared" si="1"/>
        <v>1.0794706372344804E-4</v>
      </c>
      <c r="M3">
        <v>-23</v>
      </c>
      <c r="N3">
        <f>Paq_E_1* EXP(-1*(dE0_E_1/ (1 + ((23/zMid_E_1) ^n_E_1)))/(0.00198717*298))</f>
        <v>1.3670975765287441</v>
      </c>
      <c r="O3">
        <f>Paq_E_2* EXP(-1*(dE0_E_2/ (1 + ((23/(-1*zMid_E_2)) ^n_E_2)))/(0.00198717*298))</f>
        <v>1.8920934861369934</v>
      </c>
    </row>
    <row r="4" spans="1:15" ht="18" x14ac:dyDescent="0.35">
      <c r="A4" s="2" t="s">
        <v>2</v>
      </c>
      <c r="B4">
        <v>1.3931543289887733</v>
      </c>
      <c r="D4" s="6">
        <v>-19.5</v>
      </c>
      <c r="E4">
        <v>5.7637638924667804</v>
      </c>
      <c r="F4">
        <v>104.67349192897072</v>
      </c>
      <c r="G4">
        <v>1.2957000000000001</v>
      </c>
      <c r="H4">
        <f>Paq_E_1* EXP(-1*(dE0_E_1/ (1 + ((19.5/zMid_E_1) ^n_E_1)))/(0.00198717*298))</f>
        <v>1.319619439096642</v>
      </c>
      <c r="I4">
        <f t="shared" si="0"/>
        <v>6.3111039325044034E-5</v>
      </c>
      <c r="J4">
        <f>Paq_E_2* EXP(-1*(dE0_E_2/ (1 + ((19.5/(-1*zMid_E_2)) ^n_E_2)))/(0.00198717*298))</f>
        <v>1.5414735225177469</v>
      </c>
      <c r="K4">
        <f t="shared" si="1"/>
        <v>5.6899278774372097E-3</v>
      </c>
      <c r="M4">
        <v>-22</v>
      </c>
      <c r="N4">
        <f>Paq_E_1* EXP(-1*(dE0_E_1/ (1 + ((22/zMid_E_1) ^n_E_1)))/(0.00198717*298))</f>
        <v>1.3584893164293992</v>
      </c>
      <c r="O4">
        <f>Paq_E_2* EXP(-1*(dE0_E_2/ (1 + ((22/(-1*zMid_E_2)) ^n_E_2)))/(0.00198717*298))</f>
        <v>1.8032030589448511</v>
      </c>
    </row>
    <row r="5" spans="1:15" ht="18" x14ac:dyDescent="0.35">
      <c r="A5" s="2" t="s">
        <v>3</v>
      </c>
      <c r="B5">
        <v>0.45888530743736183</v>
      </c>
      <c r="D5" s="7">
        <v>-18</v>
      </c>
      <c r="E5">
        <v>9.5816409843134043</v>
      </c>
      <c r="F5">
        <v>171.11905245556184</v>
      </c>
      <c r="G5">
        <v>1.3174999999999999</v>
      </c>
      <c r="H5">
        <f>Paq_E_1* EXP(-1*(dE0_E_1/ (1 + ((18/zMid_E_1) ^n_E_1)))/(0.00198717*298))</f>
        <v>1.2755343857483417</v>
      </c>
      <c r="I5">
        <f t="shared" si="0"/>
        <v>1.9764010376081281E-4</v>
      </c>
      <c r="J5">
        <f>Paq_E_2* EXP(-1*(dE0_E_2/ (1 + ((18/(-1*zMid_E_2)) ^n_E_2)))/(0.00198717*298))</f>
        <v>1.3706398452435733</v>
      </c>
      <c r="K5">
        <f t="shared" si="1"/>
        <v>2.9490261981012341E-4</v>
      </c>
      <c r="M5">
        <v>-21</v>
      </c>
      <c r="N5">
        <f>Paq_E_1* EXP(-1*(dE0_E_1/ (1 + ((21/zMid_E_1) ^n_E_1)))/(0.00198717*298))</f>
        <v>1.3466108379837096</v>
      </c>
      <c r="O5">
        <f>Paq_E_2* EXP(-1*(dE0_E_2/ (1 + ((21/(-1*zMid_E_2)) ^n_E_2)))/(0.00198717*298))</f>
        <v>1.7043907880066609</v>
      </c>
    </row>
    <row r="6" spans="1:15" ht="18" x14ac:dyDescent="0.35">
      <c r="A6" s="2" t="s">
        <v>4</v>
      </c>
      <c r="B6">
        <v>13.239499244057752</v>
      </c>
      <c r="D6" s="8">
        <v>-16.5</v>
      </c>
      <c r="E6">
        <v>13.086533704277521</v>
      </c>
      <c r="F6">
        <v>239.24085021505925</v>
      </c>
      <c r="G6">
        <v>1.2870999999999999</v>
      </c>
      <c r="H6">
        <f>Paq_E_1* EXP(-1*(dE0_E_1/ (1 + ((16.5/zMid_E_1) ^n_E_1)))/(0.00198717*298))</f>
        <v>1.2054012275085231</v>
      </c>
      <c r="I6">
        <f t="shared" si="0"/>
        <v>8.11148046258513E-4</v>
      </c>
      <c r="J6">
        <f>Paq_E_2* EXP(-1*(dE0_E_2/ (1 + ((16.5/(-1*zMid_E_2)) ^n_E_2)))/(0.00198717*298))</f>
        <v>1.2067335949786742</v>
      </c>
      <c r="K6">
        <f t="shared" si="1"/>
        <v>7.8404966288863807E-4</v>
      </c>
      <c r="M6">
        <v>-20</v>
      </c>
      <c r="N6">
        <f>Paq_E_1* EXP(-1*(dE0_E_1/ (1 + ((20/zMid_E_1) ^n_E_1)))/(0.00198717*298))</f>
        <v>1.3301318952992509</v>
      </c>
      <c r="O6">
        <f>Paq_E_2* EXP(-1*(dE0_E_2/ (1 + ((20/(-1*zMid_E_2)) ^n_E_2)))/(0.00198717*298))</f>
        <v>1.5972928230463055</v>
      </c>
    </row>
    <row r="7" spans="1:15" x14ac:dyDescent="0.25">
      <c r="A7" s="2" t="s">
        <v>5</v>
      </c>
      <c r="B7">
        <v>6.6811922294786044</v>
      </c>
      <c r="D7" s="9">
        <v>-15</v>
      </c>
      <c r="E7">
        <v>13.0889010698502</v>
      </c>
      <c r="F7">
        <v>301.1099037843893</v>
      </c>
      <c r="G7">
        <v>1.0227999999999999</v>
      </c>
      <c r="H7">
        <f>Paq_E_1* EXP(-1*(dE0_E_1/ (1 + ((15/zMid_E_1) ^n_E_1)))/(0.00198717*298))</f>
        <v>1.1018008455523738</v>
      </c>
      <c r="I7">
        <f t="shared" si="0"/>
        <v>1.0440900287498427E-3</v>
      </c>
      <c r="J7">
        <f>Paq_E_2* EXP(-1*(dE0_E_2/ (1 + ((15/(-1*zMid_E_2)) ^n_E_2)))/(0.00198717*298))</f>
        <v>1.0645118496836175</v>
      </c>
      <c r="K7">
        <f t="shared" si="1"/>
        <v>3.0136199027534479E-4</v>
      </c>
      <c r="M7">
        <v>-19</v>
      </c>
      <c r="N7">
        <f>Paq_E_1* EXP(-1*(dE0_E_1/ (1 + ((19/zMid_E_1) ^n_E_1)))/(0.00198717*298))</f>
        <v>1.3072304054581088</v>
      </c>
      <c r="O7">
        <f>Paq_E_2* EXP(-1*(dE0_E_2/ (1 + ((19/(-1*zMid_E_2)) ^n_E_2)))/(0.00198717*298))</f>
        <v>1.484734456816901</v>
      </c>
    </row>
    <row r="8" spans="1:15" x14ac:dyDescent="0.25">
      <c r="D8" s="10">
        <v>-13.5</v>
      </c>
      <c r="E8">
        <v>12.375104665745383</v>
      </c>
      <c r="F8">
        <v>325.144691447757</v>
      </c>
      <c r="G8">
        <v>0.89559999999999995</v>
      </c>
      <c r="H8">
        <f>Paq_E_1* EXP(-1*(dE0_E_1/ (1 + ((13.5/zMid_E_1) ^n_E_1)))/(0.00198717*298))</f>
        <v>0.96976506454982891</v>
      </c>
      <c r="I8">
        <f t="shared" si="0"/>
        <v>1.1938717903742747E-3</v>
      </c>
      <c r="J8">
        <f>Paq_E_2* EXP(-1*(dE0_E_2/ (1 + ((13.5/(-1*zMid_E_2)) ^n_E_2)))/(0.00198717*298))</f>
        <v>0.95340465587407186</v>
      </c>
      <c r="K8">
        <f t="shared" si="1"/>
        <v>7.378385395376486E-4</v>
      </c>
      <c r="M8">
        <v>-18</v>
      </c>
      <c r="N8">
        <f>Paq_E_1* EXP(-1*(dE0_E_1/ (1 + ((18/zMid_E_1) ^n_E_1)))/(0.00198717*298))</f>
        <v>1.2755343857483417</v>
      </c>
      <c r="O8">
        <f>Paq_E_2* EXP(-1*(dE0_E_2/ (1 + ((18/(-1*zMid_E_2)) ^n_E_2)))/(0.00198717*298))</f>
        <v>1.3706398452435733</v>
      </c>
    </row>
    <row r="9" spans="1:15" ht="18" x14ac:dyDescent="0.35">
      <c r="A9" s="3" t="s">
        <v>6</v>
      </c>
      <c r="B9">
        <v>2.4303568093528982</v>
      </c>
      <c r="D9" s="11">
        <v>-12</v>
      </c>
      <c r="E9">
        <v>13.793682589593805</v>
      </c>
      <c r="F9">
        <v>335.09215104301728</v>
      </c>
      <c r="G9">
        <v>0.96860000000000002</v>
      </c>
      <c r="H9">
        <f>Paq_E_1* EXP(-1*(dE0_E_1/ (1 + ((12/zMid_E_1) ^n_E_1)))/(0.00198717*298))</f>
        <v>0.83632954047871677</v>
      </c>
      <c r="I9">
        <f t="shared" si="0"/>
        <v>4.0662338202372209E-3</v>
      </c>
      <c r="J9">
        <f>Paq_E_2* EXP(-1*(dE0_E_2/ (1 + ((12/(-1*zMid_E_2)) ^n_E_2)))/(0.00198717*298))</f>
        <v>0.8751568814840871</v>
      </c>
      <c r="K9">
        <f t="shared" si="1"/>
        <v>1.941156061886498E-3</v>
      </c>
      <c r="M9">
        <v>-17</v>
      </c>
      <c r="N9">
        <f>Paq_E_1* EXP(-1*(dE0_E_1/ (1 + ((17/zMid_E_1) ^n_E_1)))/(0.00198717*298))</f>
        <v>1.2322506343415176</v>
      </c>
      <c r="O9">
        <f>Paq_E_2* EXP(-1*(dE0_E_2/ (1 + ((17/(-1*zMid_E_2)) ^n_E_2)))/(0.00198717*298))</f>
        <v>1.2596233116547078</v>
      </c>
    </row>
    <row r="10" spans="1:15" ht="18" x14ac:dyDescent="0.35">
      <c r="A10" s="3" t="s">
        <v>7</v>
      </c>
      <c r="B10">
        <v>0.67835069381539814</v>
      </c>
      <c r="D10" s="12">
        <v>-10.5</v>
      </c>
      <c r="E10">
        <v>12.444948218922535</v>
      </c>
      <c r="F10">
        <v>329.71261028763035</v>
      </c>
      <c r="G10">
        <v>0.8881</v>
      </c>
      <c r="H10">
        <f>Paq_E_1* EXP(-1*(dE0_E_1/ (1 + ((10.5/zMid_E_1) ^n_E_1)))/(0.00198717*298))</f>
        <v>0.73525175490732209</v>
      </c>
      <c r="I10">
        <f t="shared" si="0"/>
        <v>6.7282319151653232E-3</v>
      </c>
      <c r="J10">
        <f>Paq_E_2* EXP(-1*(dE0_E_2/ (1 + ((10.5/(-1*zMid_E_2)) ^n_E_2)))/(0.00198717*298))</f>
        <v>0.82537267093177058</v>
      </c>
      <c r="K10">
        <f t="shared" si="1"/>
        <v>1.011989683165146E-3</v>
      </c>
      <c r="M10">
        <v>-16</v>
      </c>
      <c r="N10">
        <f>Paq_E_1* EXP(-1*(dE0_E_1/ (1 + ((16/zMid_E_1) ^n_E_1)))/(0.00198717*298))</f>
        <v>1.174734742526194</v>
      </c>
      <c r="O10">
        <f>Paq_E_2* EXP(-1*(dE0_E_2/ (1 + ((16/(-1*zMid_E_2)) ^n_E_2)))/(0.00198717*298))</f>
        <v>1.1563007856540861</v>
      </c>
    </row>
    <row r="11" spans="1:15" ht="18" x14ac:dyDescent="0.35">
      <c r="A11" s="3" t="s">
        <v>8</v>
      </c>
      <c r="B11">
        <v>-18</v>
      </c>
      <c r="D11" s="13">
        <v>-9</v>
      </c>
      <c r="E11">
        <v>9.2247519242413532</v>
      </c>
      <c r="F11">
        <v>284.46716551243782</v>
      </c>
      <c r="G11">
        <v>0.76300000000000001</v>
      </c>
      <c r="H11">
        <f>Paq_E_1* EXP(-1*(dE0_E_1/ (1 + ((9/zMid_E_1) ^n_E_1)))/(0.00198717*298))</f>
        <v>0.67793794646502936</v>
      </c>
      <c r="I11">
        <f t="shared" si="0"/>
        <v>2.6352405866803194E-3</v>
      </c>
      <c r="J11">
        <f>Paq_E_2* EXP(-1*(dE0_E_2/ (1 + ((9/(-1*zMid_E_2)) ^n_E_2)))/(0.00198717*298))</f>
        <v>0.79683915374396319</v>
      </c>
      <c r="K11">
        <f t="shared" si="1"/>
        <v>3.5517652618881465E-4</v>
      </c>
      <c r="M11">
        <v>-15</v>
      </c>
      <c r="N11">
        <f>Paq_E_1* EXP(-1*(dE0_E_1/ (1 + ((15/zMid_E_1) ^n_E_1)))/(0.00198717*298))</f>
        <v>1.1018008455523738</v>
      </c>
      <c r="O11">
        <f>Paq_E_2* EXP(-1*(dE0_E_2/ (1 + ((15/(-1*zMid_E_2)) ^n_E_2)))/(0.00198717*298))</f>
        <v>1.0645118496836175</v>
      </c>
    </row>
    <row r="12" spans="1:15" x14ac:dyDescent="0.25">
      <c r="A12" s="3" t="s">
        <v>9</v>
      </c>
      <c r="B12">
        <v>5.197945384976185</v>
      </c>
      <c r="D12" s="14">
        <v>-7.5</v>
      </c>
      <c r="E12">
        <v>7.5361998853073695</v>
      </c>
      <c r="F12">
        <v>233.0137027127592</v>
      </c>
      <c r="G12">
        <v>0.76100000000000001</v>
      </c>
      <c r="H12">
        <f>Paq_E_1* EXP(-1*(dE0_E_1/ (1 + ((7.5/zMid_E_1) ^n_E_1)))/(0.00198717*298))</f>
        <v>0.65289735012986705</v>
      </c>
      <c r="I12">
        <f t="shared" si="0"/>
        <v>4.4275384370651852E-3</v>
      </c>
      <c r="J12">
        <f>Paq_E_2* EXP(-1*(dE0_E_2/ (1 + ((7.5/(-1*zMid_E_2)) ^n_E_2)))/(0.00198717*298))</f>
        <v>0.78230394870905506</v>
      </c>
      <c r="K12">
        <f t="shared" si="1"/>
        <v>1.4378085781247536E-4</v>
      </c>
      <c r="M12">
        <v>-14</v>
      </c>
      <c r="N12">
        <f>Paq_E_1* EXP(-1*(dE0_E_1/ (1 + ((14/zMid_E_1) ^n_E_1)))/(0.00198717*298))</f>
        <v>1.0157006622405829</v>
      </c>
      <c r="O12">
        <f>Paq_E_2* EXP(-1*(dE0_E_2/ (1 + ((14/(-1*zMid_E_2)) ^n_E_2)))/(0.00198717*298))</f>
        <v>0.98672073240239344</v>
      </c>
    </row>
    <row r="13" spans="1:15" x14ac:dyDescent="0.25">
      <c r="D13" s="15">
        <v>-6</v>
      </c>
      <c r="E13">
        <v>8.0037078795677843</v>
      </c>
      <c r="F13">
        <v>229.72199232624777</v>
      </c>
      <c r="G13">
        <v>0.81979999999999997</v>
      </c>
      <c r="H13">
        <f>Paq_E_1* EXP(-1*(dE0_E_1/ (1 + ((6/zMid_E_1) ^n_E_1)))/(0.00198717*298))</f>
        <v>0.64439297656053673</v>
      </c>
      <c r="I13">
        <f t="shared" si="0"/>
        <v>1.0932190447295317E-2</v>
      </c>
      <c r="J13">
        <f>Paq_E_2* EXP(-1*(dE0_E_2/ (1 + ((6/(-1*zMid_E_2)) ^n_E_2)))/(0.00198717*298))</f>
        <v>0.77592259059254798</v>
      </c>
      <c r="K13">
        <f t="shared" si="1"/>
        <v>5.7070905425842195E-4</v>
      </c>
      <c r="M13">
        <v>-13</v>
      </c>
      <c r="N13">
        <f>Paq_E_1* EXP(-1*(dE0_E_1/ (1 + ((13/zMid_E_1) ^n_E_1)))/(0.00198717*298))</f>
        <v>0.92359161870190642</v>
      </c>
      <c r="O13">
        <f>Paq_E_2* EXP(-1*(dE0_E_2/ (1 + ((13/(-1*zMid_E_2)) ^n_E_2)))/(0.00198717*298))</f>
        <v>0.92379202068879218</v>
      </c>
    </row>
    <row r="14" spans="1:15" x14ac:dyDescent="0.25">
      <c r="D14" s="16">
        <v>-4.5</v>
      </c>
      <c r="E14">
        <v>8.4962668064512492</v>
      </c>
      <c r="F14">
        <v>238.06457551464311</v>
      </c>
      <c r="G14">
        <v>0.83979999999999999</v>
      </c>
      <c r="H14">
        <f>Paq_E_1* EXP(-1*(dE0_E_1/ (1 + ((4.5/zMid_E_1) ^n_E_1)))/(0.00198717*298))</f>
        <v>0.64225494832474384</v>
      </c>
      <c r="I14">
        <f t="shared" si="0"/>
        <v>1.3564890826195861E-2</v>
      </c>
      <c r="J14">
        <f>Paq_E_2* EXP(-1*(dE0_E_2/ (1 + ((4.5/(-1*zMid_E_2)) ^n_E_2)))/(0.00198717*298))</f>
        <v>0.77365197097197724</v>
      </c>
      <c r="K14">
        <f t="shared" si="1"/>
        <v>1.2695135755730167E-3</v>
      </c>
      <c r="M14">
        <v>-12</v>
      </c>
      <c r="N14">
        <f>Paq_E_1* EXP(-1*(dE0_E_1/ (1 + ((12/zMid_E_1) ^n_E_1)))/(0.00198717*298))</f>
        <v>0.83632954047871677</v>
      </c>
      <c r="O14">
        <f>Paq_E_2* EXP(-1*(dE0_E_2/ (1 + ((12/(-1*zMid_E_2)) ^n_E_2)))/(0.00198717*298))</f>
        <v>0.8751568814840871</v>
      </c>
    </row>
    <row r="15" spans="1:15" x14ac:dyDescent="0.25">
      <c r="D15" s="17">
        <v>-3</v>
      </c>
      <c r="E15">
        <v>6.0571184582055881</v>
      </c>
      <c r="F15">
        <v>209.69845561618712</v>
      </c>
      <c r="G15">
        <v>0.67969999999999997</v>
      </c>
      <c r="H15">
        <f>Paq_E_1* EXP(-1*(dE0_E_1/ (1 + ((3/zMid_E_1) ^n_E_1)))/(0.00198717*298))</f>
        <v>0.64191189096349144</v>
      </c>
      <c r="I15">
        <f t="shared" si="0"/>
        <v>6.1711746996378776E-4</v>
      </c>
      <c r="J15">
        <f>Paq_E_2* EXP(-1*(dE0_E_2/ (1 + ((3/(-1*zMid_E_2)) ^n_E_2)))/(0.00198717*298))</f>
        <v>0.77307483697563983</v>
      </c>
      <c r="K15">
        <f t="shared" si="1"/>
        <v>3.125287136837874E-3</v>
      </c>
      <c r="M15">
        <v>-11</v>
      </c>
      <c r="N15">
        <f>Paq_E_1* EXP(-1*(dE0_E_1/ (1 + ((11/zMid_E_1) ^n_E_1)))/(0.00198717*298))</f>
        <v>0.7640163988248847</v>
      </c>
      <c r="O15">
        <f>Paq_E_2* EXP(-1*(dE0_E_2/ (1 + ((11/(-1*zMid_E_2)) ^n_E_2)))/(0.00198717*298))</f>
        <v>0.83922809341698157</v>
      </c>
    </row>
    <row r="16" spans="1:15" x14ac:dyDescent="0.25">
      <c r="D16" s="18">
        <v>-1.5</v>
      </c>
      <c r="E16">
        <v>5.7602620437416769</v>
      </c>
      <c r="F16">
        <v>193.12505159558162</v>
      </c>
      <c r="G16">
        <v>0.70179999999999998</v>
      </c>
      <c r="H16">
        <f>Paq_E_1* EXP(-1*(dE0_E_1/ (1 + ((1.5/zMid_E_1) ^n_E_1)))/(0.00198717*298))</f>
        <v>0.64188763910533919</v>
      </c>
      <c r="I16">
        <f t="shared" si="0"/>
        <v>1.5018997498762112E-3</v>
      </c>
      <c r="J16">
        <f>Paq_E_2* EXP(-1*(dE0_E_2/ (1 + ((1.5/(-1*zMid_E_2)) ^n_E_2)))/(0.00198717*298))</f>
        <v>0.77299714450844359</v>
      </c>
      <c r="K16">
        <f t="shared" si="1"/>
        <v>1.7610214202098513E-3</v>
      </c>
      <c r="M16">
        <v>-10</v>
      </c>
      <c r="N16">
        <f>Paq_E_1* EXP(-1*(dE0_E_1/ (1 + ((10/zMid_E_1) ^n_E_1)))/(0.00198717*298))</f>
        <v>0.71156009761013228</v>
      </c>
      <c r="O16">
        <f>Paq_E_2* EXP(-1*(dE0_E_2/ (1 + ((10/(-1*zMid_E_2)) ^n_E_2)))/(0.00198717*298))</f>
        <v>0.81387716505146745</v>
      </c>
    </row>
    <row r="17" spans="4:15" x14ac:dyDescent="0.25">
      <c r="D17" s="19">
        <v>0</v>
      </c>
      <c r="E17">
        <v>7.1372467466613072</v>
      </c>
      <c r="F17">
        <v>197.31337553026106</v>
      </c>
      <c r="G17">
        <v>0.85109999999999997</v>
      </c>
      <c r="H17">
        <f>Paq_E_1* EXP(-1*(dE0_E_1/ (1 + ((0/zMid_E_1) ^n_E_1)))/(0.00198717*298))</f>
        <v>0.64188740044975645</v>
      </c>
      <c r="I17">
        <f t="shared" si="0"/>
        <v>1.5011576643986316E-2</v>
      </c>
      <c r="J17">
        <f>Paq_E_2* EXP(-1*(dE0_E_2/ (1 + ((0/(-1*zMid_E_2)) ^n_E_2)))/(0.00198717*298))</f>
        <v>0.772994968532844</v>
      </c>
      <c r="K17">
        <f t="shared" si="1"/>
        <v>1.7475680145491782E-3</v>
      </c>
      <c r="M17">
        <v>-9</v>
      </c>
      <c r="N17">
        <f>Paq_E_1* EXP(-1*(dE0_E_1/ (1 + ((9/zMid_E_1) ^n_E_1)))/(0.00198717*298))</f>
        <v>0.67793794646502936</v>
      </c>
      <c r="O17">
        <f>Paq_E_2* EXP(-1*(dE0_E_2/ (1 + ((9/(-1*zMid_E_2)) ^n_E_2)))/(0.00198717*298))</f>
        <v>0.79683915374396319</v>
      </c>
    </row>
    <row r="18" spans="4:15" x14ac:dyDescent="0.25">
      <c r="D18" s="20">
        <v>1.5</v>
      </c>
      <c r="E18">
        <v>5.3655218495289319</v>
      </c>
      <c r="F18">
        <v>211.87289009819162</v>
      </c>
      <c r="G18">
        <v>0.59589999999999999</v>
      </c>
      <c r="H18">
        <f>Paq_E_1* EXP(-1*(dE0_E_1/ (1 + ((1.5/zMid_E_1) ^n_E_1)))/(0.00198717*298))</f>
        <v>0.64188763910533919</v>
      </c>
      <c r="I18">
        <f t="shared" si="0"/>
        <v>1.0423617164401799E-3</v>
      </c>
      <c r="J18">
        <f>Paq_E_2* EXP(-1*(dE0_E_2/ (1 + ((1.5/(-1*zMid_E_2)) ^n_E_2)))/(0.00198717*298))</f>
        <v>0.77299714450844359</v>
      </c>
      <c r="K18">
        <f t="shared" si="1"/>
        <v>1.2770017967262341E-2</v>
      </c>
      <c r="M18">
        <v>-8</v>
      </c>
      <c r="N18">
        <f>Paq_E_1* EXP(-1*(dE0_E_1/ (1 + ((8/zMid_E_1) ^n_E_1)))/(0.00198717*298))</f>
        <v>0.65870924933421804</v>
      </c>
      <c r="O18">
        <f>Paq_E_2* EXP(-1*(dE0_E_2/ (1 + ((8/(-1*zMid_E_2)) ^n_E_2)))/(0.00198717*298))</f>
        <v>0.78599104093167826</v>
      </c>
    </row>
    <row r="19" spans="4:15" x14ac:dyDescent="0.25">
      <c r="D19" s="21">
        <v>3</v>
      </c>
      <c r="E19">
        <v>5.0647033983209324</v>
      </c>
      <c r="F19">
        <v>212.60048258233337</v>
      </c>
      <c r="G19">
        <v>0.56059999999999999</v>
      </c>
      <c r="H19">
        <f>Paq_E_1* EXP(-1*(dE0_E_1/ (1 + ((3/zMid_E_1) ^n_E_1)))/(0.00198717*298))</f>
        <v>0.64191189096349144</v>
      </c>
      <c r="I19">
        <f t="shared" si="0"/>
        <v>3.4600661928055831E-3</v>
      </c>
      <c r="J19">
        <f>Paq_E_2* EXP(-1*(dE0_E_2/ (1 + ((3/(-1*zMid_E_2)) ^n_E_2)))/(0.00198717*298))</f>
        <v>0.77307483697563983</v>
      </c>
      <c r="K19">
        <f t="shared" si="1"/>
        <v>1.9479350590295381E-2</v>
      </c>
      <c r="M19">
        <v>-7</v>
      </c>
      <c r="N19">
        <f>Paq_E_1* EXP(-1*(dE0_E_1/ (1 + ((7/zMid_E_1) ^n_E_1)))/(0.00198717*298))</f>
        <v>0.64886621699227653</v>
      </c>
      <c r="O19">
        <f>Paq_E_2* EXP(-1*(dE0_E_2/ (1 + ((7/(-1*zMid_E_2)) ^n_E_2)))/(0.00198717*298))</f>
        <v>0.77950743979328052</v>
      </c>
    </row>
    <row r="20" spans="4:15" x14ac:dyDescent="0.25">
      <c r="D20" s="22">
        <v>4.5</v>
      </c>
      <c r="E20">
        <v>5.5205835065352877</v>
      </c>
      <c r="F20">
        <v>207.82615645104704</v>
      </c>
      <c r="G20">
        <v>0.625</v>
      </c>
      <c r="H20">
        <f>Paq_E_1* EXP(-1*(dE0_E_1/ (1 + ((4.5/zMid_E_1) ^n_E_1)))/(0.00198717*298))</f>
        <v>0.64225494832474384</v>
      </c>
      <c r="I20">
        <f t="shared" si="0"/>
        <v>1.3988837663180852E-4</v>
      </c>
      <c r="J20">
        <f>Paq_E_2* EXP(-1*(dE0_E_2/ (1 + ((4.5/(-1*zMid_E_2)) ^n_E_2)))/(0.00198717*298))</f>
        <v>0.77365197097197724</v>
      </c>
      <c r="K20">
        <f t="shared" si="1"/>
        <v>8.5869169350766498E-3</v>
      </c>
      <c r="M20">
        <v>-6</v>
      </c>
      <c r="N20">
        <f>Paq_E_1* EXP(-1*(dE0_E_1/ (1 + ((6/zMid_E_1) ^n_E_1)))/(0.00198717*298))</f>
        <v>0.64439297656053673</v>
      </c>
      <c r="O20">
        <f>Paq_E_2* EXP(-1*(dE0_E_2/ (1 + ((6/(-1*zMid_E_2)) ^n_E_2)))/(0.00198717*298))</f>
        <v>0.77592259059254798</v>
      </c>
    </row>
    <row r="21" spans="4:15" x14ac:dyDescent="0.25">
      <c r="D21" s="23">
        <v>6</v>
      </c>
      <c r="E21">
        <v>5.2850029021634386</v>
      </c>
      <c r="F21">
        <v>218.70380004479716</v>
      </c>
      <c r="G21">
        <v>0.56859999999999999</v>
      </c>
      <c r="H21">
        <f>Paq_E_1* EXP(-1*(dE0_E_1/ (1 + ((6/zMid_E_1) ^n_E_1)))/(0.00198717*298))</f>
        <v>0.64439297656053673</v>
      </c>
      <c r="I21">
        <f t="shared" si="0"/>
        <v>2.9532641307798502E-3</v>
      </c>
      <c r="J21">
        <f>Paq_E_2* EXP(-1*(dE0_E_2/ (1 + ((6/(-1*zMid_E_2)) ^n_E_2)))/(0.00198717*298))</f>
        <v>0.77592259059254798</v>
      </c>
      <c r="K21">
        <f t="shared" si="1"/>
        <v>1.8228116192724665E-2</v>
      </c>
      <c r="M21">
        <v>-5</v>
      </c>
      <c r="N21">
        <f>Paq_E_1* EXP(-1*(dE0_E_1/ (1 + ((5/zMid_E_1) ^n_E_1)))/(0.00198717*298))</f>
        <v>0.6426301248297146</v>
      </c>
      <c r="O21">
        <f>Paq_E_2* EXP(-1*(dE0_E_2/ (1 + ((5/(-1*zMid_E_2)) ^n_E_2)))/(0.00198717*298))</f>
        <v>0.7741307937035562</v>
      </c>
    </row>
    <row r="22" spans="4:15" x14ac:dyDescent="0.25">
      <c r="D22" s="24">
        <v>7.5</v>
      </c>
      <c r="E22">
        <v>6.1436515879296039</v>
      </c>
      <c r="F22">
        <v>210.91142211418727</v>
      </c>
      <c r="G22">
        <v>0.68540000000000001</v>
      </c>
      <c r="H22">
        <f>Paq_E_1* EXP(-1*(dE0_E_1/ (1 + ((7.5/zMid_E_1) ^n_E_1)))/(0.00198717*298))</f>
        <v>0.65289735012986705</v>
      </c>
      <c r="I22">
        <f t="shared" si="0"/>
        <v>4.4517599282259374E-4</v>
      </c>
      <c r="J22">
        <f>Paq_E_2* EXP(-1*(dE0_E_2/ (1 + ((7.5/(-1*zMid_E_2)) ^n_E_2)))/(0.00198717*298))</f>
        <v>0.78230394870905506</v>
      </c>
      <c r="K22">
        <f t="shared" si="1"/>
        <v>3.2983682646087467E-3</v>
      </c>
      <c r="M22">
        <v>-4</v>
      </c>
      <c r="N22">
        <f>Paq_E_1* EXP(-1*(dE0_E_1/ (1 + ((4/zMid_E_1) ^n_E_1)))/(0.00198717*298))</f>
        <v>0.64205476411888285</v>
      </c>
      <c r="O22">
        <f>Paq_E_2* EXP(-1*(dE0_E_2/ (1 + ((4/(-1*zMid_E_2)) ^n_E_2)))/(0.00198717*298))</f>
        <v>0.77335120799052659</v>
      </c>
    </row>
    <row r="23" spans="4:15" x14ac:dyDescent="0.25">
      <c r="D23" s="25">
        <v>9</v>
      </c>
      <c r="E23">
        <v>6.9264819132815498</v>
      </c>
      <c r="F23">
        <v>213.79921748310556</v>
      </c>
      <c r="G23">
        <v>0.76229999999999998</v>
      </c>
      <c r="H23">
        <f>Paq_E_1* EXP(-1*(dE0_E_1/ (1 + ((9/zMid_E_1) ^n_E_1)))/(0.00198717*298))</f>
        <v>0.67793794646502936</v>
      </c>
      <c r="I23">
        <f t="shared" si="0"/>
        <v>2.5944736774235729E-3</v>
      </c>
      <c r="J23">
        <f>Paq_E_2* EXP(-1*(dE0_E_2/ (1 + ((9/(-1*zMid_E_2)) ^n_E_2)))/(0.00198717*298))</f>
        <v>0.79683915374396319</v>
      </c>
      <c r="K23">
        <f t="shared" si="1"/>
        <v>3.7036024101102686E-4</v>
      </c>
      <c r="M23">
        <v>-3</v>
      </c>
      <c r="N23">
        <f>Paq_E_1* EXP(-1*(dE0_E_1/ (1 + ((3/zMid_E_1) ^n_E_1)))/(0.00198717*298))</f>
        <v>0.64191189096349144</v>
      </c>
      <c r="O23">
        <f>Paq_E_2* EXP(-1*(dE0_E_2/ (1 + ((3/(-1*zMid_E_2)) ^n_E_2)))/(0.00198717*298))</f>
        <v>0.77307483697563983</v>
      </c>
    </row>
    <row r="24" spans="4:15" x14ac:dyDescent="0.25">
      <c r="D24" s="26">
        <v>10.5</v>
      </c>
      <c r="E24">
        <v>6.0991317745831655</v>
      </c>
      <c r="F24">
        <v>220.63045274559784</v>
      </c>
      <c r="G24">
        <v>0.65049999999999997</v>
      </c>
      <c r="H24">
        <f>Paq_E_1* EXP(-1*(dE0_E_1/ (1 + ((10.5/zMid_E_1) ^n_E_1)))/(0.00198717*298))</f>
        <v>0.73525175490732209</v>
      </c>
      <c r="I24">
        <f t="shared" si="0"/>
        <v>2.8290451330329034E-3</v>
      </c>
      <c r="J24">
        <f>Paq_E_2* EXP(-1*(dE0_E_2/ (1 + ((10.5/(-1*zMid_E_2)) ^n_E_2)))/(0.00198717*298))</f>
        <v>0.82537267093177058</v>
      </c>
      <c r="K24">
        <f t="shared" si="1"/>
        <v>1.0692135713385471E-2</v>
      </c>
      <c r="M24">
        <v>-2</v>
      </c>
      <c r="N24">
        <f>Paq_E_1* EXP(-1*(dE0_E_1/ (1 + ((2/zMid_E_1) ^n_E_1)))/(0.00198717*298))</f>
        <v>0.64188903166236455</v>
      </c>
      <c r="O24">
        <f>Paq_E_2* EXP(-1*(dE0_E_2/ (1 + ((2/(-1*zMid_E_2)) ^n_E_2)))/(0.00198717*298))</f>
        <v>0.77300467535722617</v>
      </c>
    </row>
    <row r="25" spans="4:15" x14ac:dyDescent="0.25">
      <c r="D25" s="27">
        <v>12</v>
      </c>
      <c r="E25">
        <v>7.9151936274445065</v>
      </c>
      <c r="F25">
        <v>225.0124392487848</v>
      </c>
      <c r="G25">
        <v>0.82769999999999999</v>
      </c>
      <c r="H25">
        <f>Paq_E_1* EXP(-1*(dE0_E_1/ (1 + ((12/zMid_E_1) ^n_E_1)))/(0.00198717*298))</f>
        <v>0.83632954047871677</v>
      </c>
      <c r="I25">
        <f t="shared" si="0"/>
        <v>2.0290356494495108E-5</v>
      </c>
      <c r="J25">
        <f>Paq_E_2* EXP(-1*(dE0_E_2/ (1 + ((12/(-1*zMid_E_2)) ^n_E_2)))/(0.00198717*298))</f>
        <v>0.8751568814840871</v>
      </c>
      <c r="K25">
        <f t="shared" si="1"/>
        <v>5.862672798348195E-4</v>
      </c>
      <c r="M25">
        <v>-1</v>
      </c>
      <c r="N25">
        <f>Paq_E_1* EXP(-1*(dE0_E_1/ (1 + ((1/zMid_E_1) ^n_E_1)))/(0.00198717*298))</f>
        <v>0.64188741634518209</v>
      </c>
      <c r="O25">
        <f>Paq_E_2* EXP(-1*(dE0_E_2/ (1 + ((1/(-1*zMid_E_2)) ^n_E_2)))/(0.00198717*298))</f>
        <v>0.77299523298168882</v>
      </c>
    </row>
    <row r="26" spans="4:15" x14ac:dyDescent="0.25">
      <c r="D26" s="28">
        <v>13.5</v>
      </c>
      <c r="E26">
        <v>10.107650538208603</v>
      </c>
      <c r="F26">
        <v>218.45557134306293</v>
      </c>
      <c r="G26">
        <v>1.0887</v>
      </c>
      <c r="H26">
        <f>Paq_E_1* EXP(-1*(dE0_E_1/ (1 + ((13.5/zMid_E_1) ^n_E_1)))/(0.00198717*298))</f>
        <v>0.96976506454982891</v>
      </c>
      <c r="I26">
        <f t="shared" si="0"/>
        <v>2.5242272298725537E-3</v>
      </c>
      <c r="J26">
        <f>Paq_E_2* EXP(-1*(dE0_E_2/ (1 + ((13.5/(-1*zMid_E_2)) ^n_E_2)))/(0.00198717*298))</f>
        <v>0.95340465587407186</v>
      </c>
      <c r="K26">
        <f t="shared" si="1"/>
        <v>3.3213269145348613E-3</v>
      </c>
      <c r="M26">
        <v>0</v>
      </c>
      <c r="N26">
        <f>Paq_E_1* EXP(-1*(dE0_E_1/ (1 + ((0/zMid_E_1) ^n_E_1)))/(0.00198717*298))</f>
        <v>0.64188740044975645</v>
      </c>
      <c r="O26">
        <f>Paq_E_2* EXP(-1*(dE0_E_2/ (1 + ((0/(-1*zMid_E_2)) ^n_E_2)))/(0.00198717*298))</f>
        <v>0.772994968532844</v>
      </c>
    </row>
    <row r="27" spans="4:15" x14ac:dyDescent="0.25">
      <c r="D27" s="29">
        <v>15</v>
      </c>
      <c r="E27">
        <v>10.165627605400486</v>
      </c>
      <c r="F27">
        <v>224.03276726794545</v>
      </c>
      <c r="G27">
        <v>1.0677000000000001</v>
      </c>
      <c r="H27">
        <f>Paq_E_1* EXP(-1*(dE0_E_1/ (1 + ((15/zMid_E_1) ^n_E_1)))/(0.00198717*298))</f>
        <v>1.1018008455523738</v>
      </c>
      <c r="I27">
        <f t="shared" si="0"/>
        <v>1.8642785476415642E-4</v>
      </c>
      <c r="J27">
        <f>Paq_E_2* EXP(-1*(dE0_E_2/ (1 + ((15/(-1*zMid_E_2)) ^n_E_2)))/(0.00198717*298))</f>
        <v>1.0645118496836175</v>
      </c>
      <c r="K27">
        <f t="shared" si="1"/>
        <v>1.6867321973913804E-6</v>
      </c>
      <c r="M27">
        <v>1</v>
      </c>
      <c r="N27">
        <f>Paq_E_1* EXP(-1*(dE0_E_1/ (1 + ((1/zMid_E_1) ^n_E_1)))/(0.00198717*298))</f>
        <v>0.64188741634518209</v>
      </c>
      <c r="O27">
        <f>Paq_E_2* EXP(-1*(dE0_E_2/ (1 + ((1/(-1*zMid_E_2)) ^n_E_2)))/(0.00198717*298))</f>
        <v>0.77299523298168882</v>
      </c>
    </row>
    <row r="28" spans="4:15" x14ac:dyDescent="0.25">
      <c r="D28" s="30">
        <v>16.5</v>
      </c>
      <c r="E28">
        <v>10.525819823054807</v>
      </c>
      <c r="F28">
        <v>233.75708221892813</v>
      </c>
      <c r="G28">
        <v>1.0595000000000001</v>
      </c>
      <c r="H28">
        <f>Paq_E_1* EXP(-1*(dE0_E_1/ (1 + ((16.5/zMid_E_1) ^n_E_1)))/(0.00198717*298))</f>
        <v>1.2054012275085231</v>
      </c>
      <c r="I28">
        <f t="shared" si="0"/>
        <v>3.1394357951686326E-3</v>
      </c>
      <c r="J28">
        <f>Paq_E_2* EXP(-1*(dE0_E_2/ (1 + ((16.5/(-1*zMid_E_2)) ^n_E_2)))/(0.00198717*298))</f>
        <v>1.2067335949786742</v>
      </c>
      <c r="K28">
        <f t="shared" si="1"/>
        <v>3.1934301045829275E-3</v>
      </c>
      <c r="M28">
        <v>2</v>
      </c>
      <c r="N28">
        <f>Paq_E_1* EXP(-1*(dE0_E_1/ (1 + ((2/zMid_E_1) ^n_E_1)))/(0.00198717*298))</f>
        <v>0.64188903166236455</v>
      </c>
      <c r="O28">
        <f>Paq_E_2* EXP(-1*(dE0_E_2/ (1 + ((2/(-1*zMid_E_2)) ^n_E_2)))/(0.00198717*298))</f>
        <v>0.77300467535722617</v>
      </c>
    </row>
    <row r="29" spans="4:15" x14ac:dyDescent="0.25">
      <c r="D29" s="31">
        <v>18</v>
      </c>
      <c r="E29">
        <v>12.076554762046735</v>
      </c>
      <c r="F29">
        <v>221.14244125881021</v>
      </c>
      <c r="G29">
        <v>1.2849999999999999</v>
      </c>
      <c r="H29">
        <f>Paq_E_1* EXP(-1*(dE0_E_1/ (1 + ((18/zMid_E_1) ^n_E_1)))/(0.00198717*298))</f>
        <v>1.2755343857483417</v>
      </c>
      <c r="I29">
        <f t="shared" si="0"/>
        <v>1.031024414749226E-5</v>
      </c>
      <c r="J29">
        <f>Paq_E_2* EXP(-1*(dE0_E_2/ (1 + ((18/(-1*zMid_E_2)) ^n_E_2)))/(0.00198717*298))</f>
        <v>1.3706398452435733</v>
      </c>
      <c r="K29">
        <f t="shared" si="1"/>
        <v>7.851330187834541E-4</v>
      </c>
      <c r="M29">
        <v>3</v>
      </c>
      <c r="N29">
        <f>Paq_E_1* EXP(-1*(dE0_E_1/ (1 + ((3/zMid_E_1) ^n_E_1)))/(0.00198717*298))</f>
        <v>0.64191189096349144</v>
      </c>
      <c r="O29">
        <f>Paq_E_2* EXP(-1*(dE0_E_2/ (1 + ((3/(-1*zMid_E_2)) ^n_E_2)))/(0.00198717*298))</f>
        <v>0.77307483697563983</v>
      </c>
    </row>
    <row r="30" spans="4:15" x14ac:dyDescent="0.25">
      <c r="D30" s="32">
        <v>19.5</v>
      </c>
      <c r="E30">
        <v>13.242951330795231</v>
      </c>
      <c r="F30">
        <v>203.08284087537984</v>
      </c>
      <c r="G30">
        <v>1.5344</v>
      </c>
      <c r="H30">
        <f>Paq_E_1* EXP(-1*(dE0_E_1/ (1 + ((19.5/zMid_E_1) ^n_E_1)))/(0.00198717*298))</f>
        <v>1.319619439096642</v>
      </c>
      <c r="I30">
        <f t="shared" si="0"/>
        <v>4.2889250878279375E-3</v>
      </c>
      <c r="J30">
        <f>Paq_E_2* EXP(-1*(dE0_E_2/ (1 + ((19.5/(-1*zMid_E_2)) ^n_E_2)))/(0.00198717*298))</f>
        <v>1.5414735225177469</v>
      </c>
      <c r="K30">
        <f t="shared" si="1"/>
        <v>3.9899245077816265E-6</v>
      </c>
      <c r="M30">
        <v>4</v>
      </c>
      <c r="N30">
        <f>Paq_E_1* EXP(-1*(dE0_E_1/ (1 + ((4/zMid_E_1) ^n_E_1)))/(0.00198717*298))</f>
        <v>0.64205476411888285</v>
      </c>
      <c r="O30">
        <f>Paq_E_2* EXP(-1*(dE0_E_2/ (1 + ((4/(-1*zMid_E_2)) ^n_E_2)))/(0.00198717*298))</f>
        <v>0.77335120799052659</v>
      </c>
    </row>
    <row r="31" spans="4:15" x14ac:dyDescent="0.25">
      <c r="D31" s="33">
        <v>21</v>
      </c>
      <c r="E31">
        <v>12.097996538638666</v>
      </c>
      <c r="F31">
        <v>202.23586360890673</v>
      </c>
      <c r="G31">
        <v>1.4076</v>
      </c>
      <c r="H31">
        <f>Paq_E_1* EXP(-1*(dE0_E_1/ (1 + ((21/zMid_E_1) ^n_E_1)))/(0.00198717*298))</f>
        <v>1.3466108379837096</v>
      </c>
      <c r="I31">
        <f t="shared" si="0"/>
        <v>3.70068042730321E-4</v>
      </c>
      <c r="J31">
        <f>Paq_E_2* EXP(-1*(dE0_E_2/ (1 + ((21/(-1*zMid_E_2)) ^n_E_2)))/(0.00198717*298))</f>
        <v>1.7043907880066609</v>
      </c>
      <c r="K31">
        <f t="shared" si="1"/>
        <v>6.9039348173713638E-3</v>
      </c>
      <c r="M31">
        <v>5</v>
      </c>
      <c r="N31">
        <f>Paq_E_1* EXP(-1*(dE0_E_1/ (1 + ((5/zMid_E_1) ^n_E_1)))/(0.00198717*298))</f>
        <v>0.6426301248297146</v>
      </c>
      <c r="O31">
        <f>Paq_E_2* EXP(-1*(dE0_E_2/ (1 + ((5/(-1*zMid_E_2)) ^n_E_2)))/(0.00198717*298))</f>
        <v>0.7741307937035562</v>
      </c>
    </row>
    <row r="32" spans="4:15" x14ac:dyDescent="0.25">
      <c r="D32" s="34">
        <v>22.5</v>
      </c>
      <c r="E32">
        <v>9.6248211574837796</v>
      </c>
      <c r="F32">
        <v>185.59265872251723</v>
      </c>
      <c r="G32">
        <v>1.2202999999999999</v>
      </c>
      <c r="H32">
        <f>Paq_E_1* EXP(-1*(dE0_E_1/ (1 + ((22.5/zMid_E_1) ^n_E_1)))/(0.00198717*298))</f>
        <v>1.3631353610105004</v>
      </c>
      <c r="I32">
        <f t="shared" si="0"/>
        <v>2.3109530149221466E-3</v>
      </c>
      <c r="J32">
        <f>Paq_E_2* EXP(-1*(dE0_E_2/ (1 + ((22.5/(-1*zMid_E_2)) ^n_E_2)))/(0.00198717*298))</f>
        <v>1.8489472490683481</v>
      </c>
      <c r="K32">
        <f t="shared" si="1"/>
        <v>3.256505711307963E-2</v>
      </c>
      <c r="M32">
        <v>6</v>
      </c>
      <c r="N32">
        <f>Paq_E_1* EXP(-1*(dE0_E_1/ (1 + ((6/zMid_E_1) ^n_E_1)))/(0.00198717*298))</f>
        <v>0.64439297656053673</v>
      </c>
      <c r="O32">
        <f>Paq_E_2* EXP(-1*(dE0_E_2/ (1 + ((6/(-1*zMid_E_2)) ^n_E_2)))/(0.00198717*298))</f>
        <v>0.77592259059254798</v>
      </c>
    </row>
    <row r="33" spans="7:15" x14ac:dyDescent="0.25">
      <c r="M33">
        <v>7</v>
      </c>
      <c r="N33">
        <f>Paq_E_1* EXP(-1*(dE0_E_1/ (1 + ((7/zMid_E_1) ^n_E_1)))/(0.00198717*298))</f>
        <v>0.64886621699227653</v>
      </c>
      <c r="O33">
        <f>Paq_E_2* EXP(-1*(dE0_E_2/ (1 + ((7/(-1*zMid_E_2)) ^n_E_2)))/(0.00198717*298))</f>
        <v>0.77950743979328052</v>
      </c>
    </row>
    <row r="34" spans="7:15" x14ac:dyDescent="0.25">
      <c r="G34" t="s">
        <v>18</v>
      </c>
      <c r="H34" s="1" t="s">
        <v>20</v>
      </c>
      <c r="I34">
        <f>SQRT(AVERAGE(I$17:I$32))</f>
        <v>5.0822294252775117E-2</v>
      </c>
      <c r="M34">
        <v>8</v>
      </c>
      <c r="N34">
        <f>Paq_E_1* EXP(-1*(dE0_E_1/ (1 + ((8/zMid_E_1) ^n_E_1)))/(0.00198717*298))</f>
        <v>0.65870924933421804</v>
      </c>
      <c r="O34">
        <f>Paq_E_2* EXP(-1*(dE0_E_2/ (1 + ((8/(-1*zMid_E_2)) ^n_E_2)))/(0.00198717*298))</f>
        <v>0.78599104093167826</v>
      </c>
    </row>
    <row r="35" spans="7:15" x14ac:dyDescent="0.25">
      <c r="G35" t="s">
        <v>19</v>
      </c>
      <c r="J35" s="1" t="s">
        <v>20</v>
      </c>
      <c r="K35">
        <f>SQRT(AVERAGE(K$2:K$17))</f>
        <v>3.9439834324132429E-2</v>
      </c>
      <c r="M35">
        <v>9</v>
      </c>
      <c r="N35">
        <f>Paq_E_1* EXP(-1*(dE0_E_1/ (1 + ((9/zMid_E_1) ^n_E_1)))/(0.00198717*298))</f>
        <v>0.67793794646502936</v>
      </c>
      <c r="O35">
        <f>Paq_E_2* EXP(-1*(dE0_E_2/ (1 + ((9/(-1*zMid_E_2)) ^n_E_2)))/(0.00198717*298))</f>
        <v>0.79683915374396319</v>
      </c>
    </row>
    <row r="36" spans="7:15" x14ac:dyDescent="0.25">
      <c r="M36">
        <v>10</v>
      </c>
      <c r="N36">
        <f>Paq_E_1* EXP(-1*(dE0_E_1/ (1 + ((10/zMid_E_1) ^n_E_1)))/(0.00198717*298))</f>
        <v>0.71156009761013228</v>
      </c>
      <c r="O36">
        <f>Paq_E_2* EXP(-1*(dE0_E_2/ (1 + ((10/(-1*zMid_E_2)) ^n_E_2)))/(0.00198717*298))</f>
        <v>0.81387716505146745</v>
      </c>
    </row>
    <row r="37" spans="7:15" x14ac:dyDescent="0.25">
      <c r="M37">
        <v>11</v>
      </c>
      <c r="N37">
        <f>Paq_E_1* EXP(-1*(dE0_E_1/ (1 + ((11/zMid_E_1) ^n_E_1)))/(0.00198717*298))</f>
        <v>0.7640163988248847</v>
      </c>
      <c r="O37">
        <f>Paq_E_2* EXP(-1*(dE0_E_2/ (1 + ((11/(-1*zMid_E_2)) ^n_E_2)))/(0.00198717*298))</f>
        <v>0.83922809341698157</v>
      </c>
    </row>
    <row r="38" spans="7:15" x14ac:dyDescent="0.25">
      <c r="M38">
        <v>12</v>
      </c>
      <c r="N38">
        <f>Paq_E_1* EXP(-1*(dE0_E_1/ (1 + ((12/zMid_E_1) ^n_E_1)))/(0.00198717*298))</f>
        <v>0.83632954047871677</v>
      </c>
      <c r="O38">
        <f>Paq_E_2* EXP(-1*(dE0_E_2/ (1 + ((12/(-1*zMid_E_2)) ^n_E_2)))/(0.00198717*298))</f>
        <v>0.8751568814840871</v>
      </c>
    </row>
    <row r="39" spans="7:15" x14ac:dyDescent="0.25">
      <c r="M39">
        <v>13</v>
      </c>
      <c r="N39">
        <f>Paq_E_1* EXP(-1*(dE0_E_1/ (1 + ((13/zMid_E_1) ^n_E_1)))/(0.00198717*298))</f>
        <v>0.92359161870190642</v>
      </c>
      <c r="O39">
        <f>Paq_E_2* EXP(-1*(dE0_E_2/ (1 + ((13/(-1*zMid_E_2)) ^n_E_2)))/(0.00198717*298))</f>
        <v>0.92379202068879218</v>
      </c>
    </row>
    <row r="40" spans="7:15" x14ac:dyDescent="0.25">
      <c r="M40">
        <v>14</v>
      </c>
      <c r="N40">
        <f>Paq_E_1* EXP(-1*(dE0_E_1/ (1 + ((14/zMid_E_1) ^n_E_1)))/(0.00198717*298))</f>
        <v>1.0157006622405829</v>
      </c>
      <c r="O40">
        <f>Paq_E_2* EXP(-1*(dE0_E_2/ (1 + ((14/(-1*zMid_E_2)) ^n_E_2)))/(0.00198717*298))</f>
        <v>0.98672073240239344</v>
      </c>
    </row>
    <row r="41" spans="7:15" x14ac:dyDescent="0.25">
      <c r="M41">
        <v>15</v>
      </c>
      <c r="N41">
        <f>Paq_E_1* EXP(-1*(dE0_E_1/ (1 + ((15/zMid_E_1) ^n_E_1)))/(0.00198717*298))</f>
        <v>1.1018008455523738</v>
      </c>
      <c r="O41">
        <f>Paq_E_2* EXP(-1*(dE0_E_2/ (1 + ((15/(-1*zMid_E_2)) ^n_E_2)))/(0.00198717*298))</f>
        <v>1.0645118496836175</v>
      </c>
    </row>
    <row r="42" spans="7:15" x14ac:dyDescent="0.25">
      <c r="M42">
        <v>16</v>
      </c>
      <c r="N42">
        <f>Paq_E_1* EXP(-1*(dE0_E_1/ (1 + ((16/zMid_E_1) ^n_E_1)))/(0.00198717*298))</f>
        <v>1.174734742526194</v>
      </c>
      <c r="O42">
        <f>Paq_E_2* EXP(-1*(dE0_E_2/ (1 + ((16/(-1*zMid_E_2)) ^n_E_2)))/(0.00198717*298))</f>
        <v>1.1563007856540861</v>
      </c>
    </row>
    <row r="43" spans="7:15" x14ac:dyDescent="0.25">
      <c r="M43">
        <v>17</v>
      </c>
      <c r="N43">
        <f>Paq_E_1* EXP(-1*(dE0_E_1/ (1 + ((17/zMid_E_1) ^n_E_1)))/(0.00198717*298))</f>
        <v>1.2322506343415176</v>
      </c>
      <c r="O43">
        <f>Paq_E_2* EXP(-1*(dE0_E_2/ (1 + ((17/(-1*zMid_E_2)) ^n_E_2)))/(0.00198717*298))</f>
        <v>1.2596233116547078</v>
      </c>
    </row>
    <row r="44" spans="7:15" x14ac:dyDescent="0.25">
      <c r="M44">
        <v>18</v>
      </c>
      <c r="N44">
        <f>Paq_E_1* EXP(-1*(dE0_E_1/ (1 + ((18/zMid_E_1) ^n_E_1)))/(0.00198717*298))</f>
        <v>1.2755343857483417</v>
      </c>
      <c r="O44">
        <f>Paq_E_2* EXP(-1*(dE0_E_2/ (1 + ((18/(-1*zMid_E_2)) ^n_E_2)))/(0.00198717*298))</f>
        <v>1.3706398452435733</v>
      </c>
    </row>
    <row r="45" spans="7:15" x14ac:dyDescent="0.25">
      <c r="M45">
        <v>19</v>
      </c>
      <c r="N45">
        <f>Paq_E_1* EXP(-1*(dE0_E_1/ (1 + ((19/zMid_E_1) ^n_E_1)))/(0.00198717*298))</f>
        <v>1.3072304054581088</v>
      </c>
      <c r="O45">
        <f>Paq_E_2* EXP(-1*(dE0_E_2/ (1 + ((19/(-1*zMid_E_2)) ^n_E_2)))/(0.00198717*298))</f>
        <v>1.484734456816901</v>
      </c>
    </row>
    <row r="46" spans="7:15" x14ac:dyDescent="0.25">
      <c r="M46">
        <v>20</v>
      </c>
      <c r="N46">
        <f>Paq_E_1* EXP(-1*(dE0_E_1/ (1 + ((20/zMid_E_1) ^n_E_1)))/(0.00198717*298))</f>
        <v>1.3301318952992509</v>
      </c>
      <c r="O46">
        <f>Paq_E_2* EXP(-1*(dE0_E_2/ (1 + ((20/(-1*zMid_E_2)) ^n_E_2)))/(0.00198717*298))</f>
        <v>1.5972928230463055</v>
      </c>
    </row>
    <row r="47" spans="7:15" x14ac:dyDescent="0.25">
      <c r="M47">
        <v>21</v>
      </c>
      <c r="N47">
        <f>Paq_E_1* EXP(-1*(dE0_E_1/ (1 + ((21/zMid_E_1) ^n_E_1)))/(0.00198717*298))</f>
        <v>1.3466108379837096</v>
      </c>
      <c r="O47">
        <f>Paq_E_2* EXP(-1*(dE0_E_2/ (1 + ((21/(-1*zMid_E_2)) ^n_E_2)))/(0.00198717*298))</f>
        <v>1.7043907880066609</v>
      </c>
    </row>
    <row r="48" spans="7:15" x14ac:dyDescent="0.25">
      <c r="M48">
        <v>22</v>
      </c>
      <c r="N48">
        <f>Paq_E_1* EXP(-1*(dE0_E_1/ (1 + ((22/zMid_E_1) ^n_E_1)))/(0.00198717*298))</f>
        <v>1.3584893164293992</v>
      </c>
      <c r="O48">
        <f>Paq_E_2* EXP(-1*(dE0_E_2/ (1 + ((22/(-1*zMid_E_2)) ^n_E_2)))/(0.00198717*298))</f>
        <v>1.8032030589448511</v>
      </c>
    </row>
    <row r="49" spans="13:15" x14ac:dyDescent="0.25">
      <c r="M49">
        <v>23</v>
      </c>
      <c r="N49">
        <f>Paq_E_1* EXP(-1*(dE0_E_1/ (1 + ((23/zMid_E_1) ^n_E_1)))/(0.00198717*298))</f>
        <v>1.3670975765287441</v>
      </c>
      <c r="O49">
        <f>Paq_E_2* EXP(-1*(dE0_E_2/ (1 + ((23/(-1*zMid_E_2)) ^n_E_2)))/(0.00198717*298))</f>
        <v>1.8920934861369934</v>
      </c>
    </row>
    <row r="50" spans="13:15" x14ac:dyDescent="0.25">
      <c r="M50">
        <v>24</v>
      </c>
      <c r="N50">
        <f>Paq_E_1* EXP(-1*(dE0_E_1/ (1 + ((24/zMid_E_1) ^n_E_1)))/(0.00198717*298))</f>
        <v>1.3733823961011362</v>
      </c>
      <c r="O50">
        <f>Paq_E_2* EXP(-1*(dE0_E_2/ (1 + ((24/(-1*zMid_E_2)) ^n_E_2)))/(0.00198717*298))</f>
        <v>1.9704682306664385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50"/>
  <sheetViews>
    <sheetView topLeftCell="A46" workbookViewId="0"/>
  </sheetViews>
  <sheetFormatPr defaultRowHeight="15" x14ac:dyDescent="0.25"/>
  <cols>
    <col min="1" max="1" width="6" bestFit="1" customWidth="1"/>
    <col min="2" max="2" width="12.7109375" bestFit="1" customWidth="1"/>
    <col min="4" max="4" width="10.42578125" bestFit="1" customWidth="1"/>
    <col min="5" max="6" width="12" bestFit="1" customWidth="1"/>
    <col min="7" max="7" width="16.140625" bestFit="1" customWidth="1"/>
    <col min="8" max="11" width="12" bestFit="1" customWidth="1"/>
    <col min="13" max="13" width="3.7109375" bestFit="1" customWidth="1"/>
    <col min="14" max="15" width="12" bestFit="1" customWidth="1"/>
  </cols>
  <sheetData>
    <row r="1" spans="1:15" ht="18" x14ac:dyDescent="0.35">
      <c r="A1" s="1" t="s">
        <v>0</v>
      </c>
      <c r="B1">
        <v>4425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M1" s="1" t="s">
        <v>21</v>
      </c>
      <c r="N1" s="1" t="s">
        <v>22</v>
      </c>
      <c r="O1" s="1" t="s">
        <v>23</v>
      </c>
    </row>
    <row r="2" spans="1:15" ht="18" x14ac:dyDescent="0.35">
      <c r="A2" s="1" t="s">
        <v>1</v>
      </c>
      <c r="B2">
        <v>198.47620793111344</v>
      </c>
      <c r="D2" s="4">
        <v>-22.5</v>
      </c>
      <c r="E2">
        <v>1.8144277021621276</v>
      </c>
      <c r="F2">
        <v>37.146305786227806</v>
      </c>
      <c r="G2">
        <v>1.089</v>
      </c>
      <c r="H2">
        <f>Paq_K_1* EXP(-1*(dE0_K_1/ (1 + ((22.5/zMid_K_1) ^n_K_1)))/(0.00198717*298))</f>
        <v>1.9865066383229584</v>
      </c>
      <c r="I2">
        <f t="shared" ref="I2:I32" si="0">IF(ISERROR((LOG(H2)-LOG(G2))^2),0,(LOG(H2)-LOG(G2))^2)</f>
        <v>6.8153441423249361E-2</v>
      </c>
      <c r="J2">
        <f>Paq_K_2* EXP(-1*(dE0_K_2/ (1 + ((22.5/(-1*zMid_K_2)) ^n_K_2)))/(0.00198717*298))</f>
        <v>1.2090892791663754</v>
      </c>
      <c r="K2">
        <f t="shared" ref="K2:K32" si="1">IF(ISERROR((LOG(J2)-LOG(G2))^2),0,(LOG(J2)-LOG(G2))^2)</f>
        <v>2.0639294760286162E-3</v>
      </c>
      <c r="M2">
        <v>-24</v>
      </c>
      <c r="N2">
        <f>Paq_K_1* EXP(-1*(dE0_K_1/ (1 + ((24/zMid_K_1) ^n_K_1)))/(0.00198717*298))</f>
        <v>2.1206286751568788</v>
      </c>
      <c r="O2">
        <f>Paq_K_2* EXP(-1*(dE0_K_2/ (1 + ((24/(-1*zMid_K_2)) ^n_K_2)))/(0.00198717*298))</f>
        <v>1.2168168822559131</v>
      </c>
    </row>
    <row r="3" spans="1:15" x14ac:dyDescent="0.25">
      <c r="D3" s="5">
        <v>-21</v>
      </c>
      <c r="E3">
        <v>2.6718159908537809</v>
      </c>
      <c r="F3">
        <v>53.383067205069459</v>
      </c>
      <c r="G3">
        <v>1.1158999999999999</v>
      </c>
      <c r="H3">
        <f>Paq_K_1* EXP(-1*(dE0_K_1/ (1 + ((21/zMid_K_1) ^n_K_1)))/(0.00198717*298))</f>
        <v>1.8353342893508349</v>
      </c>
      <c r="I3">
        <f t="shared" si="0"/>
        <v>4.6694845304680224E-2</v>
      </c>
      <c r="J3">
        <f>Paq_K_2* EXP(-1*(dE0_K_2/ (1 + ((21/(-1*zMid_K_2)) ^n_K_2)))/(0.00198717*298))</f>
        <v>1.1989131673427327</v>
      </c>
      <c r="K3">
        <f t="shared" si="1"/>
        <v>9.7109843843165686E-4</v>
      </c>
      <c r="M3">
        <v>-23</v>
      </c>
      <c r="N3">
        <f>Paq_K_1* EXP(-1*(dE0_K_1/ (1 + ((23/zMid_K_1) ^n_K_1)))/(0.00198717*298))</f>
        <v>2.0331285716680538</v>
      </c>
      <c r="O3">
        <f>Paq_K_2* EXP(-1*(dE0_K_2/ (1 + ((23/(-1*zMid_K_2)) ^n_K_2)))/(0.00198717*298))</f>
        <v>1.2118992916382316</v>
      </c>
    </row>
    <row r="4" spans="1:15" ht="18" x14ac:dyDescent="0.35">
      <c r="A4" s="2" t="s">
        <v>2</v>
      </c>
      <c r="B4">
        <v>3</v>
      </c>
      <c r="D4" s="6">
        <v>-19.5</v>
      </c>
      <c r="E4">
        <v>4.6929346267445444</v>
      </c>
      <c r="F4">
        <v>104.67349192897072</v>
      </c>
      <c r="G4">
        <v>0.99960000000000004</v>
      </c>
      <c r="H4">
        <f>Paq_K_1* EXP(-1*(dE0_K_1/ (1 + ((19.5/zMid_K_1) ^n_K_1)))/(0.00198717*298))</f>
        <v>1.6685605714885607</v>
      </c>
      <c r="I4">
        <f t="shared" si="0"/>
        <v>4.9513249841708712E-2</v>
      </c>
      <c r="J4">
        <f>Paq_K_2* EXP(-1*(dE0_K_2/ (1 + ((19.5/(-1*zMid_K_2)) ^n_K_2)))/(0.00198717*298))</f>
        <v>1.1853289585094937</v>
      </c>
      <c r="K4">
        <f t="shared" si="1"/>
        <v>5.4778719497987271E-3</v>
      </c>
      <c r="M4">
        <v>-22</v>
      </c>
      <c r="N4">
        <f>Paq_K_1* EXP(-1*(dE0_K_1/ (1 + ((22/zMid_K_1) ^n_K_1)))/(0.00198717*298))</f>
        <v>1.9379773671127145</v>
      </c>
      <c r="O4">
        <f>Paq_K_2* EXP(-1*(dE0_K_2/ (1 + ((22/(-1*zMid_K_2)) ^n_K_2)))/(0.00198717*298))</f>
        <v>1.206009571532511</v>
      </c>
    </row>
    <row r="5" spans="1:15" ht="18" x14ac:dyDescent="0.35">
      <c r="A5" s="2" t="s">
        <v>3</v>
      </c>
      <c r="B5">
        <v>1.1169406401828488</v>
      </c>
      <c r="D5" s="7">
        <v>-18</v>
      </c>
      <c r="E5">
        <v>9.3185832168188849</v>
      </c>
      <c r="F5">
        <v>171.11905245556184</v>
      </c>
      <c r="G5">
        <v>1.2141</v>
      </c>
      <c r="H5">
        <f>Paq_K_1* EXP(-1*(dE0_K_1/ (1 + ((18/zMid_K_1) ^n_K_1)))/(0.00198717*298))</f>
        <v>1.4898297225071517</v>
      </c>
      <c r="I5">
        <f t="shared" si="0"/>
        <v>7.9000410693757916E-3</v>
      </c>
      <c r="J5">
        <f>Paq_K_2* EXP(-1*(dE0_K_2/ (1 + ((18/(-1*zMid_K_2)) ^n_K_2)))/(0.00198717*298))</f>
        <v>1.1669492758600726</v>
      </c>
      <c r="K5">
        <f t="shared" si="1"/>
        <v>2.9592532731018259E-4</v>
      </c>
      <c r="M5">
        <v>-21</v>
      </c>
      <c r="N5">
        <f>Paq_K_1* EXP(-1*(dE0_K_1/ (1 + ((21/zMid_K_1) ^n_K_1)))/(0.00198717*298))</f>
        <v>1.8353342893508349</v>
      </c>
      <c r="O5">
        <f>Paq_K_2* EXP(-1*(dE0_K_2/ (1 + ((21/(-1*zMid_K_2)) ^n_K_2)))/(0.00198717*298))</f>
        <v>1.1989131673427327</v>
      </c>
    </row>
    <row r="6" spans="1:15" ht="18" x14ac:dyDescent="0.35">
      <c r="A6" s="2" t="s">
        <v>4</v>
      </c>
      <c r="B6">
        <v>15.374437212055485</v>
      </c>
      <c r="D6" s="8">
        <v>-16.5</v>
      </c>
      <c r="E6">
        <v>14.206344190872327</v>
      </c>
      <c r="F6">
        <v>239.24085021505925</v>
      </c>
      <c r="G6">
        <v>1.3239000000000001</v>
      </c>
      <c r="H6">
        <f>Paq_K_1* EXP(-1*(dE0_K_1/ (1 + ((16.5/zMid_K_1) ^n_K_1)))/(0.00198717*298))</f>
        <v>1.3053660658126072</v>
      </c>
      <c r="I6">
        <f t="shared" si="0"/>
        <v>3.7489457969751504E-5</v>
      </c>
      <c r="J6">
        <f>Paq_K_2* EXP(-1*(dE0_K_2/ (1 + ((16.5/(-1*zMid_K_2)) ^n_K_2)))/(0.00198717*298))</f>
        <v>1.141774399728545</v>
      </c>
      <c r="K6">
        <f t="shared" si="1"/>
        <v>4.1312603162403016E-3</v>
      </c>
      <c r="M6">
        <v>-20</v>
      </c>
      <c r="N6">
        <f>Paq_K_1* EXP(-1*(dE0_K_1/ (1 + ((20/zMid_K_1) ^n_K_1)))/(0.00198717*298))</f>
        <v>1.7257115659313573</v>
      </c>
      <c r="O6">
        <f>Paq_K_2* EXP(-1*(dE0_K_2/ (1 + ((20/(-1*zMid_K_2)) ^n_K_2)))/(0.00198717*298))</f>
        <v>1.1903107284425798</v>
      </c>
    </row>
    <row r="7" spans="1:15" x14ac:dyDescent="0.25">
      <c r="A7" s="2" t="s">
        <v>5</v>
      </c>
      <c r="B7">
        <v>3.3457512244774095</v>
      </c>
      <c r="D7" s="9">
        <v>-15</v>
      </c>
      <c r="E7">
        <v>17.634636040840519</v>
      </c>
      <c r="F7">
        <v>301.1099037843893</v>
      </c>
      <c r="G7">
        <v>1.3057000000000001</v>
      </c>
      <c r="H7">
        <f>Paq_K_1* EXP(-1*(dE0_K_1/ (1 + ((15/zMid_K_1) ^n_K_1)))/(0.00198717*298))</f>
        <v>1.1237316982295107</v>
      </c>
      <c r="I7">
        <f t="shared" si="0"/>
        <v>4.248533103063501E-3</v>
      </c>
      <c r="J7">
        <f>Paq_K_2* EXP(-1*(dE0_K_2/ (1 + ((15/(-1*zMid_K_2)) ^n_K_2)))/(0.00198717*298))</f>
        <v>1.1069772932938768</v>
      </c>
      <c r="K7">
        <f t="shared" si="1"/>
        <v>5.1415627893223129E-3</v>
      </c>
      <c r="M7">
        <v>-19</v>
      </c>
      <c r="N7">
        <f>Paq_K_1* EXP(-1*(dE0_K_1/ (1 + ((19/zMid_K_1) ^n_K_1)))/(0.00198717*298))</f>
        <v>1.6100590969857334</v>
      </c>
      <c r="O7">
        <f>Paq_K_2* EXP(-1*(dE0_K_2/ (1 + ((19/(-1*zMid_K_2)) ^n_K_2)))/(0.00198717*298))</f>
        <v>1.1798193530310634</v>
      </c>
    </row>
    <row r="8" spans="1:15" x14ac:dyDescent="0.25">
      <c r="D8" s="10">
        <v>-13.5</v>
      </c>
      <c r="E8">
        <v>18.217312302975287</v>
      </c>
      <c r="F8">
        <v>325.144691447757</v>
      </c>
      <c r="G8">
        <v>1.2491000000000001</v>
      </c>
      <c r="H8">
        <f>Paq_K_1* EXP(-1*(dE0_K_1/ (1 + ((13.5/zMid_K_1) ^n_K_1)))/(0.00198717*298))</f>
        <v>0.95464547809868372</v>
      </c>
      <c r="I8">
        <f t="shared" si="0"/>
        <v>1.3631750713305987E-2</v>
      </c>
      <c r="J8">
        <f>Paq_K_2* EXP(-1*(dE0_K_2/ (1 + ((13.5/(-1*zMid_K_2)) ^n_K_2)))/(0.00198717*298))</f>
        <v>1.0587658844767791</v>
      </c>
      <c r="K8">
        <f t="shared" si="1"/>
        <v>5.1548478828380975E-3</v>
      </c>
      <c r="M8">
        <v>-18</v>
      </c>
      <c r="N8">
        <f>Paq_K_1* EXP(-1*(dE0_K_1/ (1 + ((18/zMid_K_1) ^n_K_1)))/(0.00198717*298))</f>
        <v>1.4898297225071517</v>
      </c>
      <c r="O8">
        <f>Paq_K_2* EXP(-1*(dE0_K_2/ (1 + ((18/(-1*zMid_K_2)) ^n_K_2)))/(0.00198717*298))</f>
        <v>1.1669492758600726</v>
      </c>
    </row>
    <row r="9" spans="1:15" ht="18" x14ac:dyDescent="0.35">
      <c r="A9" s="3" t="s">
        <v>6</v>
      </c>
      <c r="B9">
        <v>1.2493206360963138</v>
      </c>
      <c r="D9" s="11">
        <v>-12</v>
      </c>
      <c r="E9">
        <v>15.33864546910846</v>
      </c>
      <c r="F9">
        <v>335.09215104301728</v>
      </c>
      <c r="G9">
        <v>1.0205</v>
      </c>
      <c r="H9">
        <f>Paq_K_1* EXP(-1*(dE0_K_1/ (1 + ((12/zMid_K_1) ^n_K_1)))/(0.00198717*298))</f>
        <v>0.80697978688372329</v>
      </c>
      <c r="I9">
        <f t="shared" si="0"/>
        <v>1.0393874342438629E-2</v>
      </c>
      <c r="J9">
        <f>Paq_K_2* EXP(-1*(dE0_K_2/ (1 + ((12/(-1*zMid_K_2)) ^n_K_2)))/(0.00198717*298))</f>
        <v>0.99266603668152309</v>
      </c>
      <c r="K9">
        <f t="shared" si="1"/>
        <v>1.4423640036649457E-4</v>
      </c>
      <c r="M9">
        <v>-17</v>
      </c>
      <c r="N9">
        <f>Paq_K_1* EXP(-1*(dE0_K_1/ (1 + ((17/zMid_K_1) ^n_K_1)))/(0.00198717*298))</f>
        <v>1.3670018765317189</v>
      </c>
      <c r="O9">
        <f>Paq_K_2* EXP(-1*(dE0_K_2/ (1 + ((17/(-1*zMid_K_2)) ^n_K_2)))/(0.00198717*298))</f>
        <v>1.1510762443116735</v>
      </c>
    </row>
    <row r="10" spans="1:15" ht="18" x14ac:dyDescent="0.35">
      <c r="A10" s="3" t="s">
        <v>7</v>
      </c>
      <c r="B10">
        <v>0.60845401909070251</v>
      </c>
      <c r="D10" s="12">
        <v>-10.5</v>
      </c>
      <c r="E10">
        <v>11.80203781770458</v>
      </c>
      <c r="F10">
        <v>329.71261028763035</v>
      </c>
      <c r="G10">
        <v>0.79800000000000004</v>
      </c>
      <c r="H10">
        <f>Paq_K_1* EXP(-1*(dE0_K_1/ (1 + ((10.5/zMid_K_1) ^n_K_1)))/(0.00198717*298))</f>
        <v>0.68668717980089411</v>
      </c>
      <c r="I10">
        <f t="shared" si="0"/>
        <v>4.256773272625281E-3</v>
      </c>
      <c r="J10">
        <f>Paq_K_2* EXP(-1*(dE0_K_2/ (1 + ((10.5/(-1*zMid_K_2)) ^n_K_2)))/(0.00198717*298))</f>
        <v>0.90501964583406969</v>
      </c>
      <c r="K10">
        <f t="shared" si="1"/>
        <v>2.9871816461538533E-3</v>
      </c>
      <c r="M10">
        <v>-16</v>
      </c>
      <c r="N10">
        <f>Paq_K_1* EXP(-1*(dE0_K_1/ (1 + ((16/zMid_K_1) ^n_K_1)))/(0.00198717*298))</f>
        <v>1.244034094197727</v>
      </c>
      <c r="O10">
        <f>Paq_K_2* EXP(-1*(dE0_K_2/ (1 + ((16/(-1*zMid_K_2)) ^n_K_2)))/(0.00198717*298))</f>
        <v>1.1314117292683865</v>
      </c>
    </row>
    <row r="11" spans="1:15" ht="18" x14ac:dyDescent="0.35">
      <c r="A11" s="3" t="s">
        <v>8</v>
      </c>
      <c r="B11">
        <v>-8.3707532817701242</v>
      </c>
      <c r="D11" s="13">
        <v>-9</v>
      </c>
      <c r="E11">
        <v>8.8647415949309121</v>
      </c>
      <c r="F11">
        <v>284.46716551243782</v>
      </c>
      <c r="G11">
        <v>0.69479999999999997</v>
      </c>
      <c r="H11">
        <f>Paq_K_1* EXP(-1*(dE0_K_1/ (1 + ((9/zMid_K_1) ^n_K_1)))/(0.00198717*298))</f>
        <v>0.5956763583006337</v>
      </c>
      <c r="I11">
        <f t="shared" si="0"/>
        <v>4.4688484271961319E-3</v>
      </c>
      <c r="J11">
        <f>Paq_K_2* EXP(-1*(dE0_K_2/ (1 + ((9/(-1*zMid_K_2)) ^n_K_2)))/(0.00198717*298))</f>
        <v>0.79676916078219118</v>
      </c>
      <c r="K11">
        <f t="shared" si="1"/>
        <v>3.5370028127478894E-3</v>
      </c>
      <c r="M11">
        <v>-15</v>
      </c>
      <c r="N11">
        <f>Paq_K_1* EXP(-1*(dE0_K_1/ (1 + ((15/zMid_K_1) ^n_K_1)))/(0.00198717*298))</f>
        <v>1.1237316982295107</v>
      </c>
      <c r="O11">
        <f>Paq_K_2* EXP(-1*(dE0_K_2/ (1 + ((15/(-1*zMid_K_2)) ^n_K_2)))/(0.00198717*298))</f>
        <v>1.1069772932938768</v>
      </c>
    </row>
    <row r="12" spans="1:15" x14ac:dyDescent="0.25">
      <c r="A12" s="3" t="s">
        <v>9</v>
      </c>
      <c r="B12">
        <v>3.4528990189708662</v>
      </c>
      <c r="D12" s="14">
        <v>-7.5</v>
      </c>
      <c r="E12">
        <v>6.9700543576743552</v>
      </c>
      <c r="F12">
        <v>233.0137027127592</v>
      </c>
      <c r="G12">
        <v>0.66690000000000005</v>
      </c>
      <c r="H12">
        <f>Paq_K_1* EXP(-1*(dE0_K_1/ (1 + ((7.5/zMid_K_1) ^n_K_1)))/(0.00198717*298))</f>
        <v>0.53211243665931973</v>
      </c>
      <c r="I12">
        <f t="shared" si="0"/>
        <v>9.6152356405689449E-3</v>
      </c>
      <c r="J12">
        <f>Paq_K_2* EXP(-1*(dE0_K_2/ (1 + ((7.5/(-1*zMid_K_2)) ^n_K_2)))/(0.00198717*298))</f>
        <v>0.67880857715973619</v>
      </c>
      <c r="K12">
        <f t="shared" si="1"/>
        <v>5.9083878545436538E-5</v>
      </c>
      <c r="M12">
        <v>-14</v>
      </c>
      <c r="N12">
        <f>Paq_K_1* EXP(-1*(dE0_K_1/ (1 + ((14/zMid_K_1) ^n_K_1)))/(0.00198717*298))</f>
        <v>1.0090233607198791</v>
      </c>
      <c r="O12">
        <f>Paq_K_2* EXP(-1*(dE0_K_2/ (1 + ((14/(-1*zMid_K_2)) ^n_K_2)))/(0.00198717*298))</f>
        <v>1.0765977284428343</v>
      </c>
    </row>
    <row r="13" spans="1:15" x14ac:dyDescent="0.25">
      <c r="D13" s="15">
        <v>-6</v>
      </c>
      <c r="E13">
        <v>6.1631449523353847</v>
      </c>
      <c r="F13">
        <v>229.72199232624777</v>
      </c>
      <c r="G13">
        <v>0.59809999999999997</v>
      </c>
      <c r="H13">
        <f>Paq_K_1* EXP(-1*(dE0_K_1/ (1 + ((6/zMid_K_1) ^n_K_1)))/(0.00198717*298))</f>
        <v>0.49168928641733534</v>
      </c>
      <c r="I13">
        <f t="shared" si="0"/>
        <v>7.2391265896364285E-3</v>
      </c>
      <c r="J13">
        <f>Paq_K_2* EXP(-1*(dE0_K_2/ (1 + ((6/(-1*zMid_K_2)) ^n_K_2)))/(0.00198717*298))</f>
        <v>0.57249963517951108</v>
      </c>
      <c r="K13">
        <f t="shared" si="1"/>
        <v>3.6094635171353548E-4</v>
      </c>
      <c r="M13">
        <v>-13</v>
      </c>
      <c r="N13">
        <f>Paq_K_1* EXP(-1*(dE0_K_1/ (1 + ((13/zMid_K_1) ^n_K_1)))/(0.00198717*298))</f>
        <v>0.90267280620488766</v>
      </c>
      <c r="O13">
        <f>Paq_K_2* EXP(-1*(dE0_K_2/ (1 + ((13/(-1*zMid_K_2)) ^n_K_2)))/(0.00198717*298))</f>
        <v>1.0389423395719228</v>
      </c>
    </row>
    <row r="14" spans="1:15" x14ac:dyDescent="0.25">
      <c r="D14" s="16">
        <v>-4.5</v>
      </c>
      <c r="E14">
        <v>5.9282588276974897</v>
      </c>
      <c r="F14">
        <v>238.06457551464311</v>
      </c>
      <c r="G14">
        <v>0.55520000000000003</v>
      </c>
      <c r="H14">
        <f>Paq_K_1* EXP(-1*(dE0_K_1/ (1 + ((4.5/zMid_K_1) ^n_K_1)))/(0.00198717*298))</f>
        <v>0.46901461713077391</v>
      </c>
      <c r="I14">
        <f t="shared" si="0"/>
        <v>5.367478812624912E-3</v>
      </c>
      <c r="J14">
        <f>Paq_K_2* EXP(-1*(dE0_K_2/ (1 + ((4.5/(-1*zMid_K_2)) ^n_K_2)))/(0.00198717*298))</f>
        <v>0.49806535614628183</v>
      </c>
      <c r="K14">
        <f t="shared" si="1"/>
        <v>2.2243601538429877E-3</v>
      </c>
      <c r="M14">
        <v>-12</v>
      </c>
      <c r="N14">
        <f>Paq_K_1* EXP(-1*(dE0_K_1/ (1 + ((12/zMid_K_1) ^n_K_1)))/(0.00198717*298))</f>
        <v>0.80697978688372329</v>
      </c>
      <c r="O14">
        <f>Paq_K_2* EXP(-1*(dE0_K_2/ (1 + ((12/(-1*zMid_K_2)) ^n_K_2)))/(0.00198717*298))</f>
        <v>0.99266603668152309</v>
      </c>
    </row>
    <row r="15" spans="1:15" x14ac:dyDescent="0.25">
      <c r="D15" s="17">
        <v>-3</v>
      </c>
      <c r="E15">
        <v>4.7907745090612943</v>
      </c>
      <c r="F15">
        <v>209.69845561618712</v>
      </c>
      <c r="G15">
        <v>0.50929999999999997</v>
      </c>
      <c r="H15">
        <f>Paq_K_1* EXP(-1*(dE0_K_1/ (1 + ((3/zMid_K_1) ^n_K_1)))/(0.00198717*298))</f>
        <v>0.45858132055087364</v>
      </c>
      <c r="I15">
        <f t="shared" si="0"/>
        <v>2.0754690039792912E-3</v>
      </c>
      <c r="J15">
        <f>Paq_K_2* EXP(-1*(dE0_K_2/ (1 + ((3/(-1*zMid_K_2)) ^n_K_2)))/(0.00198717*298))</f>
        <v>0.4602409702918957</v>
      </c>
      <c r="K15">
        <f t="shared" si="1"/>
        <v>1.9349792964599912E-3</v>
      </c>
      <c r="M15">
        <v>-11</v>
      </c>
      <c r="N15">
        <f>Paq_K_1* EXP(-1*(dE0_K_1/ (1 + ((11/zMid_K_1) ^n_K_1)))/(0.00198717*298))</f>
        <v>0.72353968772740129</v>
      </c>
      <c r="O15">
        <f>Paq_K_2* EXP(-1*(dE0_K_2/ (1 + ((11/(-1*zMid_K_2)) ^n_K_2)))/(0.00198717*298))</f>
        <v>0.93672515024360858</v>
      </c>
    </row>
    <row r="16" spans="1:15" x14ac:dyDescent="0.25">
      <c r="D16" s="18">
        <v>-1.5</v>
      </c>
      <c r="E16">
        <v>3.5888437319084781</v>
      </c>
      <c r="F16">
        <v>193.12505159558162</v>
      </c>
      <c r="G16">
        <v>0.4143</v>
      </c>
      <c r="H16">
        <f>Paq_K_1* EXP(-1*(dE0_K_1/ (1 + ((1.5/zMid_K_1) ^n_K_1)))/(0.00198717*298))</f>
        <v>0.45531499384965779</v>
      </c>
      <c r="I16">
        <f t="shared" si="0"/>
        <v>1.68075555659526E-3</v>
      </c>
      <c r="J16">
        <f>Paq_K_2* EXP(-1*(dE0_K_2/ (1 + ((1.5/(-1*zMid_K_2)) ^n_K_2)))/(0.00198717*298))</f>
        <v>0.44835017860346615</v>
      </c>
      <c r="K16">
        <f t="shared" si="1"/>
        <v>1.1766555925738409E-3</v>
      </c>
      <c r="M16">
        <v>-10</v>
      </c>
      <c r="N16">
        <f>Paq_K_1* EXP(-1*(dE0_K_1/ (1 + ((10/zMid_K_1) ^n_K_1)))/(0.00198717*298))</f>
        <v>0.65312012776392603</v>
      </c>
      <c r="O16">
        <f>Paq_K_2* EXP(-1*(dE0_K_2/ (1 + ((10/(-1*zMid_K_2)) ^n_K_2)))/(0.00198717*298))</f>
        <v>0.87093876056531438</v>
      </c>
    </row>
    <row r="17" spans="4:15" x14ac:dyDescent="0.25">
      <c r="D17" s="19">
        <v>0</v>
      </c>
      <c r="E17">
        <v>3.6056104305622103</v>
      </c>
      <c r="F17">
        <v>197.31337553026106</v>
      </c>
      <c r="G17">
        <v>0.40739999999999998</v>
      </c>
      <c r="H17">
        <f>Paq_K_1* EXP(-1*(dE0_K_1/ (1 + ((0/zMid_K_1) ^n_K_1)))/(0.00198717*298))</f>
        <v>0.45495857312526389</v>
      </c>
      <c r="I17">
        <f t="shared" si="0"/>
        <v>2.2992819553341345E-3</v>
      </c>
      <c r="J17">
        <f>Paq_K_2* EXP(-1*(dE0_K_2/ (1 + ((0/(-1*zMid_K_2)) ^n_K_2)))/(0.00198717*298))</f>
        <v>0.44713826076175617</v>
      </c>
      <c r="K17">
        <f t="shared" si="1"/>
        <v>1.6338417628807282E-3</v>
      </c>
      <c r="M17">
        <v>-9</v>
      </c>
      <c r="N17">
        <f>Paq_K_1* EXP(-1*(dE0_K_1/ (1 + ((9/zMid_K_1) ^n_K_1)))/(0.00198717*298))</f>
        <v>0.5956763583006337</v>
      </c>
      <c r="O17">
        <f>Paq_K_2* EXP(-1*(dE0_K_2/ (1 + ((9/(-1*zMid_K_2)) ^n_K_2)))/(0.00198717*298))</f>
        <v>0.79676916078219118</v>
      </c>
    </row>
    <row r="18" spans="4:15" x14ac:dyDescent="0.25">
      <c r="D18" s="20">
        <v>1.5</v>
      </c>
      <c r="E18">
        <v>3.722226707485226</v>
      </c>
      <c r="F18">
        <v>211.87289009819162</v>
      </c>
      <c r="G18">
        <v>0.39169999999999999</v>
      </c>
      <c r="H18">
        <f>Paq_K_1* EXP(-1*(dE0_K_1/ (1 + ((1.5/zMid_K_1) ^n_K_1)))/(0.00198717*298))</f>
        <v>0.45531499384965779</v>
      </c>
      <c r="I18">
        <f t="shared" si="0"/>
        <v>4.2717179179115909E-3</v>
      </c>
      <c r="J18">
        <f>Paq_K_2* EXP(-1*(dE0_K_2/ (1 + ((1.5/(-1*zMid_K_2)) ^n_K_2)))/(0.00198717*298))</f>
        <v>0.44835017860346615</v>
      </c>
      <c r="K18">
        <f t="shared" si="1"/>
        <v>3.4414385619462619E-3</v>
      </c>
      <c r="M18">
        <v>-8</v>
      </c>
      <c r="N18">
        <f>Paq_K_1* EXP(-1*(dE0_K_1/ (1 + ((8/zMid_K_1) ^n_K_1)))/(0.00198717*298))</f>
        <v>0.55048215825108715</v>
      </c>
      <c r="O18">
        <f>Paq_K_2* EXP(-1*(dE0_K_2/ (1 + ((8/(-1*zMid_K_2)) ^n_K_2)))/(0.00198717*298))</f>
        <v>0.71803063367680831</v>
      </c>
    </row>
    <row r="19" spans="4:15" x14ac:dyDescent="0.25">
      <c r="D19" s="21">
        <v>3</v>
      </c>
      <c r="E19">
        <v>4.5148854253165025</v>
      </c>
      <c r="F19">
        <v>212.60048258233337</v>
      </c>
      <c r="G19">
        <v>0.47349999999999998</v>
      </c>
      <c r="H19">
        <f>Paq_K_1* EXP(-1*(dE0_K_1/ (1 + ((3/zMid_K_1) ^n_K_1)))/(0.00198717*298))</f>
        <v>0.45858132055087364</v>
      </c>
      <c r="I19">
        <f t="shared" si="0"/>
        <v>1.9331072572574315E-4</v>
      </c>
      <c r="J19">
        <f>Paq_K_2* EXP(-1*(dE0_K_2/ (1 + ((3/(-1*zMid_K_2)) ^n_K_2)))/(0.00198717*298))</f>
        <v>0.4602409702918957</v>
      </c>
      <c r="K19">
        <f t="shared" si="1"/>
        <v>1.5214499011622284E-4</v>
      </c>
      <c r="M19">
        <v>-7</v>
      </c>
      <c r="N19">
        <f>Paq_K_1* EXP(-1*(dE0_K_1/ (1 + ((7/zMid_K_1) ^n_K_1)))/(0.00198717*298))</f>
        <v>0.51632230744920993</v>
      </c>
      <c r="O19">
        <f>Paq_K_2* EXP(-1*(dE0_K_2/ (1 + ((7/(-1*zMid_K_2)) ^n_K_2)))/(0.00198717*298))</f>
        <v>0.64088466765198648</v>
      </c>
    </row>
    <row r="20" spans="4:15" x14ac:dyDescent="0.25">
      <c r="D20" s="22">
        <v>4.5</v>
      </c>
      <c r="E20">
        <v>5.1026711559165632</v>
      </c>
      <c r="F20">
        <v>207.82615645104704</v>
      </c>
      <c r="G20">
        <v>0.5474</v>
      </c>
      <c r="H20">
        <f>Paq_K_1* EXP(-1*(dE0_K_1/ (1 + ((4.5/zMid_K_1) ^n_K_1)))/(0.00198717*298))</f>
        <v>0.46901461713077391</v>
      </c>
      <c r="I20">
        <f t="shared" si="0"/>
        <v>4.5048816444390105E-3</v>
      </c>
      <c r="J20">
        <f>Paq_K_2* EXP(-1*(dE0_K_2/ (1 + ((4.5/(-1*zMid_K_2)) ^n_K_2)))/(0.00198717*298))</f>
        <v>0.49806535614628183</v>
      </c>
      <c r="K20">
        <f t="shared" si="1"/>
        <v>1.6825139331399458E-3</v>
      </c>
      <c r="M20">
        <v>-6</v>
      </c>
      <c r="N20">
        <f>Paq_K_1* EXP(-1*(dE0_K_1/ (1 + ((6/zMid_K_1) ^n_K_1)))/(0.00198717*298))</f>
        <v>0.49168928641733534</v>
      </c>
      <c r="O20">
        <f>Paq_K_2* EXP(-1*(dE0_K_2/ (1 + ((6/(-1*zMid_K_2)) ^n_K_2)))/(0.00198717*298))</f>
        <v>0.57249963517951108</v>
      </c>
    </row>
    <row r="21" spans="4:15" x14ac:dyDescent="0.25">
      <c r="D21" s="23">
        <v>6</v>
      </c>
      <c r="E21">
        <v>4.8453796273229628</v>
      </c>
      <c r="F21">
        <v>218.70380004479716</v>
      </c>
      <c r="G21">
        <v>0.49390000000000001</v>
      </c>
      <c r="H21">
        <f>Paq_K_1* EXP(-1*(dE0_K_1/ (1 + ((6/zMid_K_1) ^n_K_1)))/(0.00198717*298))</f>
        <v>0.49168928641733534</v>
      </c>
      <c r="I21">
        <f t="shared" si="0"/>
        <v>3.7957979054614446E-6</v>
      </c>
      <c r="J21">
        <f>Paq_K_2* EXP(-1*(dE0_K_2/ (1 + ((6/(-1*zMid_K_2)) ^n_K_2)))/(0.00198717*298))</f>
        <v>0.57249963517951108</v>
      </c>
      <c r="K21">
        <f t="shared" si="1"/>
        <v>4.1134506240020196E-3</v>
      </c>
      <c r="M21">
        <v>-5</v>
      </c>
      <c r="N21">
        <f>Paq_K_1* EXP(-1*(dE0_K_1/ (1 + ((5/zMid_K_1) ^n_K_1)))/(0.00198717*298))</f>
        <v>0.47494572174003324</v>
      </c>
      <c r="O21">
        <f>Paq_K_2* EXP(-1*(dE0_K_2/ (1 + ((5/(-1*zMid_K_2)) ^n_K_2)))/(0.00198717*298))</f>
        <v>0.51864850518092376</v>
      </c>
    </row>
    <row r="22" spans="4:15" x14ac:dyDescent="0.25">
      <c r="D22" s="24">
        <v>7.5</v>
      </c>
      <c r="E22">
        <v>5.2017638183676924</v>
      </c>
      <c r="F22">
        <v>210.91142211418727</v>
      </c>
      <c r="G22">
        <v>0.54990000000000006</v>
      </c>
      <c r="H22">
        <f>Paq_K_1* EXP(-1*(dE0_K_1/ (1 + ((7.5/zMid_K_1) ^n_K_1)))/(0.00198717*298))</f>
        <v>0.53211243665931973</v>
      </c>
      <c r="I22">
        <f t="shared" si="0"/>
        <v>2.0392725951914349E-4</v>
      </c>
      <c r="J22">
        <f>Paq_K_2* EXP(-1*(dE0_K_2/ (1 + ((7.5/(-1*zMid_K_2)) ^n_K_2)))/(0.00198717*298))</f>
        <v>0.67880857715973619</v>
      </c>
      <c r="K22">
        <f t="shared" si="1"/>
        <v>8.3655904128276549E-3</v>
      </c>
      <c r="M22">
        <v>-4</v>
      </c>
      <c r="N22">
        <f>Paq_K_1* EXP(-1*(dE0_K_1/ (1 + ((4/zMid_K_1) ^n_K_1)))/(0.00198717*298))</f>
        <v>0.46443991631810799</v>
      </c>
      <c r="O22">
        <f>Paq_K_2* EXP(-1*(dE0_K_2/ (1 + ((4/(-1*zMid_K_2)) ^n_K_2)))/(0.00198717*298))</f>
        <v>0.4816894140702026</v>
      </c>
    </row>
    <row r="23" spans="4:15" x14ac:dyDescent="0.25">
      <c r="D23" s="25">
        <v>9</v>
      </c>
      <c r="E23">
        <v>7.4713152726130136</v>
      </c>
      <c r="F23">
        <v>213.79921748310556</v>
      </c>
      <c r="G23">
        <v>0.77910000000000001</v>
      </c>
      <c r="H23">
        <f>Paq_K_1* EXP(-1*(dE0_K_1/ (1 + ((9/zMid_K_1) ^n_K_1)))/(0.00198717*298))</f>
        <v>0.5956763583006337</v>
      </c>
      <c r="I23">
        <f t="shared" si="0"/>
        <v>1.3591558710506471E-2</v>
      </c>
      <c r="J23">
        <f>Paq_K_2* EXP(-1*(dE0_K_2/ (1 + ((9/(-1*zMid_K_2)) ^n_K_2)))/(0.00198717*298))</f>
        <v>0.79676916078219118</v>
      </c>
      <c r="K23">
        <f t="shared" si="1"/>
        <v>9.4854195862442486E-5</v>
      </c>
      <c r="M23">
        <v>-3</v>
      </c>
      <c r="N23">
        <f>Paq_K_1* EXP(-1*(dE0_K_1/ (1 + ((3/zMid_K_1) ^n_K_1)))/(0.00198717*298))</f>
        <v>0.45858132055087364</v>
      </c>
      <c r="O23">
        <f>Paq_K_2* EXP(-1*(dE0_K_2/ (1 + ((3/(-1*zMid_K_2)) ^n_K_2)))/(0.00198717*298))</f>
        <v>0.4602409702918957</v>
      </c>
    </row>
    <row r="24" spans="4:15" x14ac:dyDescent="0.25">
      <c r="D24" s="26">
        <v>10.5</v>
      </c>
      <c r="E24">
        <v>7.037353485305168</v>
      </c>
      <c r="F24">
        <v>220.63045274559784</v>
      </c>
      <c r="G24">
        <v>0.71109999999999995</v>
      </c>
      <c r="H24">
        <f>Paq_K_1* EXP(-1*(dE0_K_1/ (1 + ((10.5/zMid_K_1) ^n_K_1)))/(0.00198717*298))</f>
        <v>0.68668717980089411</v>
      </c>
      <c r="I24">
        <f t="shared" si="0"/>
        <v>2.301816730806367E-4</v>
      </c>
      <c r="J24">
        <f>Paq_K_2* EXP(-1*(dE0_K_2/ (1 + ((10.5/(-1*zMid_K_2)) ^n_K_2)))/(0.00198717*298))</f>
        <v>0.90501964583406969</v>
      </c>
      <c r="K24">
        <f t="shared" si="1"/>
        <v>1.0967813266122043E-2</v>
      </c>
      <c r="M24">
        <v>-2</v>
      </c>
      <c r="N24">
        <f>Paq_K_1* EXP(-1*(dE0_K_1/ (1 + ((2/zMid_K_1) ^n_K_1)))/(0.00198717*298))</f>
        <v>0.4558917417635141</v>
      </c>
      <c r="O24">
        <f>Paq_K_2* EXP(-1*(dE0_K_2/ (1 + ((2/(-1*zMid_K_2)) ^n_K_2)))/(0.00198717*298))</f>
        <v>0.45040358459026736</v>
      </c>
    </row>
    <row r="25" spans="4:15" x14ac:dyDescent="0.25">
      <c r="D25" s="27">
        <v>12</v>
      </c>
      <c r="E25">
        <v>5.8238489565124416</v>
      </c>
      <c r="F25">
        <v>225.0124392487848</v>
      </c>
      <c r="G25">
        <v>0.57699999999999996</v>
      </c>
      <c r="H25">
        <f>Paq_K_1* EXP(-1*(dE0_K_1/ (1 + ((12/zMid_K_1) ^n_K_1)))/(0.00198717*298))</f>
        <v>0.80697978688372329</v>
      </c>
      <c r="I25">
        <f t="shared" si="0"/>
        <v>2.1224656385145351E-2</v>
      </c>
      <c r="J25">
        <f>Paq_K_2* EXP(-1*(dE0_K_2/ (1 + ((12/(-1*zMid_K_2)) ^n_K_2)))/(0.00198717*298))</f>
        <v>0.99266603668152309</v>
      </c>
      <c r="K25">
        <f t="shared" si="1"/>
        <v>5.5520248030505467E-2</v>
      </c>
      <c r="M25">
        <v>-1</v>
      </c>
      <c r="N25">
        <f>Paq_K_1* EXP(-1*(dE0_K_1/ (1 + ((1/zMid_K_1) ^n_K_1)))/(0.00198717*298))</f>
        <v>0.45505036686143896</v>
      </c>
      <c r="O25">
        <f>Paq_K_2* EXP(-1*(dE0_K_2/ (1 + ((1/(-1*zMid_K_2)) ^n_K_2)))/(0.00198717*298))</f>
        <v>0.44743739628731077</v>
      </c>
    </row>
    <row r="26" spans="4:15" x14ac:dyDescent="0.25">
      <c r="D26" s="28">
        <v>13.5</v>
      </c>
      <c r="E26">
        <v>7.3669247907811535</v>
      </c>
      <c r="F26">
        <v>218.45557134306293</v>
      </c>
      <c r="G26">
        <v>0.75180000000000002</v>
      </c>
      <c r="H26">
        <f>Paq_K_1* EXP(-1*(dE0_K_1/ (1 + ((13.5/zMid_K_1) ^n_K_1)))/(0.00198717*298))</f>
        <v>0.95464547809868372</v>
      </c>
      <c r="I26">
        <f t="shared" si="0"/>
        <v>1.076194576855506E-2</v>
      </c>
      <c r="J26">
        <f>Paq_K_2* EXP(-1*(dE0_K_2/ (1 + ((13.5/(-1*zMid_K_2)) ^n_K_2)))/(0.00198717*298))</f>
        <v>1.0587658844767791</v>
      </c>
      <c r="K26">
        <f t="shared" si="1"/>
        <v>2.2110981495657253E-2</v>
      </c>
      <c r="M26">
        <v>0</v>
      </c>
      <c r="N26">
        <f>Paq_K_1* EXP(-1*(dE0_K_1/ (1 + ((0/zMid_K_1) ^n_K_1)))/(0.00198717*298))</f>
        <v>0.45495857312526389</v>
      </c>
      <c r="O26">
        <f>Paq_K_2* EXP(-1*(dE0_K_2/ (1 + ((0/(-1*zMid_K_2)) ^n_K_2)))/(0.00198717*298))</f>
        <v>0.44713826076175617</v>
      </c>
    </row>
    <row r="27" spans="4:15" x14ac:dyDescent="0.25">
      <c r="D27" s="29">
        <v>15</v>
      </c>
      <c r="E27">
        <v>13.220453949218893</v>
      </c>
      <c r="F27">
        <v>224.03276726794545</v>
      </c>
      <c r="G27">
        <v>1.3156000000000001</v>
      </c>
      <c r="H27">
        <f>Paq_K_1* EXP(-1*(dE0_K_1/ (1 + ((15/zMid_K_1) ^n_K_1)))/(0.00198717*298))</f>
        <v>1.1237316982295107</v>
      </c>
      <c r="I27">
        <f t="shared" si="0"/>
        <v>4.6869404502985386E-3</v>
      </c>
      <c r="J27">
        <f>Paq_K_2* EXP(-1*(dE0_K_2/ (1 + ((15/(-1*zMid_K_2)) ^n_K_2)))/(0.00198717*298))</f>
        <v>1.1069772932938768</v>
      </c>
      <c r="K27">
        <f t="shared" si="1"/>
        <v>5.6227730566236955E-3</v>
      </c>
      <c r="M27">
        <v>1</v>
      </c>
      <c r="N27">
        <f>Paq_K_1* EXP(-1*(dE0_K_1/ (1 + ((1/zMid_K_1) ^n_K_1)))/(0.00198717*298))</f>
        <v>0.45505036686143896</v>
      </c>
      <c r="O27">
        <f>Paq_K_2* EXP(-1*(dE0_K_2/ (1 + ((1/(-1*zMid_K_2)) ^n_K_2)))/(0.00198717*298))</f>
        <v>0.44743739628731077</v>
      </c>
    </row>
    <row r="28" spans="4:15" x14ac:dyDescent="0.25">
      <c r="D28" s="30">
        <v>16.5</v>
      </c>
      <c r="E28">
        <v>15.923952719583577</v>
      </c>
      <c r="F28">
        <v>233.75708221892813</v>
      </c>
      <c r="G28">
        <v>1.5187999999999999</v>
      </c>
      <c r="H28">
        <f>Paq_K_1* EXP(-1*(dE0_K_1/ (1 + ((16.5/zMid_K_1) ^n_K_1)))/(0.00198717*298))</f>
        <v>1.3053660658126072</v>
      </c>
      <c r="I28">
        <f t="shared" si="0"/>
        <v>4.3254653182988106E-3</v>
      </c>
      <c r="J28">
        <f>Paq_K_2* EXP(-1*(dE0_K_2/ (1 + ((16.5/(-1*zMid_K_2)) ^n_K_2)))/(0.00198717*298))</f>
        <v>1.141774399728545</v>
      </c>
      <c r="K28">
        <f t="shared" si="1"/>
        <v>1.5356237582906624E-2</v>
      </c>
      <c r="M28">
        <v>2</v>
      </c>
      <c r="N28">
        <f>Paq_K_1* EXP(-1*(dE0_K_1/ (1 + ((2/zMid_K_1) ^n_K_1)))/(0.00198717*298))</f>
        <v>0.4558917417635141</v>
      </c>
      <c r="O28">
        <f>Paq_K_2* EXP(-1*(dE0_K_2/ (1 + ((2/(-1*zMid_K_2)) ^n_K_2)))/(0.00198717*298))</f>
        <v>0.45040358459026736</v>
      </c>
    </row>
    <row r="29" spans="4:15" x14ac:dyDescent="0.25">
      <c r="D29" s="31">
        <v>18</v>
      </c>
      <c r="E29">
        <v>14.985712599499626</v>
      </c>
      <c r="F29">
        <v>221.14244125881021</v>
      </c>
      <c r="G29">
        <v>1.5107999999999999</v>
      </c>
      <c r="H29">
        <f>Paq_K_1* EXP(-1*(dE0_K_1/ (1 + ((18/zMid_K_1) ^n_K_1)))/(0.00198717*298))</f>
        <v>1.4898297225071517</v>
      </c>
      <c r="I29">
        <f t="shared" si="0"/>
        <v>3.6849050031552895E-5</v>
      </c>
      <c r="J29">
        <f>Paq_K_2* EXP(-1*(dE0_K_2/ (1 + ((18/(-1*zMid_K_2)) ^n_K_2)))/(0.00198717*298))</f>
        <v>1.1669492758600726</v>
      </c>
      <c r="K29">
        <f t="shared" si="1"/>
        <v>1.2578743421716611E-2</v>
      </c>
      <c r="M29">
        <v>3</v>
      </c>
      <c r="N29">
        <f>Paq_K_1* EXP(-1*(dE0_K_1/ (1 + ((3/zMid_K_1) ^n_K_1)))/(0.00198717*298))</f>
        <v>0.45858132055087364</v>
      </c>
      <c r="O29">
        <f>Paq_K_2* EXP(-1*(dE0_K_2/ (1 + ((3/(-1*zMid_K_2)) ^n_K_2)))/(0.00198717*298))</f>
        <v>0.4602409702918957</v>
      </c>
    </row>
    <row r="30" spans="4:15" x14ac:dyDescent="0.25">
      <c r="D30" s="32">
        <v>19.5</v>
      </c>
      <c r="E30">
        <v>17.031966883329677</v>
      </c>
      <c r="F30">
        <v>203.08284087537984</v>
      </c>
      <c r="G30">
        <v>1.8697999999999999</v>
      </c>
      <c r="H30">
        <f>Paq_K_1* EXP(-1*(dE0_K_1/ (1 + ((19.5/zMid_K_1) ^n_K_1)))/(0.00198717*298))</f>
        <v>1.6685605714885607</v>
      </c>
      <c r="I30">
        <f t="shared" si="0"/>
        <v>2.4456168701775128E-3</v>
      </c>
      <c r="J30">
        <f>Paq_K_2* EXP(-1*(dE0_K_2/ (1 + ((19.5/(-1*zMid_K_2)) ^n_K_2)))/(0.00198717*298))</f>
        <v>1.1853289585094937</v>
      </c>
      <c r="K30">
        <f t="shared" si="1"/>
        <v>3.9186681174732375E-2</v>
      </c>
      <c r="M30">
        <v>4</v>
      </c>
      <c r="N30">
        <f>Paq_K_1* EXP(-1*(dE0_K_1/ (1 + ((4/zMid_K_1) ^n_K_1)))/(0.00198717*298))</f>
        <v>0.46443991631810799</v>
      </c>
      <c r="O30">
        <f>Paq_K_2* EXP(-1*(dE0_K_2/ (1 + ((4/(-1*zMid_K_2)) ^n_K_2)))/(0.00198717*298))</f>
        <v>0.4816894140702026</v>
      </c>
    </row>
    <row r="31" spans="4:15" x14ac:dyDescent="0.25">
      <c r="D31" s="33">
        <v>21</v>
      </c>
      <c r="E31">
        <v>16.976554831527807</v>
      </c>
      <c r="F31">
        <v>202.23586360890673</v>
      </c>
      <c r="G31">
        <v>1.8714999999999999</v>
      </c>
      <c r="H31">
        <f>Paq_K_1* EXP(-1*(dE0_K_1/ (1 + ((21/zMid_K_1) ^n_K_1)))/(0.00198717*298))</f>
        <v>1.8353342893508349</v>
      </c>
      <c r="I31">
        <f t="shared" si="0"/>
        <v>7.1819741617186293E-5</v>
      </c>
      <c r="J31">
        <f>Paq_K_2* EXP(-1*(dE0_K_2/ (1 + ((21/(-1*zMid_K_2)) ^n_K_2)))/(0.00198717*298))</f>
        <v>1.1989131673427327</v>
      </c>
      <c r="K31">
        <f t="shared" si="1"/>
        <v>3.740437285963371E-2</v>
      </c>
      <c r="M31">
        <v>5</v>
      </c>
      <c r="N31">
        <f>Paq_K_1* EXP(-1*(dE0_K_1/ (1 + ((5/zMid_K_1) ^n_K_1)))/(0.00198717*298))</f>
        <v>0.47494572174003324</v>
      </c>
      <c r="O31">
        <f>Paq_K_2* EXP(-1*(dE0_K_2/ (1 + ((5/(-1*zMid_K_2)) ^n_K_2)))/(0.00198717*298))</f>
        <v>0.51864850518092376</v>
      </c>
    </row>
    <row r="32" spans="4:15" x14ac:dyDescent="0.25">
      <c r="D32" s="34">
        <v>22.5</v>
      </c>
      <c r="E32">
        <v>14.3511669588851</v>
      </c>
      <c r="F32">
        <v>185.59265872251723</v>
      </c>
      <c r="G32">
        <v>1.724</v>
      </c>
      <c r="H32">
        <f>Paq_K_1* EXP(-1*(dE0_K_1/ (1 + ((22.5/zMid_K_1) ^n_K_1)))/(0.00198717*298))</f>
        <v>1.9865066383229584</v>
      </c>
      <c r="I32">
        <f t="shared" si="0"/>
        <v>3.7887421639000826E-3</v>
      </c>
      <c r="J32">
        <f>Paq_K_2* EXP(-1*(dE0_K_2/ (1 + ((22.5/(-1*zMid_K_2)) ^n_K_2)))/(0.00198717*298))</f>
        <v>1.2090892791663754</v>
      </c>
      <c r="K32">
        <f t="shared" si="1"/>
        <v>2.3740304693184274E-2</v>
      </c>
      <c r="M32">
        <v>6</v>
      </c>
      <c r="N32">
        <f>Paq_K_1* EXP(-1*(dE0_K_1/ (1 + ((6/zMid_K_1) ^n_K_1)))/(0.00198717*298))</f>
        <v>0.49168928641733534</v>
      </c>
      <c r="O32">
        <f>Paq_K_2* EXP(-1*(dE0_K_2/ (1 + ((6/(-1*zMid_K_2)) ^n_K_2)))/(0.00198717*298))</f>
        <v>0.57249963517951108</v>
      </c>
    </row>
    <row r="33" spans="7:15" x14ac:dyDescent="0.25">
      <c r="M33">
        <v>7</v>
      </c>
      <c r="N33">
        <f>Paq_K_1* EXP(-1*(dE0_K_1/ (1 + ((7/zMid_K_1) ^n_K_1)))/(0.00198717*298))</f>
        <v>0.51632230744920993</v>
      </c>
      <c r="O33">
        <f>Paq_K_2* EXP(-1*(dE0_K_2/ (1 + ((7/(-1*zMid_K_2)) ^n_K_2)))/(0.00198717*298))</f>
        <v>0.64088466765198648</v>
      </c>
    </row>
    <row r="34" spans="7:15" x14ac:dyDescent="0.25">
      <c r="G34" t="s">
        <v>18</v>
      </c>
      <c r="H34" s="1" t="s">
        <v>20</v>
      </c>
      <c r="I34">
        <f>SQRT(AVERAGE(I$17:I$32))</f>
        <v>6.7379842790911082E-2</v>
      </c>
      <c r="M34">
        <v>8</v>
      </c>
      <c r="N34">
        <f>Paq_K_1* EXP(-1*(dE0_K_1/ (1 + ((8/zMid_K_1) ^n_K_1)))/(0.00198717*298))</f>
        <v>0.55048215825108715</v>
      </c>
      <c r="O34">
        <f>Paq_K_2* EXP(-1*(dE0_K_2/ (1 + ((8/(-1*zMid_K_2)) ^n_K_2)))/(0.00198717*298))</f>
        <v>0.71803063367680831</v>
      </c>
    </row>
    <row r="35" spans="7:15" x14ac:dyDescent="0.25">
      <c r="G35" t="s">
        <v>19</v>
      </c>
      <c r="J35" s="1" t="s">
        <v>20</v>
      </c>
      <c r="K35">
        <f>SQRT(AVERAGE(K$2:K$17))</f>
        <v>4.8279643792217608E-2</v>
      </c>
      <c r="M35">
        <v>9</v>
      </c>
      <c r="N35">
        <f>Paq_K_1* EXP(-1*(dE0_K_1/ (1 + ((9/zMid_K_1) ^n_K_1)))/(0.00198717*298))</f>
        <v>0.5956763583006337</v>
      </c>
      <c r="O35">
        <f>Paq_K_2* EXP(-1*(dE0_K_2/ (1 + ((9/(-1*zMid_K_2)) ^n_K_2)))/(0.00198717*298))</f>
        <v>0.79676916078219118</v>
      </c>
    </row>
    <row r="36" spans="7:15" x14ac:dyDescent="0.25">
      <c r="M36">
        <v>10</v>
      </c>
      <c r="N36">
        <f>Paq_K_1* EXP(-1*(dE0_K_1/ (1 + ((10/zMid_K_1) ^n_K_1)))/(0.00198717*298))</f>
        <v>0.65312012776392603</v>
      </c>
      <c r="O36">
        <f>Paq_K_2* EXP(-1*(dE0_K_2/ (1 + ((10/(-1*zMid_K_2)) ^n_K_2)))/(0.00198717*298))</f>
        <v>0.87093876056531438</v>
      </c>
    </row>
    <row r="37" spans="7:15" x14ac:dyDescent="0.25">
      <c r="M37">
        <v>11</v>
      </c>
      <c r="N37">
        <f>Paq_K_1* EXP(-1*(dE0_K_1/ (1 + ((11/zMid_K_1) ^n_K_1)))/(0.00198717*298))</f>
        <v>0.72353968772740129</v>
      </c>
      <c r="O37">
        <f>Paq_K_2* EXP(-1*(dE0_K_2/ (1 + ((11/(-1*zMid_K_2)) ^n_K_2)))/(0.00198717*298))</f>
        <v>0.93672515024360858</v>
      </c>
    </row>
    <row r="38" spans="7:15" x14ac:dyDescent="0.25">
      <c r="M38">
        <v>12</v>
      </c>
      <c r="N38">
        <f>Paq_K_1* EXP(-1*(dE0_K_1/ (1 + ((12/zMid_K_1) ^n_K_1)))/(0.00198717*298))</f>
        <v>0.80697978688372329</v>
      </c>
      <c r="O38">
        <f>Paq_K_2* EXP(-1*(dE0_K_2/ (1 + ((12/(-1*zMid_K_2)) ^n_K_2)))/(0.00198717*298))</f>
        <v>0.99266603668152309</v>
      </c>
    </row>
    <row r="39" spans="7:15" x14ac:dyDescent="0.25">
      <c r="M39">
        <v>13</v>
      </c>
      <c r="N39">
        <f>Paq_K_1* EXP(-1*(dE0_K_1/ (1 + ((13/zMid_K_1) ^n_K_1)))/(0.00198717*298))</f>
        <v>0.90267280620488766</v>
      </c>
      <c r="O39">
        <f>Paq_K_2* EXP(-1*(dE0_K_2/ (1 + ((13/(-1*zMid_K_2)) ^n_K_2)))/(0.00198717*298))</f>
        <v>1.0389423395719228</v>
      </c>
    </row>
    <row r="40" spans="7:15" x14ac:dyDescent="0.25">
      <c r="M40">
        <v>14</v>
      </c>
      <c r="N40">
        <f>Paq_K_1* EXP(-1*(dE0_K_1/ (1 + ((14/zMid_K_1) ^n_K_1)))/(0.00198717*298))</f>
        <v>1.0090233607198791</v>
      </c>
      <c r="O40">
        <f>Paq_K_2* EXP(-1*(dE0_K_2/ (1 + ((14/(-1*zMid_K_2)) ^n_K_2)))/(0.00198717*298))</f>
        <v>1.0765977284428343</v>
      </c>
    </row>
    <row r="41" spans="7:15" x14ac:dyDescent="0.25">
      <c r="M41">
        <v>15</v>
      </c>
      <c r="N41">
        <f>Paq_K_1* EXP(-1*(dE0_K_1/ (1 + ((15/zMid_K_1) ^n_K_1)))/(0.00198717*298))</f>
        <v>1.1237316982295107</v>
      </c>
      <c r="O41">
        <f>Paq_K_2* EXP(-1*(dE0_K_2/ (1 + ((15/(-1*zMid_K_2)) ^n_K_2)))/(0.00198717*298))</f>
        <v>1.1069772932938768</v>
      </c>
    </row>
    <row r="42" spans="7:15" x14ac:dyDescent="0.25">
      <c r="M42">
        <v>16</v>
      </c>
      <c r="N42">
        <f>Paq_K_1* EXP(-1*(dE0_K_1/ (1 + ((16/zMid_K_1) ^n_K_1)))/(0.00198717*298))</f>
        <v>1.244034094197727</v>
      </c>
      <c r="O42">
        <f>Paq_K_2* EXP(-1*(dE0_K_2/ (1 + ((16/(-1*zMid_K_2)) ^n_K_2)))/(0.00198717*298))</f>
        <v>1.1314117292683865</v>
      </c>
    </row>
    <row r="43" spans="7:15" x14ac:dyDescent="0.25">
      <c r="M43">
        <v>17</v>
      </c>
      <c r="N43">
        <f>Paq_K_1* EXP(-1*(dE0_K_1/ (1 + ((17/zMid_K_1) ^n_K_1)))/(0.00198717*298))</f>
        <v>1.3670018765317189</v>
      </c>
      <c r="O43">
        <f>Paq_K_2* EXP(-1*(dE0_K_2/ (1 + ((17/(-1*zMid_K_2)) ^n_K_2)))/(0.00198717*298))</f>
        <v>1.1510762443116735</v>
      </c>
    </row>
    <row r="44" spans="7:15" x14ac:dyDescent="0.25">
      <c r="M44">
        <v>18</v>
      </c>
      <c r="N44">
        <f>Paq_K_1* EXP(-1*(dE0_K_1/ (1 + ((18/zMid_K_1) ^n_K_1)))/(0.00198717*298))</f>
        <v>1.4898297225071517</v>
      </c>
      <c r="O44">
        <f>Paq_K_2* EXP(-1*(dE0_K_2/ (1 + ((18/(-1*zMid_K_2)) ^n_K_2)))/(0.00198717*298))</f>
        <v>1.1669492758600726</v>
      </c>
    </row>
    <row r="45" spans="7:15" x14ac:dyDescent="0.25">
      <c r="M45">
        <v>19</v>
      </c>
      <c r="N45">
        <f>Paq_K_1* EXP(-1*(dE0_K_1/ (1 + ((19/zMid_K_1) ^n_K_1)))/(0.00198717*298))</f>
        <v>1.6100590969857334</v>
      </c>
      <c r="O45">
        <f>Paq_K_2* EXP(-1*(dE0_K_2/ (1 + ((19/(-1*zMid_K_2)) ^n_K_2)))/(0.00198717*298))</f>
        <v>1.1798193530310634</v>
      </c>
    </row>
    <row r="46" spans="7:15" x14ac:dyDescent="0.25">
      <c r="M46">
        <v>20</v>
      </c>
      <c r="N46">
        <f>Paq_K_1* EXP(-1*(dE0_K_1/ (1 + ((20/zMid_K_1) ^n_K_1)))/(0.00198717*298))</f>
        <v>1.7257115659313573</v>
      </c>
      <c r="O46">
        <f>Paq_K_2* EXP(-1*(dE0_K_2/ (1 + ((20/(-1*zMid_K_2)) ^n_K_2)))/(0.00198717*298))</f>
        <v>1.1903107284425798</v>
      </c>
    </row>
    <row r="47" spans="7:15" x14ac:dyDescent="0.25">
      <c r="M47">
        <v>21</v>
      </c>
      <c r="N47">
        <f>Paq_K_1* EXP(-1*(dE0_K_1/ (1 + ((21/zMid_K_1) ^n_K_1)))/(0.00198717*298))</f>
        <v>1.8353342893508349</v>
      </c>
      <c r="O47">
        <f>Paq_K_2* EXP(-1*(dE0_K_2/ (1 + ((21/(-1*zMid_K_2)) ^n_K_2)))/(0.00198717*298))</f>
        <v>1.1989131673427327</v>
      </c>
    </row>
    <row r="48" spans="7:15" x14ac:dyDescent="0.25">
      <c r="M48">
        <v>22</v>
      </c>
      <c r="N48">
        <f>Paq_K_1* EXP(-1*(dE0_K_1/ (1 + ((22/zMid_K_1) ^n_K_1)))/(0.00198717*298))</f>
        <v>1.9379773671127145</v>
      </c>
      <c r="O48">
        <f>Paq_K_2* EXP(-1*(dE0_K_2/ (1 + ((22/(-1*zMid_K_2)) ^n_K_2)))/(0.00198717*298))</f>
        <v>1.206009571532511</v>
      </c>
    </row>
    <row r="49" spans="13:15" x14ac:dyDescent="0.25">
      <c r="M49">
        <v>23</v>
      </c>
      <c r="N49">
        <f>Paq_K_1* EXP(-1*(dE0_K_1/ (1 + ((23/zMid_K_1) ^n_K_1)))/(0.00198717*298))</f>
        <v>2.0331285716680538</v>
      </c>
      <c r="O49">
        <f>Paq_K_2* EXP(-1*(dE0_K_2/ (1 + ((23/(-1*zMid_K_2)) ^n_K_2)))/(0.00198717*298))</f>
        <v>1.2118992916382316</v>
      </c>
    </row>
    <row r="50" spans="13:15" x14ac:dyDescent="0.25">
      <c r="M50">
        <v>24</v>
      </c>
      <c r="N50">
        <f>Paq_K_1* EXP(-1*(dE0_K_1/ (1 + ((24/zMid_K_1) ^n_K_1)))/(0.00198717*298))</f>
        <v>2.1206286751568788</v>
      </c>
      <c r="O50">
        <f>Paq_K_2* EXP(-1*(dE0_K_2/ (1 + ((24/(-1*zMid_K_2)) ^n_K_2)))/(0.00198717*298))</f>
        <v>1.2168168822559131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O50"/>
  <sheetViews>
    <sheetView topLeftCell="A43" workbookViewId="0"/>
  </sheetViews>
  <sheetFormatPr defaultRowHeight="15" x14ac:dyDescent="0.25"/>
  <cols>
    <col min="1" max="1" width="6" bestFit="1" customWidth="1"/>
    <col min="2" max="2" width="12.7109375" bestFit="1" customWidth="1"/>
    <col min="4" max="4" width="10.42578125" bestFit="1" customWidth="1"/>
    <col min="5" max="6" width="12" bestFit="1" customWidth="1"/>
    <col min="7" max="7" width="16.140625" bestFit="1" customWidth="1"/>
    <col min="8" max="11" width="12" bestFit="1" customWidth="1"/>
    <col min="13" max="13" width="3.7109375" bestFit="1" customWidth="1"/>
    <col min="14" max="15" width="12" bestFit="1" customWidth="1"/>
  </cols>
  <sheetData>
    <row r="1" spans="1:15" ht="18" x14ac:dyDescent="0.35">
      <c r="A1" s="1" t="s">
        <v>0</v>
      </c>
      <c r="B1">
        <v>4425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M1" s="1" t="s">
        <v>21</v>
      </c>
      <c r="N1" s="1" t="s">
        <v>22</v>
      </c>
      <c r="O1" s="1" t="s">
        <v>23</v>
      </c>
    </row>
    <row r="2" spans="1:15" ht="18" x14ac:dyDescent="0.35">
      <c r="A2" s="1" t="s">
        <v>1</v>
      </c>
      <c r="B2">
        <v>267.74149123214835</v>
      </c>
      <c r="D2" s="4">
        <v>-22.5</v>
      </c>
      <c r="E2">
        <v>1.8260189704073639</v>
      </c>
      <c r="F2">
        <v>37.146305786227806</v>
      </c>
      <c r="G2">
        <v>0.81240000000000001</v>
      </c>
      <c r="H2">
        <f>Paq_N_1* EXP(-1*(dE0_N_1/ (1 + ((22.5/zMid_N_1) ^n_N_1)))/(0.00198717*298))</f>
        <v>1.398623758759201</v>
      </c>
      <c r="I2">
        <f t="shared" ref="I2:I32" si="0">IF(ISERROR((LOG(H2)-LOG(G2))^2),0,(LOG(H2)-LOG(G2))^2)</f>
        <v>5.566343048488108E-2</v>
      </c>
      <c r="J2">
        <f>Paq_N_2* EXP(-1*(dE0_N_2/ (1 + ((22.5/(-1*zMid_N_2)) ^n_N_2)))/(0.00198717*298))</f>
        <v>1.1480338249110784</v>
      </c>
      <c r="K2">
        <f t="shared" ref="K2:K32" si="1">IF(ISERROR((LOG(J2)-LOG(G2))^2),0,(LOG(J2)-LOG(G2))^2)</f>
        <v>2.2555464924808588E-2</v>
      </c>
      <c r="M2">
        <v>-24</v>
      </c>
      <c r="N2">
        <f>Paq_N_1* EXP(-1*(dE0_N_1/ (1 + ((24/zMid_N_1) ^n_N_1)))/(0.00198717*298))</f>
        <v>1.444146030685858</v>
      </c>
      <c r="O2">
        <f>Paq_N_2* EXP(-1*(dE0_N_2/ (1 + ((24/(-1*zMid_N_2)) ^n_N_2)))/(0.00198717*298))</f>
        <v>1.1495434472337234</v>
      </c>
    </row>
    <row r="3" spans="1:15" x14ac:dyDescent="0.25">
      <c r="D3" s="5">
        <v>-21</v>
      </c>
      <c r="E3">
        <v>3.7711543548749713</v>
      </c>
      <c r="F3">
        <v>53.383067205069459</v>
      </c>
      <c r="G3">
        <v>1.1675</v>
      </c>
      <c r="H3">
        <f>Paq_N_1* EXP(-1*(dE0_N_1/ (1 + ((21/zMid_N_1) ^n_N_1)))/(0.00198717*298))</f>
        <v>1.3500566871319208</v>
      </c>
      <c r="I3">
        <f t="shared" si="0"/>
        <v>3.9809935498074378E-3</v>
      </c>
      <c r="J3">
        <f>Paq_N_2* EXP(-1*(dE0_N_2/ (1 + ((21/(-1*zMid_N_2)) ^n_N_2)))/(0.00198717*298))</f>
        <v>1.1454927319033827</v>
      </c>
      <c r="K3">
        <f t="shared" si="1"/>
        <v>6.8302807888101765E-5</v>
      </c>
      <c r="M3">
        <v>-23</v>
      </c>
      <c r="N3">
        <f>Paq_N_1* EXP(-1*(dE0_N_1/ (1 + ((23/zMid_N_1) ^n_N_1)))/(0.00198717*298))</f>
        <v>1.4141306743277364</v>
      </c>
      <c r="O3">
        <f>Paq_N_2* EXP(-1*(dE0_N_2/ (1 + ((23/(-1*zMid_N_2)) ^n_N_2)))/(0.00198717*298))</f>
        <v>1.1486238399348252</v>
      </c>
    </row>
    <row r="4" spans="1:15" ht="18" x14ac:dyDescent="0.35">
      <c r="A4" s="2" t="s">
        <v>2</v>
      </c>
      <c r="B4">
        <v>2.2769249507469627</v>
      </c>
      <c r="D4" s="6">
        <v>-19.5</v>
      </c>
      <c r="E4">
        <v>7.9303641949710135</v>
      </c>
      <c r="F4">
        <v>104.67349192897072</v>
      </c>
      <c r="G4">
        <v>1.2521</v>
      </c>
      <c r="H4">
        <f>Paq_N_1* EXP(-1*(dE0_N_1/ (1 + ((19.5/zMid_N_1) ^n_N_1)))/(0.00198717*298))</f>
        <v>1.2983588857116755</v>
      </c>
      <c r="I4">
        <f t="shared" si="0"/>
        <v>2.4824331041309436E-4</v>
      </c>
      <c r="J4">
        <f>Paq_N_2* EXP(-1*(dE0_N_2/ (1 + ((19.5/(-1*zMid_N_2)) ^n_N_2)))/(0.00198717*298))</f>
        <v>1.1410725326496274</v>
      </c>
      <c r="K4">
        <f t="shared" si="1"/>
        <v>1.6261672567067073E-3</v>
      </c>
      <c r="M4">
        <v>-22</v>
      </c>
      <c r="N4">
        <f>Paq_N_1* EXP(-1*(dE0_N_1/ (1 + ((22/zMid_N_1) ^n_N_1)))/(0.00198717*298))</f>
        <v>1.3827782274387079</v>
      </c>
      <c r="O4">
        <f>Paq_N_2* EXP(-1*(dE0_N_2/ (1 + ((22/(-1*zMid_N_2)) ^n_N_2)))/(0.00198717*298))</f>
        <v>1.1473322979657465</v>
      </c>
    </row>
    <row r="5" spans="1:15" ht="18" x14ac:dyDescent="0.35">
      <c r="A5" s="2" t="s">
        <v>3</v>
      </c>
      <c r="B5">
        <v>0.82346371413904429</v>
      </c>
      <c r="D5" s="7">
        <v>-18</v>
      </c>
      <c r="E5">
        <v>12.012742354900647</v>
      </c>
      <c r="F5">
        <v>171.11905245556184</v>
      </c>
      <c r="G5">
        <v>1.1601999999999999</v>
      </c>
      <c r="H5">
        <f>Paq_N_1* EXP(-1*(dE0_N_1/ (1 + ((18/zMid_N_1) ^n_N_1)))/(0.00198717*298))</f>
        <v>1.2435014479723403</v>
      </c>
      <c r="I5">
        <f t="shared" si="0"/>
        <v>9.0681891816591362E-4</v>
      </c>
      <c r="J5">
        <f>Paq_N_2* EXP(-1*(dE0_N_2/ (1 + ((18/(-1*zMid_N_2)) ^n_N_2)))/(0.00198717*298))</f>
        <v>1.1331160886956588</v>
      </c>
      <c r="K5">
        <f t="shared" si="1"/>
        <v>1.0523590214907114E-4</v>
      </c>
      <c r="M5">
        <v>-21</v>
      </c>
      <c r="N5">
        <f>Paq_N_1* EXP(-1*(dE0_N_1/ (1 + ((21/zMid_N_1) ^n_N_1)))/(0.00198717*298))</f>
        <v>1.3500566871319208</v>
      </c>
      <c r="O5">
        <f>Paq_N_2* EXP(-1*(dE0_N_2/ (1 + ((21/(-1*zMid_N_2)) ^n_N_2)))/(0.00198717*298))</f>
        <v>1.1454927319033827</v>
      </c>
    </row>
    <row r="6" spans="1:15" ht="18" x14ac:dyDescent="0.35">
      <c r="A6" s="2" t="s">
        <v>4</v>
      </c>
      <c r="B6">
        <v>15.275542448210407</v>
      </c>
      <c r="D6" s="8">
        <v>-16.5</v>
      </c>
      <c r="E6">
        <v>18.478148555867897</v>
      </c>
      <c r="F6">
        <v>239.24085021505925</v>
      </c>
      <c r="G6">
        <v>1.2765</v>
      </c>
      <c r="H6">
        <f>Paq_N_1* EXP(-1*(dE0_N_1/ (1 + ((16.5/zMid_N_1) ^n_N_1)))/(0.00198717*298))</f>
        <v>1.1855376798428821</v>
      </c>
      <c r="I6">
        <f t="shared" si="0"/>
        <v>1.0307603988608614E-3</v>
      </c>
      <c r="J6">
        <f>Paq_N_2* EXP(-1*(dE0_N_2/ (1 + ((16.5/(-1*zMid_N_2)) ^n_N_2)))/(0.00198717*298))</f>
        <v>1.1183252046734811</v>
      </c>
      <c r="K6">
        <f t="shared" si="1"/>
        <v>3.3008134332504955E-3</v>
      </c>
      <c r="M6">
        <v>-20</v>
      </c>
      <c r="N6">
        <f>Paq_N_1* EXP(-1*(dE0_N_1/ (1 + ((20/zMid_N_1) ^n_N_1)))/(0.00198717*298))</f>
        <v>1.3159425522469281</v>
      </c>
      <c r="O6">
        <f>Paq_N_2* EXP(-1*(dE0_N_2/ (1 + ((20/(-1*zMid_N_2)) ^n_N_2)))/(0.00198717*298))</f>
        <v>1.1428336828870729</v>
      </c>
    </row>
    <row r="7" spans="1:15" x14ac:dyDescent="0.25">
      <c r="A7" s="2" t="s">
        <v>5</v>
      </c>
      <c r="B7">
        <v>1.5933012611594253</v>
      </c>
      <c r="D7" s="9">
        <v>-15</v>
      </c>
      <c r="E7">
        <v>23.049762397072861</v>
      </c>
      <c r="F7">
        <v>301.1099037843893</v>
      </c>
      <c r="G7">
        <v>1.2650999999999999</v>
      </c>
      <c r="H7">
        <f>Paq_N_1* EXP(-1*(dE0_N_1/ (1 + ((15/zMid_N_1) ^n_N_1)))/(0.00198717*298))</f>
        <v>1.1246349344397646</v>
      </c>
      <c r="I7">
        <f t="shared" si="0"/>
        <v>2.6125679953810637E-3</v>
      </c>
      <c r="J7">
        <f>Paq_N_2* EXP(-1*(dE0_N_2/ (1 + ((15/(-1*zMid_N_2)) ^n_N_2)))/(0.00198717*298))</f>
        <v>1.0902258781074261</v>
      </c>
      <c r="K7">
        <f t="shared" si="1"/>
        <v>4.1742413842665946E-3</v>
      </c>
      <c r="M7">
        <v>-19</v>
      </c>
      <c r="N7">
        <f>Paq_N_1* EXP(-1*(dE0_N_1/ (1 + ((19/zMid_N_1) ^n_N_1)))/(0.00198717*298))</f>
        <v>1.2804234789874429</v>
      </c>
      <c r="O7">
        <f>Paq_N_2* EXP(-1*(dE0_N_2/ (1 + ((19/(-1*zMid_N_2)) ^n_N_2)))/(0.00198717*298))</f>
        <v>1.1389311804912532</v>
      </c>
    </row>
    <row r="8" spans="1:15" x14ac:dyDescent="0.25">
      <c r="D8" s="10">
        <v>-13.5</v>
      </c>
      <c r="E8">
        <v>21.278579918742331</v>
      </c>
      <c r="F8">
        <v>325.144691447757</v>
      </c>
      <c r="G8">
        <v>1.0815999999999999</v>
      </c>
      <c r="H8">
        <f>Paq_N_1* EXP(-1*(dE0_N_1/ (1 + ((13.5/zMid_N_1) ^n_N_1)))/(0.00198717*298))</f>
        <v>1.061113501381705</v>
      </c>
      <c r="I8">
        <f t="shared" si="0"/>
        <v>6.8970336825597658E-5</v>
      </c>
      <c r="J8">
        <f>Paq_N_2* EXP(-1*(dE0_N_2/ (1 + ((13.5/(-1*zMid_N_2)) ^n_N_2)))/(0.00198717*298))</f>
        <v>1.0373272000863583</v>
      </c>
      <c r="K8">
        <f t="shared" si="1"/>
        <v>3.2945563471080636E-4</v>
      </c>
      <c r="M8">
        <v>-18</v>
      </c>
      <c r="N8">
        <f>Paq_N_1* EXP(-1*(dE0_N_1/ (1 + ((18/zMid_N_1) ^n_N_1)))/(0.00198717*298))</f>
        <v>1.2435014479723403</v>
      </c>
      <c r="O8">
        <f>Paq_N_2* EXP(-1*(dE0_N_2/ (1 + ((18/(-1*zMid_N_2)) ^n_N_2)))/(0.00198717*298))</f>
        <v>1.1331160886956588</v>
      </c>
    </row>
    <row r="9" spans="1:15" ht="18" x14ac:dyDescent="0.35">
      <c r="A9" s="3" t="s">
        <v>6</v>
      </c>
      <c r="B9">
        <v>1.1522600588930296</v>
      </c>
      <c r="D9" s="11">
        <v>-12</v>
      </c>
      <c r="E9">
        <v>17.75003768800028</v>
      </c>
      <c r="F9">
        <v>335.09215104301728</v>
      </c>
      <c r="G9">
        <v>0.87549999999999994</v>
      </c>
      <c r="H9">
        <f>Paq_N_1* EXP(-1*(dE0_N_1/ (1 + ((12/zMid_N_1) ^n_N_1)))/(0.00198717*298))</f>
        <v>0.99549211304587149</v>
      </c>
      <c r="I9">
        <f t="shared" si="0"/>
        <v>3.111595063466358E-3</v>
      </c>
      <c r="J9">
        <f>Paq_N_2* EXP(-1*(dE0_N_2/ (1 + ((12/(-1*zMid_N_2)) ^n_N_2)))/(0.00198717*298))</f>
        <v>0.94559106391489656</v>
      </c>
      <c r="K9">
        <f t="shared" si="1"/>
        <v>1.118715785851936E-3</v>
      </c>
      <c r="M9">
        <v>-17</v>
      </c>
      <c r="N9">
        <f>Paq_N_1* EXP(-1*(dE0_N_1/ (1 + ((17/zMid_N_1) ^n_N_1)))/(0.00198717*298))</f>
        <v>1.2051964965351858</v>
      </c>
      <c r="O9">
        <f>Paq_N_2* EXP(-1*(dE0_N_2/ (1 + ((17/(-1*zMid_N_2)) ^n_N_2)))/(0.00198717*298))</f>
        <v>1.1243268972633693</v>
      </c>
    </row>
    <row r="10" spans="1:15" ht="18" x14ac:dyDescent="0.35">
      <c r="A10" s="3" t="s">
        <v>7</v>
      </c>
      <c r="B10">
        <v>0.39606534020717243</v>
      </c>
      <c r="D10" s="12">
        <v>-10.5</v>
      </c>
      <c r="E10">
        <v>14.134120653376597</v>
      </c>
      <c r="F10">
        <v>329.71261028763035</v>
      </c>
      <c r="G10">
        <v>0.70850000000000002</v>
      </c>
      <c r="H10">
        <f>Paq_N_1* EXP(-1*(dE0_N_1/ (1 + ((10.5/zMid_N_1) ^n_N_1)))/(0.00198717*298))</f>
        <v>0.92853829573730196</v>
      </c>
      <c r="I10">
        <f t="shared" si="0"/>
        <v>1.3796843491538315E-2</v>
      </c>
      <c r="J10">
        <f>Paq_N_2* EXP(-1*(dE0_N_2/ (1 + ((10.5/(-1*zMid_N_2)) ^n_N_2)))/(0.00198717*298))</f>
        <v>0.8177090709526259</v>
      </c>
      <c r="K10">
        <f t="shared" si="1"/>
        <v>3.8761782098924451E-3</v>
      </c>
      <c r="M10">
        <v>-16</v>
      </c>
      <c r="N10">
        <f>Paq_N_1* EXP(-1*(dE0_N_1/ (1 + ((16/zMid_N_1) ^n_N_1)))/(0.00198717*298))</f>
        <v>1.1655510586725171</v>
      </c>
      <c r="O10">
        <f>Paq_N_2* EXP(-1*(dE0_N_2/ (1 + ((16/(-1*zMid_N_2)) ^n_N_2)))/(0.00198717*298))</f>
        <v>1.1108886393503432</v>
      </c>
    </row>
    <row r="11" spans="1:15" ht="18" x14ac:dyDescent="0.35">
      <c r="A11" s="3" t="s">
        <v>8</v>
      </c>
      <c r="B11">
        <v>-10.578336421090835</v>
      </c>
      <c r="D11" s="13">
        <v>-9</v>
      </c>
      <c r="E11">
        <v>13.262702787342265</v>
      </c>
      <c r="F11">
        <v>284.46716551243782</v>
      </c>
      <c r="G11">
        <v>0.77049999999999996</v>
      </c>
      <c r="H11">
        <f>Paq_N_1* EXP(-1*(dE0_N_1/ (1 + ((9/zMid_N_1) ^n_N_1)))/(0.00198717*298))</f>
        <v>0.86132015626510672</v>
      </c>
      <c r="I11">
        <f t="shared" si="0"/>
        <v>2.3417825150413366E-3</v>
      </c>
      <c r="J11">
        <f>Paq_N_2* EXP(-1*(dE0_N_2/ (1 + ((9/(-1*zMid_N_2)) ^n_N_2)))/(0.00198717*298))</f>
        <v>0.69649271532447554</v>
      </c>
      <c r="K11">
        <f t="shared" si="1"/>
        <v>1.9233544015842935E-3</v>
      </c>
      <c r="M11">
        <v>-15</v>
      </c>
      <c r="N11">
        <f>Paq_N_1* EXP(-1*(dE0_N_1/ (1 + ((15/zMid_N_1) ^n_N_1)))/(0.00198717*298))</f>
        <v>1.1246349344397646</v>
      </c>
      <c r="O11">
        <f>Paq_N_2* EXP(-1*(dE0_N_2/ (1 + ((15/(-1*zMid_N_2)) ^n_N_2)))/(0.00198717*298))</f>
        <v>1.0902258781074261</v>
      </c>
    </row>
    <row r="12" spans="1:15" x14ac:dyDescent="0.25">
      <c r="A12" s="3" t="s">
        <v>9</v>
      </c>
      <c r="B12">
        <v>6.8882317956036569</v>
      </c>
      <c r="D12" s="14">
        <v>-7.5</v>
      </c>
      <c r="E12">
        <v>10.49402982303365</v>
      </c>
      <c r="F12">
        <v>233.0137027127592</v>
      </c>
      <c r="G12">
        <v>0.74429999999999996</v>
      </c>
      <c r="H12">
        <f>Paq_N_1* EXP(-1*(dE0_N_1/ (1 + ((7.5/zMid_N_1) ^n_N_1)))/(0.00198717*298))</f>
        <v>0.7952551259149806</v>
      </c>
      <c r="I12">
        <f t="shared" si="0"/>
        <v>8.2704891201274314E-4</v>
      </c>
      <c r="J12">
        <f>Paq_N_2* EXP(-1*(dE0_N_2/ (1 + ((7.5/(-1*zMid_N_2)) ^n_N_2)))/(0.00198717*298))</f>
        <v>0.62508407478886985</v>
      </c>
      <c r="K12">
        <f t="shared" si="1"/>
        <v>5.7470930914255034E-3</v>
      </c>
      <c r="M12">
        <v>-14</v>
      </c>
      <c r="N12">
        <f>Paq_N_1* EXP(-1*(dE0_N_1/ (1 + ((14/zMid_N_1) ^n_N_1)))/(0.00198717*298))</f>
        <v>1.0825508783142073</v>
      </c>
      <c r="O12">
        <f>Paq_N_2* EXP(-1*(dE0_N_2/ (1 + ((14/(-1*zMid_N_2)) ^n_N_2)))/(0.00198717*298))</f>
        <v>1.0586366494361354</v>
      </c>
    </row>
    <row r="13" spans="1:15" x14ac:dyDescent="0.25">
      <c r="D13" s="15">
        <v>-6</v>
      </c>
      <c r="E13">
        <v>7.0577908866317456</v>
      </c>
      <c r="F13">
        <v>229.72199232624777</v>
      </c>
      <c r="G13">
        <v>0.50780000000000003</v>
      </c>
      <c r="H13">
        <f>Paq_N_1* EXP(-1*(dE0_N_1/ (1 + ((6/zMid_N_1) ^n_N_1)))/(0.00198717*298))</f>
        <v>0.73215317600051533</v>
      </c>
      <c r="I13">
        <f t="shared" si="0"/>
        <v>2.5252151038814192E-2</v>
      </c>
      <c r="J13">
        <f>Paq_N_2* EXP(-1*(dE0_N_2/ (1 + ((6/(-1*zMid_N_2)) ^n_N_2)))/(0.00198717*298))</f>
        <v>0.59815104634229177</v>
      </c>
      <c r="K13">
        <f t="shared" si="1"/>
        <v>5.0577941386967277E-3</v>
      </c>
      <c r="M13">
        <v>-13</v>
      </c>
      <c r="N13">
        <f>Paq_N_1* EXP(-1*(dE0_N_1/ (1 + ((13/zMid_N_1) ^n_N_1)))/(0.00198717*298))</f>
        <v>1.0394407501749059</v>
      </c>
      <c r="O13">
        <f>Paq_N_2* EXP(-1*(dE0_N_2/ (1 + ((13/(-1*zMid_N_2)) ^n_N_2)))/(0.00198717*298))</f>
        <v>1.0115910677064881</v>
      </c>
    </row>
    <row r="14" spans="1:15" x14ac:dyDescent="0.25">
      <c r="D14" s="16">
        <v>-4.5</v>
      </c>
      <c r="E14">
        <v>8.1677452793661161</v>
      </c>
      <c r="F14">
        <v>238.06457551464311</v>
      </c>
      <c r="G14">
        <v>0.56699999999999995</v>
      </c>
      <c r="H14">
        <f>Paq_N_1* EXP(-1*(dE0_N_1/ (1 + ((4.5/zMid_N_1) ^n_N_1)))/(0.00198717*298))</f>
        <v>0.67426356896892281</v>
      </c>
      <c r="I14">
        <f t="shared" si="0"/>
        <v>5.6620562472783492E-3</v>
      </c>
      <c r="J14">
        <f>Paq_N_2* EXP(-1*(dE0_N_2/ (1 + ((4.5/(-1*zMid_N_2)) ^n_N_2)))/(0.00198717*298))</f>
        <v>0.59140486840301687</v>
      </c>
      <c r="K14">
        <f t="shared" si="1"/>
        <v>3.3495721536868766E-4</v>
      </c>
      <c r="M14">
        <v>-12</v>
      </c>
      <c r="N14">
        <f>Paq_N_1* EXP(-1*(dE0_N_1/ (1 + ((12/zMid_N_1) ^n_N_1)))/(0.00198717*298))</f>
        <v>0.99549211304587149</v>
      </c>
      <c r="O14">
        <f>Paq_N_2* EXP(-1*(dE0_N_2/ (1 + ((12/(-1*zMid_N_2)) ^n_N_2)))/(0.00198717*298))</f>
        <v>0.94559106391489656</v>
      </c>
    </row>
    <row r="15" spans="1:15" x14ac:dyDescent="0.25">
      <c r="D15" s="17">
        <v>-3</v>
      </c>
      <c r="E15">
        <v>8.1695065760497236</v>
      </c>
      <c r="F15">
        <v>209.69845561618712</v>
      </c>
      <c r="G15">
        <v>0.64390000000000003</v>
      </c>
      <c r="H15">
        <f>Paq_N_1* EXP(-1*(dE0_N_1/ (1 + ((3/zMid_N_1) ^n_N_1)))/(0.00198717*298))</f>
        <v>0.62437510459771772</v>
      </c>
      <c r="I15">
        <f t="shared" si="0"/>
        <v>1.7883303066381349E-4</v>
      </c>
      <c r="J15">
        <f>Paq_N_2* EXP(-1*(dE0_N_2/ (1 + ((3/(-1*zMid_N_2)) ^n_N_2)))/(0.00198717*298))</f>
        <v>0.59037884862938128</v>
      </c>
      <c r="K15">
        <f t="shared" si="1"/>
        <v>1.4203578597397374E-3</v>
      </c>
      <c r="M15">
        <v>-11</v>
      </c>
      <c r="N15">
        <f>Paq_N_1* EXP(-1*(dE0_N_1/ (1 + ((11/zMid_N_1) ^n_N_1)))/(0.00198717*298))</f>
        <v>0.95094509266617777</v>
      </c>
      <c r="O15">
        <f>Paq_N_2* EXP(-1*(dE0_N_2/ (1 + ((11/(-1*zMid_N_2)) ^n_N_2)))/(0.00198717*298))</f>
        <v>0.86248245157378745</v>
      </c>
    </row>
    <row r="16" spans="1:15" x14ac:dyDescent="0.25">
      <c r="D16" s="18">
        <v>-1.5</v>
      </c>
      <c r="E16">
        <v>6.9729717015461468</v>
      </c>
      <c r="F16">
        <v>193.12505159558162</v>
      </c>
      <c r="G16">
        <v>0.59670000000000001</v>
      </c>
      <c r="H16">
        <f>Paq_N_1* EXP(-1*(dE0_N_1/ (1 + ((1.5/zMid_N_1) ^n_N_1)))/(0.00198717*298))</f>
        <v>0.5861849299967965</v>
      </c>
      <c r="I16">
        <f t="shared" si="0"/>
        <v>5.9619843582820486E-5</v>
      </c>
      <c r="J16">
        <f>Paq_N_2* EXP(-1*(dE0_N_2/ (1 + ((1.5/(-1*zMid_N_2)) ^n_N_2)))/(0.00198717*298))</f>
        <v>0.59031235758280953</v>
      </c>
      <c r="K16">
        <f t="shared" si="1"/>
        <v>2.1847799927160785E-5</v>
      </c>
      <c r="M16">
        <v>-10</v>
      </c>
      <c r="N16">
        <f>Paq_N_1* EXP(-1*(dE0_N_1/ (1 + ((10/zMid_N_1) ^n_N_1)))/(0.00198717*298))</f>
        <v>0.90609924715923007</v>
      </c>
      <c r="O16">
        <f>Paq_N_2* EXP(-1*(dE0_N_2/ (1 + ((10/(-1*zMid_N_2)) ^n_N_2)))/(0.00198717*298))</f>
        <v>0.77364059335397939</v>
      </c>
    </row>
    <row r="17" spans="4:15" x14ac:dyDescent="0.25">
      <c r="D17" s="19">
        <v>0</v>
      </c>
      <c r="E17">
        <v>6.6416189254421685</v>
      </c>
      <c r="F17">
        <v>197.31337553026106</v>
      </c>
      <c r="G17">
        <v>0.55630000000000002</v>
      </c>
      <c r="H17">
        <f>Paq_N_1* EXP(-1*(dE0_N_1/ (1 + ((0/zMid_N_1) ^n_N_1)))/(0.00198717*298))</f>
        <v>0.56680201650481288</v>
      </c>
      <c r="I17">
        <f t="shared" si="0"/>
        <v>6.5972191373580921E-5</v>
      </c>
      <c r="J17">
        <f>Paq_N_2* EXP(-1*(dE0_N_2/ (1 + ((0/(-1*zMid_N_2)) ^n_N_2)))/(0.00198717*298))</f>
        <v>0.59031179143520551</v>
      </c>
      <c r="K17">
        <f t="shared" si="1"/>
        <v>6.6421651762735333E-4</v>
      </c>
      <c r="M17">
        <v>-9</v>
      </c>
      <c r="N17">
        <f>Paq_N_1* EXP(-1*(dE0_N_1/ (1 + ((9/zMid_N_1) ^n_N_1)))/(0.00198717*298))</f>
        <v>0.86132015626510672</v>
      </c>
      <c r="O17">
        <f>Paq_N_2* EXP(-1*(dE0_N_2/ (1 + ((9/(-1*zMid_N_2)) ^n_N_2)))/(0.00198717*298))</f>
        <v>0.69649271532447554</v>
      </c>
    </row>
    <row r="18" spans="4:15" x14ac:dyDescent="0.25">
      <c r="D18" s="20">
        <v>1.5</v>
      </c>
      <c r="E18">
        <v>7.132612267350142</v>
      </c>
      <c r="F18">
        <v>211.87289009819162</v>
      </c>
      <c r="G18">
        <v>0.55640000000000001</v>
      </c>
      <c r="H18">
        <f>Paq_N_1* EXP(-1*(dE0_N_1/ (1 + ((1.5/zMid_N_1) ^n_N_1)))/(0.00198717*298))</f>
        <v>0.5861849299967965</v>
      </c>
      <c r="I18">
        <f t="shared" si="0"/>
        <v>5.1291051617235084E-4</v>
      </c>
      <c r="J18">
        <f>Paq_N_2* EXP(-1*(dE0_N_2/ (1 + ((1.5/(-1*zMid_N_2)) ^n_N_2)))/(0.00198717*298))</f>
        <v>0.59031235758280953</v>
      </c>
      <c r="K18">
        <f t="shared" si="1"/>
        <v>6.6022035769293819E-4</v>
      </c>
      <c r="M18">
        <v>-8</v>
      </c>
      <c r="N18">
        <f>Paq_N_1* EXP(-1*(dE0_N_1/ (1 + ((8/zMid_N_1) ^n_N_1)))/(0.00198717*298))</f>
        <v>0.81704547813376061</v>
      </c>
      <c r="O18">
        <f>Paq_N_2* EXP(-1*(dE0_N_2/ (1 + ((8/(-1*zMid_N_2)) ^n_N_2)))/(0.00198717*298))</f>
        <v>0.64280739857935665</v>
      </c>
    </row>
    <row r="19" spans="4:15" x14ac:dyDescent="0.25">
      <c r="D19" s="21">
        <v>3</v>
      </c>
      <c r="E19">
        <v>8.390825717216094</v>
      </c>
      <c r="F19">
        <v>212.60048258233337</v>
      </c>
      <c r="G19">
        <v>0.65229999999999999</v>
      </c>
      <c r="H19">
        <f>Paq_N_1* EXP(-1*(dE0_N_1/ (1 + ((3/zMid_N_1) ^n_N_1)))/(0.00198717*298))</f>
        <v>0.62437510459771772</v>
      </c>
      <c r="I19">
        <f t="shared" si="0"/>
        <v>3.6106841075494284E-4</v>
      </c>
      <c r="J19">
        <f>Paq_N_2* EXP(-1*(dE0_N_2/ (1 + ((3/(-1*zMid_N_2)) ^n_N_2)))/(0.00198717*298))</f>
        <v>0.59037884862938128</v>
      </c>
      <c r="K19">
        <f t="shared" si="1"/>
        <v>1.8763268652511049E-3</v>
      </c>
      <c r="M19">
        <v>-7</v>
      </c>
      <c r="N19">
        <f>Paq_N_1* EXP(-1*(dE0_N_1/ (1 + ((7/zMid_N_1) ^n_N_1)))/(0.00198717*298))</f>
        <v>0.77379042806516207</v>
      </c>
      <c r="O19">
        <f>Paq_N_2* EXP(-1*(dE0_N_2/ (1 + ((7/(-1*zMid_N_2)) ^n_N_2)))/(0.00198717*298))</f>
        <v>0.61242504845900092</v>
      </c>
    </row>
    <row r="20" spans="4:15" x14ac:dyDescent="0.25">
      <c r="D20" s="22">
        <v>4.5</v>
      </c>
      <c r="E20">
        <v>9.6685626323013576</v>
      </c>
      <c r="F20">
        <v>207.82615645104704</v>
      </c>
      <c r="G20">
        <v>0.76890000000000003</v>
      </c>
      <c r="H20">
        <f>Paq_N_1* EXP(-1*(dE0_N_1/ (1 + ((4.5/zMid_N_1) ^n_N_1)))/(0.00198717*298))</f>
        <v>0.67426356896892281</v>
      </c>
      <c r="I20">
        <f t="shared" si="0"/>
        <v>3.2535805249465808E-3</v>
      </c>
      <c r="J20">
        <f>Paq_N_2* EXP(-1*(dE0_N_2/ (1 + ((4.5/(-1*zMid_N_2)) ^n_N_2)))/(0.00198717*298))</f>
        <v>0.59140486840301687</v>
      </c>
      <c r="K20">
        <f t="shared" si="1"/>
        <v>1.2992572386858477E-2</v>
      </c>
      <c r="M20">
        <v>-6</v>
      </c>
      <c r="N20">
        <f>Paq_N_1* EXP(-1*(dE0_N_1/ (1 + ((6/zMid_N_1) ^n_N_1)))/(0.00198717*298))</f>
        <v>0.73215317600051533</v>
      </c>
      <c r="O20">
        <f>Paq_N_2* EXP(-1*(dE0_N_2/ (1 + ((6/(-1*zMid_N_2)) ^n_N_2)))/(0.00198717*298))</f>
        <v>0.59815104634229177</v>
      </c>
    </row>
    <row r="21" spans="4:15" x14ac:dyDescent="0.25">
      <c r="D21" s="23">
        <v>6</v>
      </c>
      <c r="E21">
        <v>10.509979867207722</v>
      </c>
      <c r="F21">
        <v>218.70380004479716</v>
      </c>
      <c r="G21">
        <v>0.79420000000000002</v>
      </c>
      <c r="H21">
        <f>Paq_N_1* EXP(-1*(dE0_N_1/ (1 + ((6/zMid_N_1) ^n_N_1)))/(0.00198717*298))</f>
        <v>0.73215317600051533</v>
      </c>
      <c r="I21">
        <f t="shared" si="0"/>
        <v>1.2480627857234731E-3</v>
      </c>
      <c r="J21">
        <f>Paq_N_2* EXP(-1*(dE0_N_2/ (1 + ((6/(-1*zMid_N_2)) ^n_N_2)))/(0.00198717*298))</f>
        <v>0.59815104634229177</v>
      </c>
      <c r="K21">
        <f t="shared" si="1"/>
        <v>1.5158292087824229E-2</v>
      </c>
      <c r="M21">
        <v>-5</v>
      </c>
      <c r="N21">
        <f>Paq_N_1* EXP(-1*(dE0_N_1/ (1 + ((5/zMid_N_1) ^n_N_1)))/(0.00198717*298))</f>
        <v>0.69282187745625201</v>
      </c>
      <c r="O21">
        <f>Paq_N_2* EXP(-1*(dE0_N_2/ (1 + ((5/(-1*zMid_N_2)) ^n_N_2)))/(0.00198717*298))</f>
        <v>0.59256595829555503</v>
      </c>
    </row>
    <row r="22" spans="4:15" x14ac:dyDescent="0.25">
      <c r="D22" s="24">
        <v>7.5</v>
      </c>
      <c r="E22">
        <v>8.7433385442187443</v>
      </c>
      <c r="F22">
        <v>210.91142211418727</v>
      </c>
      <c r="G22">
        <v>0.68510000000000004</v>
      </c>
      <c r="H22">
        <f>Paq_N_1* EXP(-1*(dE0_N_1/ (1 + ((7.5/zMid_N_1) ^n_N_1)))/(0.00198717*298))</f>
        <v>0.7952551259149806</v>
      </c>
      <c r="I22">
        <f t="shared" si="0"/>
        <v>4.1928874953121179E-3</v>
      </c>
      <c r="J22">
        <f>Paq_N_2* EXP(-1*(dE0_N_2/ (1 + ((7.5/(-1*zMid_N_2)) ^n_N_2)))/(0.00198717*298))</f>
        <v>0.62508407478886985</v>
      </c>
      <c r="K22">
        <f t="shared" si="1"/>
        <v>1.585276664678219E-3</v>
      </c>
      <c r="M22">
        <v>-4</v>
      </c>
      <c r="N22">
        <f>Paq_N_1* EXP(-1*(dE0_N_1/ (1 + ((4/zMid_N_1) ^n_N_1)))/(0.00198717*298))</f>
        <v>0.65658774755986726</v>
      </c>
      <c r="O22">
        <f>Paq_N_2* EXP(-1*(dE0_N_2/ (1 + ((4/(-1*zMid_N_2)) ^n_N_2)))/(0.00198717*298))</f>
        <v>0.59079791354766464</v>
      </c>
    </row>
    <row r="23" spans="4:15" x14ac:dyDescent="0.25">
      <c r="D23" s="25">
        <v>9</v>
      </c>
      <c r="E23">
        <v>9.3488161115303772</v>
      </c>
      <c r="F23">
        <v>213.79921748310556</v>
      </c>
      <c r="G23">
        <v>0.72270000000000001</v>
      </c>
      <c r="H23">
        <f>Paq_N_1* EXP(-1*(dE0_N_1/ (1 + ((9/zMid_N_1) ^n_N_1)))/(0.00198717*298))</f>
        <v>0.86132015626510672</v>
      </c>
      <c r="I23">
        <f t="shared" si="0"/>
        <v>5.8074391469714872E-3</v>
      </c>
      <c r="J23">
        <f>Paq_N_2* EXP(-1*(dE0_N_2/ (1 + ((9/(-1*zMid_N_2)) ^n_N_2)))/(0.00198717*298))</f>
        <v>0.69649271532447554</v>
      </c>
      <c r="K23">
        <f t="shared" si="1"/>
        <v>2.573289604896258E-4</v>
      </c>
      <c r="M23">
        <v>-3</v>
      </c>
      <c r="N23">
        <f>Paq_N_1* EXP(-1*(dE0_N_1/ (1 + ((3/zMid_N_1) ^n_N_1)))/(0.00198717*298))</f>
        <v>0.62437510459771772</v>
      </c>
      <c r="O23">
        <f>Paq_N_2* EXP(-1*(dE0_N_2/ (1 + ((3/(-1*zMid_N_2)) ^n_N_2)))/(0.00198717*298))</f>
        <v>0.59037884862938128</v>
      </c>
    </row>
    <row r="24" spans="4:15" x14ac:dyDescent="0.25">
      <c r="D24" s="26">
        <v>10.5</v>
      </c>
      <c r="E24">
        <v>12.019937891438548</v>
      </c>
      <c r="F24">
        <v>220.63045274559784</v>
      </c>
      <c r="G24">
        <v>0.90039999999999998</v>
      </c>
      <c r="H24">
        <f>Paq_N_1* EXP(-1*(dE0_N_1/ (1 + ((10.5/zMid_N_1) ^n_N_1)))/(0.00198717*298))</f>
        <v>0.92853829573730196</v>
      </c>
      <c r="I24">
        <f t="shared" si="0"/>
        <v>1.7860541629136773E-4</v>
      </c>
      <c r="J24">
        <f>Paq_N_2* EXP(-1*(dE0_N_2/ (1 + ((10.5/(-1*zMid_N_2)) ^n_N_2)))/(0.00198717*298))</f>
        <v>0.8177090709526259</v>
      </c>
      <c r="K24">
        <f t="shared" si="1"/>
        <v>1.750307029043034E-3</v>
      </c>
      <c r="M24">
        <v>-2</v>
      </c>
      <c r="N24">
        <f>Paq_N_1* EXP(-1*(dE0_N_1/ (1 + ((2/zMid_N_1) ^n_N_1)))/(0.00198717*298))</f>
        <v>0.59731854121051697</v>
      </c>
      <c r="O24">
        <f>Paq_N_2* EXP(-1*(dE0_N_2/ (1 + ((2/(-1*zMid_N_2)) ^n_N_2)))/(0.00198717*298))</f>
        <v>0.59031589852368715</v>
      </c>
    </row>
    <row r="25" spans="4:15" x14ac:dyDescent="0.25">
      <c r="D25" s="27">
        <v>12</v>
      </c>
      <c r="E25">
        <v>13.860302062113043</v>
      </c>
      <c r="F25">
        <v>225.0124392487848</v>
      </c>
      <c r="G25">
        <v>1.018</v>
      </c>
      <c r="H25">
        <f>Paq_N_1* EXP(-1*(dE0_N_1/ (1 + ((12/zMid_N_1) ^n_N_1)))/(0.00198717*298))</f>
        <v>0.99549211304587149</v>
      </c>
      <c r="I25">
        <f t="shared" si="0"/>
        <v>9.4283214351941909E-5</v>
      </c>
      <c r="J25">
        <f>Paq_N_2* EXP(-1*(dE0_N_2/ (1 + ((12/(-1*zMid_N_2)) ^n_N_2)))/(0.00198717*298))</f>
        <v>0.94559106391489656</v>
      </c>
      <c r="K25">
        <f t="shared" si="1"/>
        <v>1.0268447660803652E-3</v>
      </c>
      <c r="M25">
        <v>-1</v>
      </c>
      <c r="N25">
        <f>Paq_N_1* EXP(-1*(dE0_N_1/ (1 + ((1/zMid_N_1) ^n_N_1)))/(0.00198717*298))</f>
        <v>0.57699812046098686</v>
      </c>
      <c r="O25">
        <f>Paq_N_2* EXP(-1*(dE0_N_2/ (1 + ((1/(-1*zMid_N_2)) ^n_N_2)))/(0.00198717*298))</f>
        <v>0.59031182610670718</v>
      </c>
    </row>
    <row r="26" spans="4:15" x14ac:dyDescent="0.25">
      <c r="D26" s="28">
        <v>13.5</v>
      </c>
      <c r="E26">
        <v>15.5408118741286</v>
      </c>
      <c r="F26">
        <v>218.45557134306293</v>
      </c>
      <c r="G26">
        <v>1.1757</v>
      </c>
      <c r="H26">
        <f>Paq_N_1* EXP(-1*(dE0_N_1/ (1 + ((13.5/zMid_N_1) ^n_N_1)))/(0.00198717*298))</f>
        <v>1.061113501381705</v>
      </c>
      <c r="I26">
        <f t="shared" si="0"/>
        <v>1.9833375230004216E-3</v>
      </c>
      <c r="J26">
        <f>Paq_N_2* EXP(-1*(dE0_N_2/ (1 + ((13.5/(-1*zMid_N_2)) ^n_N_2)))/(0.00198717*298))</f>
        <v>1.0373272000863583</v>
      </c>
      <c r="K26">
        <f t="shared" si="1"/>
        <v>2.957266229328162E-3</v>
      </c>
      <c r="M26">
        <v>0</v>
      </c>
      <c r="N26">
        <f>Paq_N_1* EXP(-1*(dE0_N_1/ (1 + ((0/zMid_N_1) ^n_N_1)))/(0.00198717*298))</f>
        <v>0.56680201650481288</v>
      </c>
      <c r="O26">
        <f>Paq_N_2* EXP(-1*(dE0_N_2/ (1 + ((0/(-1*zMid_N_2)) ^n_N_2)))/(0.00198717*298))</f>
        <v>0.59031179143520551</v>
      </c>
    </row>
    <row r="27" spans="4:15" x14ac:dyDescent="0.25">
      <c r="D27" s="29">
        <v>15</v>
      </c>
      <c r="E27">
        <v>16.486173145248653</v>
      </c>
      <c r="F27">
        <v>224.03276726794545</v>
      </c>
      <c r="G27">
        <v>1.2161999999999999</v>
      </c>
      <c r="H27">
        <f>Paq_N_1* EXP(-1*(dE0_N_1/ (1 + ((15/zMid_N_1) ^n_N_1)))/(0.00198717*298))</f>
        <v>1.1246349344397646</v>
      </c>
      <c r="I27">
        <f t="shared" si="0"/>
        <v>1.1555532315635916E-3</v>
      </c>
      <c r="J27">
        <f>Paq_N_2* EXP(-1*(dE0_N_2/ (1 + ((15/(-1*zMid_N_2)) ^n_N_2)))/(0.00198717*298))</f>
        <v>1.0902258781074261</v>
      </c>
      <c r="K27">
        <f t="shared" si="1"/>
        <v>2.2551588334475568E-3</v>
      </c>
      <c r="M27">
        <v>1</v>
      </c>
      <c r="N27">
        <f>Paq_N_1* EXP(-1*(dE0_N_1/ (1 + ((1/zMid_N_1) ^n_N_1)))/(0.00198717*298))</f>
        <v>0.57699812046098686</v>
      </c>
      <c r="O27">
        <f>Paq_N_2* EXP(-1*(dE0_N_2/ (1 + ((1/(-1*zMid_N_2)) ^n_N_2)))/(0.00198717*298))</f>
        <v>0.59031182610670718</v>
      </c>
    </row>
    <row r="28" spans="4:15" x14ac:dyDescent="0.25">
      <c r="D28" s="30">
        <v>16.5</v>
      </c>
      <c r="E28">
        <v>18.04788149068262</v>
      </c>
      <c r="F28">
        <v>233.75708221892813</v>
      </c>
      <c r="G28">
        <v>1.276</v>
      </c>
      <c r="H28">
        <f>Paq_N_1* EXP(-1*(dE0_N_1/ (1 + ((16.5/zMid_N_1) ^n_N_1)))/(0.00198717*298))</f>
        <v>1.1855376798428821</v>
      </c>
      <c r="I28">
        <f t="shared" si="0"/>
        <v>1.0198641977023366E-3</v>
      </c>
      <c r="J28">
        <f>Paq_N_2* EXP(-1*(dE0_N_2/ (1 + ((16.5/(-1*zMid_N_2)) ^n_N_2)))/(0.00198717*298))</f>
        <v>1.1183252046734811</v>
      </c>
      <c r="K28">
        <f t="shared" si="1"/>
        <v>3.2812918292815154E-3</v>
      </c>
      <c r="M28">
        <v>2</v>
      </c>
      <c r="N28">
        <f>Paq_N_1* EXP(-1*(dE0_N_1/ (1 + ((2/zMid_N_1) ^n_N_1)))/(0.00198717*298))</f>
        <v>0.59731854121051697</v>
      </c>
      <c r="O28">
        <f>Paq_N_2* EXP(-1*(dE0_N_2/ (1 + ((2/(-1*zMid_N_2)) ^n_N_2)))/(0.00198717*298))</f>
        <v>0.59031589852368715</v>
      </c>
    </row>
    <row r="29" spans="4:15" x14ac:dyDescent="0.25">
      <c r="D29" s="31">
        <v>18</v>
      </c>
      <c r="E29">
        <v>17.434717089461987</v>
      </c>
      <c r="F29">
        <v>221.14244125881021</v>
      </c>
      <c r="G29">
        <v>1.3029999999999999</v>
      </c>
      <c r="H29">
        <f>Paq_N_1* EXP(-1*(dE0_N_1/ (1 + ((18/zMid_N_1) ^n_N_1)))/(0.00198717*298))</f>
        <v>1.2435014479723403</v>
      </c>
      <c r="I29">
        <f t="shared" si="0"/>
        <v>4.1201369177821823E-4</v>
      </c>
      <c r="J29">
        <f>Paq_N_2* EXP(-1*(dE0_N_2/ (1 + ((18/(-1*zMid_N_2)) ^n_N_2)))/(0.00198717*298))</f>
        <v>1.1331160886956588</v>
      </c>
      <c r="K29">
        <f t="shared" si="1"/>
        <v>3.6808500812602228E-3</v>
      </c>
      <c r="M29">
        <v>3</v>
      </c>
      <c r="N29">
        <f>Paq_N_1* EXP(-1*(dE0_N_1/ (1 + ((3/zMid_N_1) ^n_N_1)))/(0.00198717*298))</f>
        <v>0.62437510459771772</v>
      </c>
      <c r="O29">
        <f>Paq_N_2* EXP(-1*(dE0_N_2/ (1 + ((3/(-1*zMid_N_2)) ^n_N_2)))/(0.00198717*298))</f>
        <v>0.59037884862938128</v>
      </c>
    </row>
    <row r="30" spans="4:15" x14ac:dyDescent="0.25">
      <c r="D30" s="32">
        <v>19.5</v>
      </c>
      <c r="E30">
        <v>14.480801489781307</v>
      </c>
      <c r="F30">
        <v>203.08284087537984</v>
      </c>
      <c r="G30">
        <v>1.1785000000000001</v>
      </c>
      <c r="H30">
        <f>Paq_N_1* EXP(-1*(dE0_N_1/ (1 + ((19.5/zMid_N_1) ^n_N_1)))/(0.00198717*298))</f>
        <v>1.2983588857116755</v>
      </c>
      <c r="I30">
        <f t="shared" si="0"/>
        <v>1.7694783297617367E-3</v>
      </c>
      <c r="J30">
        <f>Paq_N_2* EXP(-1*(dE0_N_2/ (1 + ((19.5/(-1*zMid_N_2)) ^n_N_2)))/(0.00198717*298))</f>
        <v>1.1410725326496274</v>
      </c>
      <c r="K30">
        <f t="shared" si="1"/>
        <v>1.9645766066844774E-4</v>
      </c>
      <c r="M30">
        <v>4</v>
      </c>
      <c r="N30">
        <f>Paq_N_1* EXP(-1*(dE0_N_1/ (1 + ((4/zMid_N_1) ^n_N_1)))/(0.00198717*298))</f>
        <v>0.65658774755986726</v>
      </c>
      <c r="O30">
        <f>Paq_N_2* EXP(-1*(dE0_N_2/ (1 + ((4/(-1*zMid_N_2)) ^n_N_2)))/(0.00198717*298))</f>
        <v>0.59079791354766464</v>
      </c>
    </row>
    <row r="31" spans="4:15" x14ac:dyDescent="0.25">
      <c r="D31" s="33">
        <v>21</v>
      </c>
      <c r="E31">
        <v>15.105222382034079</v>
      </c>
      <c r="F31">
        <v>202.23586360890673</v>
      </c>
      <c r="G31">
        <v>1.2343999999999999</v>
      </c>
      <c r="H31">
        <f>Paq_N_1* EXP(-1*(dE0_N_1/ (1 + ((21/zMid_N_1) ^n_N_1)))/(0.00198717*298))</f>
        <v>1.3500566871319208</v>
      </c>
      <c r="I31">
        <f t="shared" si="0"/>
        <v>1.5129059173004441E-3</v>
      </c>
      <c r="J31">
        <f>Paq_N_2* EXP(-1*(dE0_N_2/ (1 + ((21/(-1*zMid_N_2)) ^n_N_2)))/(0.00198717*298))</f>
        <v>1.1454927319033827</v>
      </c>
      <c r="K31">
        <f t="shared" si="1"/>
        <v>1.0538837081861658E-3</v>
      </c>
      <c r="M31">
        <v>5</v>
      </c>
      <c r="N31">
        <f>Paq_N_1* EXP(-1*(dE0_N_1/ (1 + ((5/zMid_N_1) ^n_N_1)))/(0.00198717*298))</f>
        <v>0.69282187745625201</v>
      </c>
      <c r="O31">
        <f>Paq_N_2* EXP(-1*(dE0_N_2/ (1 + ((5/(-1*zMid_N_2)) ^n_N_2)))/(0.00198717*298))</f>
        <v>0.59256595829555503</v>
      </c>
    </row>
    <row r="32" spans="4:15" x14ac:dyDescent="0.25">
      <c r="D32" s="34">
        <v>22.5</v>
      </c>
      <c r="E32">
        <v>16.228337845403459</v>
      </c>
      <c r="F32">
        <v>185.59265872251723</v>
      </c>
      <c r="G32">
        <v>1.4451000000000001</v>
      </c>
      <c r="H32">
        <f>Paq_N_1* EXP(-1*(dE0_N_1/ (1 + ((22.5/zMid_N_1) ^n_N_1)))/(0.00198717*298))</f>
        <v>1.398623758759201</v>
      </c>
      <c r="I32">
        <f t="shared" si="0"/>
        <v>2.0155479770141984E-4</v>
      </c>
      <c r="J32">
        <f>Paq_N_2* EXP(-1*(dE0_N_2/ (1 + ((22.5/(-1*zMid_N_2)) ^n_N_2)))/(0.00198717*298))</f>
        <v>1.1480338249110784</v>
      </c>
      <c r="K32">
        <f t="shared" si="1"/>
        <v>9.9886466278256408E-3</v>
      </c>
      <c r="M32">
        <v>6</v>
      </c>
      <c r="N32">
        <f>Paq_N_1* EXP(-1*(dE0_N_1/ (1 + ((6/zMid_N_1) ^n_N_1)))/(0.00198717*298))</f>
        <v>0.73215317600051533</v>
      </c>
      <c r="O32">
        <f>Paq_N_2* EXP(-1*(dE0_N_2/ (1 + ((6/(-1*zMid_N_2)) ^n_N_2)))/(0.00198717*298))</f>
        <v>0.59815104634229177</v>
      </c>
    </row>
    <row r="33" spans="7:15" x14ac:dyDescent="0.25">
      <c r="M33">
        <v>7</v>
      </c>
      <c r="N33">
        <f>Paq_N_1* EXP(-1*(dE0_N_1/ (1 + ((7/zMid_N_1) ^n_N_1)))/(0.00198717*298))</f>
        <v>0.77379042806516207</v>
      </c>
      <c r="O33">
        <f>Paq_N_2* EXP(-1*(dE0_N_2/ (1 + ((7/(-1*zMid_N_2)) ^n_N_2)))/(0.00198717*298))</f>
        <v>0.61242504845900092</v>
      </c>
    </row>
    <row r="34" spans="7:15" x14ac:dyDescent="0.25">
      <c r="G34" t="s">
        <v>18</v>
      </c>
      <c r="H34" s="1" t="s">
        <v>20</v>
      </c>
      <c r="I34">
        <f>SQRT(AVERAGE(I$17:I$32))</f>
        <v>3.8543414961820989E-2</v>
      </c>
      <c r="M34">
        <v>8</v>
      </c>
      <c r="N34">
        <f>Paq_N_1* EXP(-1*(dE0_N_1/ (1 + ((8/zMid_N_1) ^n_N_1)))/(0.00198717*298))</f>
        <v>0.81704547813376061</v>
      </c>
      <c r="O34">
        <f>Paq_N_2* EXP(-1*(dE0_N_2/ (1 + ((8/(-1*zMid_N_2)) ^n_N_2)))/(0.00198717*298))</f>
        <v>0.64280739857935665</v>
      </c>
    </row>
    <row r="35" spans="7:15" x14ac:dyDescent="0.25">
      <c r="G35" t="s">
        <v>19</v>
      </c>
      <c r="J35" s="1" t="s">
        <v>20</v>
      </c>
      <c r="K35">
        <f>SQRT(AVERAGE(K$2:K$17))</f>
        <v>5.7186207014833457E-2</v>
      </c>
      <c r="M35">
        <v>9</v>
      </c>
      <c r="N35">
        <f>Paq_N_1* EXP(-1*(dE0_N_1/ (1 + ((9/zMid_N_1) ^n_N_1)))/(0.00198717*298))</f>
        <v>0.86132015626510672</v>
      </c>
      <c r="O35">
        <f>Paq_N_2* EXP(-1*(dE0_N_2/ (1 + ((9/(-1*zMid_N_2)) ^n_N_2)))/(0.00198717*298))</f>
        <v>0.69649271532447554</v>
      </c>
    </row>
    <row r="36" spans="7:15" x14ac:dyDescent="0.25">
      <c r="M36">
        <v>10</v>
      </c>
      <c r="N36">
        <f>Paq_N_1* EXP(-1*(dE0_N_1/ (1 + ((10/zMid_N_1) ^n_N_1)))/(0.00198717*298))</f>
        <v>0.90609924715923007</v>
      </c>
      <c r="O36">
        <f>Paq_N_2* EXP(-1*(dE0_N_2/ (1 + ((10/(-1*zMid_N_2)) ^n_N_2)))/(0.00198717*298))</f>
        <v>0.77364059335397939</v>
      </c>
    </row>
    <row r="37" spans="7:15" x14ac:dyDescent="0.25">
      <c r="M37">
        <v>11</v>
      </c>
      <c r="N37">
        <f>Paq_N_1* EXP(-1*(dE0_N_1/ (1 + ((11/zMid_N_1) ^n_N_1)))/(0.00198717*298))</f>
        <v>0.95094509266617777</v>
      </c>
      <c r="O37">
        <f>Paq_N_2* EXP(-1*(dE0_N_2/ (1 + ((11/(-1*zMid_N_2)) ^n_N_2)))/(0.00198717*298))</f>
        <v>0.86248245157378745</v>
      </c>
    </row>
    <row r="38" spans="7:15" x14ac:dyDescent="0.25">
      <c r="M38">
        <v>12</v>
      </c>
      <c r="N38">
        <f>Paq_N_1* EXP(-1*(dE0_N_1/ (1 + ((12/zMid_N_1) ^n_N_1)))/(0.00198717*298))</f>
        <v>0.99549211304587149</v>
      </c>
      <c r="O38">
        <f>Paq_N_2* EXP(-1*(dE0_N_2/ (1 + ((12/(-1*zMid_N_2)) ^n_N_2)))/(0.00198717*298))</f>
        <v>0.94559106391489656</v>
      </c>
    </row>
    <row r="39" spans="7:15" x14ac:dyDescent="0.25">
      <c r="M39">
        <v>13</v>
      </c>
      <c r="N39">
        <f>Paq_N_1* EXP(-1*(dE0_N_1/ (1 + ((13/zMid_N_1) ^n_N_1)))/(0.00198717*298))</f>
        <v>1.0394407501749059</v>
      </c>
      <c r="O39">
        <f>Paq_N_2* EXP(-1*(dE0_N_2/ (1 + ((13/(-1*zMid_N_2)) ^n_N_2)))/(0.00198717*298))</f>
        <v>1.0115910677064881</v>
      </c>
    </row>
    <row r="40" spans="7:15" x14ac:dyDescent="0.25">
      <c r="M40">
        <v>14</v>
      </c>
      <c r="N40">
        <f>Paq_N_1* EXP(-1*(dE0_N_1/ (1 + ((14/zMid_N_1) ^n_N_1)))/(0.00198717*298))</f>
        <v>1.0825508783142073</v>
      </c>
      <c r="O40">
        <f>Paq_N_2* EXP(-1*(dE0_N_2/ (1 + ((14/(-1*zMid_N_2)) ^n_N_2)))/(0.00198717*298))</f>
        <v>1.0586366494361354</v>
      </c>
    </row>
    <row r="41" spans="7:15" x14ac:dyDescent="0.25">
      <c r="M41">
        <v>15</v>
      </c>
      <c r="N41">
        <f>Paq_N_1* EXP(-1*(dE0_N_1/ (1 + ((15/zMid_N_1) ^n_N_1)))/(0.00198717*298))</f>
        <v>1.1246349344397646</v>
      </c>
      <c r="O41">
        <f>Paq_N_2* EXP(-1*(dE0_N_2/ (1 + ((15/(-1*zMid_N_2)) ^n_N_2)))/(0.00198717*298))</f>
        <v>1.0902258781074261</v>
      </c>
    </row>
    <row r="42" spans="7:15" x14ac:dyDescent="0.25">
      <c r="M42">
        <v>16</v>
      </c>
      <c r="N42">
        <f>Paq_N_1* EXP(-1*(dE0_N_1/ (1 + ((16/zMid_N_1) ^n_N_1)))/(0.00198717*298))</f>
        <v>1.1655510586725171</v>
      </c>
      <c r="O42">
        <f>Paq_N_2* EXP(-1*(dE0_N_2/ (1 + ((16/(-1*zMid_N_2)) ^n_N_2)))/(0.00198717*298))</f>
        <v>1.1108886393503432</v>
      </c>
    </row>
    <row r="43" spans="7:15" x14ac:dyDescent="0.25">
      <c r="M43">
        <v>17</v>
      </c>
      <c r="N43">
        <f>Paq_N_1* EXP(-1*(dE0_N_1/ (1 + ((17/zMid_N_1) ^n_N_1)))/(0.00198717*298))</f>
        <v>1.2051964965351858</v>
      </c>
      <c r="O43">
        <f>Paq_N_2* EXP(-1*(dE0_N_2/ (1 + ((17/(-1*zMid_N_2)) ^n_N_2)))/(0.00198717*298))</f>
        <v>1.1243268972633693</v>
      </c>
    </row>
    <row r="44" spans="7:15" x14ac:dyDescent="0.25">
      <c r="M44">
        <v>18</v>
      </c>
      <c r="N44">
        <f>Paq_N_1* EXP(-1*(dE0_N_1/ (1 + ((18/zMid_N_1) ^n_N_1)))/(0.00198717*298))</f>
        <v>1.2435014479723403</v>
      </c>
      <c r="O44">
        <f>Paq_N_2* EXP(-1*(dE0_N_2/ (1 + ((18/(-1*zMid_N_2)) ^n_N_2)))/(0.00198717*298))</f>
        <v>1.1331160886956588</v>
      </c>
    </row>
    <row r="45" spans="7:15" x14ac:dyDescent="0.25">
      <c r="M45">
        <v>19</v>
      </c>
      <c r="N45">
        <f>Paq_N_1* EXP(-1*(dE0_N_1/ (1 + ((19/zMid_N_1) ^n_N_1)))/(0.00198717*298))</f>
        <v>1.2804234789874429</v>
      </c>
      <c r="O45">
        <f>Paq_N_2* EXP(-1*(dE0_N_2/ (1 + ((19/(-1*zMid_N_2)) ^n_N_2)))/(0.00198717*298))</f>
        <v>1.1389311804912532</v>
      </c>
    </row>
    <row r="46" spans="7:15" x14ac:dyDescent="0.25">
      <c r="M46">
        <v>20</v>
      </c>
      <c r="N46">
        <f>Paq_N_1* EXP(-1*(dE0_N_1/ (1 + ((20/zMid_N_1) ^n_N_1)))/(0.00198717*298))</f>
        <v>1.3159425522469281</v>
      </c>
      <c r="O46">
        <f>Paq_N_2* EXP(-1*(dE0_N_2/ (1 + ((20/(-1*zMid_N_2)) ^n_N_2)))/(0.00198717*298))</f>
        <v>1.1428336828870729</v>
      </c>
    </row>
    <row r="47" spans="7:15" x14ac:dyDescent="0.25">
      <c r="M47">
        <v>21</v>
      </c>
      <c r="N47">
        <f>Paq_N_1* EXP(-1*(dE0_N_1/ (1 + ((21/zMid_N_1) ^n_N_1)))/(0.00198717*298))</f>
        <v>1.3500566871319208</v>
      </c>
      <c r="O47">
        <f>Paq_N_2* EXP(-1*(dE0_N_2/ (1 + ((21/(-1*zMid_N_2)) ^n_N_2)))/(0.00198717*298))</f>
        <v>1.1454927319033827</v>
      </c>
    </row>
    <row r="48" spans="7:15" x14ac:dyDescent="0.25">
      <c r="M48">
        <v>22</v>
      </c>
      <c r="N48">
        <f>Paq_N_1* EXP(-1*(dE0_N_1/ (1 + ((22/zMid_N_1) ^n_N_1)))/(0.00198717*298))</f>
        <v>1.3827782274387079</v>
      </c>
      <c r="O48">
        <f>Paq_N_2* EXP(-1*(dE0_N_2/ (1 + ((22/(-1*zMid_N_2)) ^n_N_2)))/(0.00198717*298))</f>
        <v>1.1473322979657465</v>
      </c>
    </row>
    <row r="49" spans="13:15" x14ac:dyDescent="0.25">
      <c r="M49">
        <v>23</v>
      </c>
      <c r="N49">
        <f>Paq_N_1* EXP(-1*(dE0_N_1/ (1 + ((23/zMid_N_1) ^n_N_1)))/(0.00198717*298))</f>
        <v>1.4141306743277364</v>
      </c>
      <c r="O49">
        <f>Paq_N_2* EXP(-1*(dE0_N_2/ (1 + ((23/(-1*zMid_N_2)) ^n_N_2)))/(0.00198717*298))</f>
        <v>1.1486238399348252</v>
      </c>
    </row>
    <row r="50" spans="13:15" x14ac:dyDescent="0.25">
      <c r="M50">
        <v>24</v>
      </c>
      <c r="N50">
        <f>Paq_N_1* EXP(-1*(dE0_N_1/ (1 + ((24/zMid_N_1) ^n_N_1)))/(0.00198717*298))</f>
        <v>1.444146030685858</v>
      </c>
      <c r="O50">
        <f>Paq_N_2* EXP(-1*(dE0_N_2/ (1 + ((24/(-1*zMid_N_2)) ^n_N_2)))/(0.00198717*298))</f>
        <v>1.1495434472337234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50"/>
  <sheetViews>
    <sheetView topLeftCell="A37" workbookViewId="0"/>
  </sheetViews>
  <sheetFormatPr defaultRowHeight="15" x14ac:dyDescent="0.25"/>
  <cols>
    <col min="1" max="1" width="6" bestFit="1" customWidth="1"/>
    <col min="2" max="2" width="12.7109375" bestFit="1" customWidth="1"/>
    <col min="4" max="4" width="10.42578125" bestFit="1" customWidth="1"/>
    <col min="5" max="6" width="12" bestFit="1" customWidth="1"/>
    <col min="7" max="7" width="16.140625" bestFit="1" customWidth="1"/>
    <col min="8" max="11" width="12" bestFit="1" customWidth="1"/>
    <col min="13" max="13" width="3.7109375" bestFit="1" customWidth="1"/>
    <col min="14" max="15" width="12" bestFit="1" customWidth="1"/>
  </cols>
  <sheetData>
    <row r="1" spans="1:15" ht="18" x14ac:dyDescent="0.35">
      <c r="A1" s="1" t="s">
        <v>0</v>
      </c>
      <c r="B1">
        <v>4425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M1" s="1" t="s">
        <v>21</v>
      </c>
      <c r="N1" s="1" t="s">
        <v>22</v>
      </c>
      <c r="O1" s="1" t="s">
        <v>23</v>
      </c>
    </row>
    <row r="2" spans="1:15" ht="18" x14ac:dyDescent="0.35">
      <c r="A2" s="1" t="s">
        <v>1</v>
      </c>
      <c r="B2">
        <v>149.33533099297836</v>
      </c>
      <c r="D2" s="4">
        <v>-22.5</v>
      </c>
      <c r="E2">
        <v>2.2021279829565614</v>
      </c>
      <c r="F2">
        <v>37.146305786227806</v>
      </c>
      <c r="G2">
        <v>1.7565999999999999</v>
      </c>
      <c r="H2">
        <f>Paq_P_1* EXP(-1*(dE0_P_1/ (1 + ((22.5/zMid_P_1) ^n_P_1)))/(0.00198717*298))</f>
        <v>0.83620653363282549</v>
      </c>
      <c r="I2">
        <f t="shared" ref="I2:I32" si="0">IF(ISERROR((LOG(H2)-LOG(G2))^2),0,(LOG(H2)-LOG(G2))^2)</f>
        <v>0.10391553239215474</v>
      </c>
      <c r="J2">
        <f>Paq_P_2* EXP(-1*(dE0_P_2/ (1 + ((22.5/(-1*zMid_P_2)) ^n_P_2)))/(0.00198717*298))</f>
        <v>1.6404143737415735</v>
      </c>
      <c r="K2">
        <f t="shared" ref="K2:K32" si="1">IF(ISERROR((LOG(J2)-LOG(G2))^2),0,(LOG(J2)-LOG(G2))^2)</f>
        <v>8.8323752843984954E-4</v>
      </c>
      <c r="M2">
        <v>-24</v>
      </c>
      <c r="N2">
        <f>Paq_P_1* EXP(-1*(dE0_P_1/ (1 + ((24/zMid_P_1) ^n_P_1)))/(0.00198717*298))</f>
        <v>0.83620653922851429</v>
      </c>
      <c r="O2">
        <f>Paq_P_2* EXP(-1*(dE0_P_2/ (1 + ((24/(-1*zMid_P_2)) ^n_P_2)))/(0.00198717*298))</f>
        <v>1.7011976532553565</v>
      </c>
    </row>
    <row r="3" spans="1:15" x14ac:dyDescent="0.25">
      <c r="D3" s="5">
        <v>-21</v>
      </c>
      <c r="E3">
        <v>2.9060637539544039</v>
      </c>
      <c r="F3">
        <v>53.383067205069459</v>
      </c>
      <c r="G3">
        <v>1.6131</v>
      </c>
      <c r="H3">
        <f>Paq_P_1* EXP(-1*(dE0_P_1/ (1 + ((21/zMid_P_1) ^n_P_1)))/(0.00198717*298))</f>
        <v>0.83620652048762301</v>
      </c>
      <c r="I3">
        <f t="shared" si="0"/>
        <v>8.1423333562646777E-2</v>
      </c>
      <c r="J3">
        <f>Paq_P_2* EXP(-1*(dE0_P_2/ (1 + ((21/(-1*zMid_P_2)) ^n_P_2)))/(0.00198717*298))</f>
        <v>1.5765209836571248</v>
      </c>
      <c r="K3">
        <f t="shared" si="1"/>
        <v>9.923219091192978E-5</v>
      </c>
      <c r="M3">
        <v>-23</v>
      </c>
      <c r="N3">
        <f>Paq_P_1* EXP(-1*(dE0_P_1/ (1 + ((23/zMid_P_1) ^n_P_1)))/(0.00198717*298))</f>
        <v>0.83620653602843364</v>
      </c>
      <c r="O3">
        <f>Paq_P_2* EXP(-1*(dE0_P_2/ (1 + ((23/(-1*zMid_P_2)) ^n_P_2)))/(0.00198717*298))</f>
        <v>1.6610215250104572</v>
      </c>
    </row>
    <row r="4" spans="1:15" ht="18" x14ac:dyDescent="0.35">
      <c r="A4" s="2" t="s">
        <v>2</v>
      </c>
      <c r="B4">
        <v>0.83620654416493823</v>
      </c>
      <c r="D4" s="6">
        <v>-19.5</v>
      </c>
      <c r="E4">
        <v>4.9940043517237305</v>
      </c>
      <c r="F4">
        <v>104.67349192897072</v>
      </c>
      <c r="G4">
        <v>1.4137</v>
      </c>
      <c r="H4">
        <f>Paq_P_1* EXP(-1*(dE0_P_1/ (1 + ((19.5/zMid_P_1) ^n_P_1)))/(0.00198717*298))</f>
        <v>0.83620648764102234</v>
      </c>
      <c r="I4">
        <f t="shared" si="0"/>
        <v>5.2003940663350491E-2</v>
      </c>
      <c r="J4">
        <f>Paq_P_2* EXP(-1*(dE0_P_2/ (1 + ((19.5/(-1*zMid_P_2)) ^n_P_2)))/(0.00198717*298))</f>
        <v>1.5095668519257148</v>
      </c>
      <c r="K4">
        <f t="shared" si="1"/>
        <v>8.1197031000994867E-4</v>
      </c>
      <c r="M4">
        <v>-22</v>
      </c>
      <c r="N4">
        <f>Paq_P_1* EXP(-1*(dE0_P_1/ (1 + ((22/zMid_P_1) ^n_P_1)))/(0.00198717*298))</f>
        <v>0.83620653045258797</v>
      </c>
      <c r="O4">
        <f>Paq_P_2* EXP(-1*(dE0_P_2/ (1 + ((22/(-1*zMid_P_2)) ^n_P_2)))/(0.00198717*298))</f>
        <v>1.619461150948236</v>
      </c>
    </row>
    <row r="5" spans="1:15" ht="18" x14ac:dyDescent="0.35">
      <c r="A5" s="2" t="s">
        <v>3</v>
      </c>
      <c r="B5">
        <v>7.9842337872215174E-3</v>
      </c>
      <c r="D5" s="7">
        <v>-18</v>
      </c>
      <c r="E5">
        <v>7.9995244956832545</v>
      </c>
      <c r="F5">
        <v>171.11905245556184</v>
      </c>
      <c r="G5">
        <v>1.3852</v>
      </c>
      <c r="H5">
        <f>Paq_P_1* EXP(-1*(dE0_P_1/ (1 + ((18/zMid_P_1) ^n_P_1)))/(0.00198717*298))</f>
        <v>0.83620639949008135</v>
      </c>
      <c r="I5">
        <f t="shared" si="0"/>
        <v>4.8048199844487278E-2</v>
      </c>
      <c r="J5">
        <f>Paq_P_2* EXP(-1*(dE0_P_2/ (1 + ((18/(-1*zMid_P_2)) ^n_P_2)))/(0.00198717*298))</f>
        <v>1.4396829184340434</v>
      </c>
      <c r="K5">
        <f t="shared" si="1"/>
        <v>2.8070888002567224E-4</v>
      </c>
      <c r="M5">
        <v>-21</v>
      </c>
      <c r="N5">
        <f>Paq_P_1* EXP(-1*(dE0_P_1/ (1 + ((21/zMid_P_1) ^n_P_1)))/(0.00198717*298))</f>
        <v>0.83620652048762301</v>
      </c>
      <c r="O5">
        <f>Paq_P_2* EXP(-1*(dE0_P_2/ (1 + ((21/(-1*zMid_P_2)) ^n_P_2)))/(0.00198717*298))</f>
        <v>1.5765209836571248</v>
      </c>
    </row>
    <row r="6" spans="1:15" ht="18" x14ac:dyDescent="0.35">
      <c r="A6" s="2" t="s">
        <v>4</v>
      </c>
      <c r="B6">
        <v>6.8970213189572247</v>
      </c>
      <c r="D6" s="8">
        <v>-16.5</v>
      </c>
      <c r="E6">
        <v>10.731055012400402</v>
      </c>
      <c r="F6">
        <v>239.24085021505925</v>
      </c>
      <c r="G6">
        <v>1.3290999999999999</v>
      </c>
      <c r="H6">
        <f>Paq_P_1* EXP(-1*(dE0_P_1/ (1 + ((16.5/zMid_P_1) ^n_P_1)))/(0.00198717*298))</f>
        <v>0.8362061422974475</v>
      </c>
      <c r="I6">
        <f t="shared" si="0"/>
        <v>4.0499270172643348E-2</v>
      </c>
      <c r="J6">
        <f>Paq_P_2* EXP(-1*(dE0_P_2/ (1 + ((16.5/(-1*zMid_P_2)) ^n_P_2)))/(0.00198717*298))</f>
        <v>1.3671053828630528</v>
      </c>
      <c r="K6">
        <f t="shared" si="1"/>
        <v>1.4992374693176012E-4</v>
      </c>
      <c r="M6">
        <v>-20</v>
      </c>
      <c r="N6">
        <f>Paq_P_1* EXP(-1*(dE0_P_1/ (1 + ((20/zMid_P_1) ^n_P_1)))/(0.00198717*298))</f>
        <v>0.83620650217657655</v>
      </c>
      <c r="O6">
        <f>Paq_P_2* EXP(-1*(dE0_P_2/ (1 + ((20/(-1*zMid_P_2)) ^n_P_2)))/(0.00198717*298))</f>
        <v>1.5322188176832401</v>
      </c>
    </row>
    <row r="7" spans="1:15" x14ac:dyDescent="0.25">
      <c r="A7" s="2" t="s">
        <v>5</v>
      </c>
      <c r="B7">
        <v>11.74164290545057</v>
      </c>
      <c r="D7" s="9">
        <v>-15</v>
      </c>
      <c r="E7">
        <v>14.341887918324604</v>
      </c>
      <c r="F7">
        <v>301.1099037843893</v>
      </c>
      <c r="G7">
        <v>1.4113</v>
      </c>
      <c r="H7">
        <f>Paq_P_1* EXP(-1*(dE0_P_1/ (1 + ((15/zMid_P_1) ^n_P_1)))/(0.00198717*298))</f>
        <v>0.83620531370106321</v>
      </c>
      <c r="I7">
        <f t="shared" si="0"/>
        <v>5.16682079221377E-2</v>
      </c>
      <c r="J7">
        <f>Paq_P_2* EXP(-1*(dE0_P_2/ (1 + ((15/(-1*zMid_P_2)) ^n_P_2)))/(0.00198717*298))</f>
        <v>1.292203032826255</v>
      </c>
      <c r="K7">
        <f t="shared" si="1"/>
        <v>1.4660157818887664E-3</v>
      </c>
      <c r="M7">
        <v>-19</v>
      </c>
      <c r="N7">
        <f>Paq_P_1* EXP(-1*(dE0_P_1/ (1 + ((19/zMid_P_1) ^n_P_1)))/(0.00198717*298))</f>
        <v>0.83620646748371086</v>
      </c>
      <c r="O7">
        <f>Paq_P_2* EXP(-1*(dE0_P_2/ (1 + ((19/(-1*zMid_P_2)) ^n_P_2)))/(0.00198717*298))</f>
        <v>1.4865884902740758</v>
      </c>
    </row>
    <row r="8" spans="1:15" x14ac:dyDescent="0.25">
      <c r="D8" s="10">
        <v>-13.5</v>
      </c>
      <c r="E8">
        <v>14.65192487909089</v>
      </c>
      <c r="F8">
        <v>325.144691447757</v>
      </c>
      <c r="G8">
        <v>1.3352999999999999</v>
      </c>
      <c r="H8">
        <f>Paq_P_1* EXP(-1*(dE0_P_1/ (1 + ((13.5/zMid_P_1) ^n_P_1)))/(0.00198717*298))</f>
        <v>0.83620230558576991</v>
      </c>
      <c r="I8">
        <f t="shared" si="0"/>
        <v>4.1317671818018181E-2</v>
      </c>
      <c r="J8">
        <f>Paq_P_2* EXP(-1*(dE0_P_2/ (1 + ((13.5/(-1*zMid_P_2)) ^n_P_2)))/(0.00198717*298))</f>
        <v>1.2155075479366722</v>
      </c>
      <c r="K8">
        <f t="shared" si="1"/>
        <v>1.6663694694313432E-3</v>
      </c>
      <c r="M8">
        <v>-18</v>
      </c>
      <c r="N8">
        <f>Paq_P_1* EXP(-1*(dE0_P_1/ (1 + ((18/zMid_P_1) ^n_P_1)))/(0.00198717*298))</f>
        <v>0.83620639949008135</v>
      </c>
      <c r="O8">
        <f>Paq_P_2* EXP(-1*(dE0_P_2/ (1 + ((18/(-1*zMid_P_2)) ^n_P_2)))/(0.00198717*298))</f>
        <v>1.4396829184340434</v>
      </c>
    </row>
    <row r="9" spans="1:15" ht="18" x14ac:dyDescent="0.35">
      <c r="A9" s="3" t="s">
        <v>6</v>
      </c>
      <c r="B9">
        <v>3</v>
      </c>
      <c r="D9" s="11">
        <v>-12</v>
      </c>
      <c r="E9">
        <v>13.560995398757758</v>
      </c>
      <c r="F9">
        <v>335.09215104301728</v>
      </c>
      <c r="G9">
        <v>1.1992</v>
      </c>
      <c r="H9">
        <f>Paq_P_1* EXP(-1*(dE0_P_1/ (1 + ((12/zMid_P_1) ^n_P_1)))/(0.00198717*298))</f>
        <v>0.83618966525879357</v>
      </c>
      <c r="I9">
        <f t="shared" si="0"/>
        <v>2.4519433506783744E-2</v>
      </c>
      <c r="J9">
        <f>Paq_P_2* EXP(-1*(dE0_P_2/ (1 + ((12/(-1*zMid_P_2)) ^n_P_2)))/(0.00198717*298))</f>
        <v>1.1377454339150457</v>
      </c>
      <c r="K9">
        <f t="shared" si="1"/>
        <v>5.2196341220172161E-4</v>
      </c>
      <c r="M9">
        <v>-17</v>
      </c>
      <c r="N9">
        <f>Paq_P_1* EXP(-1*(dE0_P_1/ (1 + ((17/zMid_P_1) ^n_P_1)))/(0.00198717*298))</f>
        <v>0.83620626111872376</v>
      </c>
      <c r="O9">
        <f>Paq_P_2* EXP(-1*(dE0_P_2/ (1 + ((17/(-1*zMid_P_2)) ^n_P_2)))/(0.00198717*298))</f>
        <v>1.3915774694869718</v>
      </c>
    </row>
    <row r="10" spans="1:15" ht="18" x14ac:dyDescent="0.35">
      <c r="A10" s="3" t="s">
        <v>7</v>
      </c>
      <c r="B10">
        <v>0.8978386201907198</v>
      </c>
      <c r="D10" s="12">
        <v>-10.5</v>
      </c>
      <c r="E10">
        <v>10.268748073534011</v>
      </c>
      <c r="F10">
        <v>329.71261028763035</v>
      </c>
      <c r="G10">
        <v>0.92290000000000005</v>
      </c>
      <c r="H10">
        <f>Paq_P_1* EXP(-1*(dE0_P_1/ (1 + ((10.5/zMid_P_1) ^n_P_1)))/(0.00198717*298))</f>
        <v>0.83612604579350513</v>
      </c>
      <c r="I10">
        <f t="shared" si="0"/>
        <v>1.8389425830184158E-3</v>
      </c>
      <c r="J10">
        <f>Paq_P_2* EXP(-1*(dE0_P_2/ (1 + ((10.5/(-1*zMid_P_2)) ^n_P_2)))/(0.00198717*298))</f>
        <v>1.0598695428768394</v>
      </c>
      <c r="K10">
        <f t="shared" si="1"/>
        <v>3.611741498494849E-3</v>
      </c>
      <c r="M10">
        <v>-16</v>
      </c>
      <c r="N10">
        <f>Paq_P_1* EXP(-1*(dE0_P_1/ (1 + ((16/zMid_P_1) ^n_P_1)))/(0.00198717*298))</f>
        <v>0.83620596741048414</v>
      </c>
      <c r="O10">
        <f>Paq_P_2* EXP(-1*(dE0_P_2/ (1 + ((16/(-1*zMid_P_2)) ^n_P_2)))/(0.00198717*298))</f>
        <v>1.3423736447146992</v>
      </c>
    </row>
    <row r="11" spans="1:15" ht="18" x14ac:dyDescent="0.35">
      <c r="A11" s="3" t="s">
        <v>8</v>
      </c>
      <c r="B11">
        <v>-17.290923673652429</v>
      </c>
      <c r="D11" s="13">
        <v>-9</v>
      </c>
      <c r="E11">
        <v>7.497091782712948</v>
      </c>
      <c r="F11">
        <v>284.46716551243782</v>
      </c>
      <c r="G11">
        <v>0.78090000000000004</v>
      </c>
      <c r="H11">
        <f>Paq_P_1* EXP(-1*(dE0_P_1/ (1 + ((9/zMid_P_1) ^n_P_1)))/(0.00198717*298))</f>
        <v>0.83573209972885221</v>
      </c>
      <c r="I11">
        <f t="shared" si="0"/>
        <v>8.6857877407520287E-4</v>
      </c>
      <c r="J11">
        <f>Paq_P_2* EXP(-1*(dE0_P_2/ (1 + ((9/(-1*zMid_P_2)) ^n_P_2)))/(0.00198717*298))</f>
        <v>0.9830878623907009</v>
      </c>
      <c r="K11">
        <f t="shared" si="1"/>
        <v>9.9993822749332925E-3</v>
      </c>
      <c r="M11">
        <v>-15</v>
      </c>
      <c r="N11">
        <f>Paq_P_1* EXP(-1*(dE0_P_1/ (1 + ((15/zMid_P_1) ^n_P_1)))/(0.00198717*298))</f>
        <v>0.83620531370106321</v>
      </c>
      <c r="O11">
        <f>Paq_P_2* EXP(-1*(dE0_P_2/ (1 + ((15/(-1*zMid_P_2)) ^n_P_2)))/(0.00198717*298))</f>
        <v>1.292203032826255</v>
      </c>
    </row>
    <row r="12" spans="1:15" x14ac:dyDescent="0.25">
      <c r="A12" s="3" t="s">
        <v>9</v>
      </c>
      <c r="B12">
        <v>1.5690177476661247</v>
      </c>
      <c r="D12" s="14">
        <v>-7.5</v>
      </c>
      <c r="E12">
        <v>6.2759070434540911</v>
      </c>
      <c r="F12">
        <v>233.0137027127592</v>
      </c>
      <c r="G12">
        <v>0.79810000000000003</v>
      </c>
      <c r="H12">
        <f>Paq_P_1* EXP(-1*(dE0_P_1/ (1 + ((7.5/zMid_P_1) ^n_P_1)))/(0.00198717*298))</f>
        <v>0.8331446369365535</v>
      </c>
      <c r="I12">
        <f t="shared" si="0"/>
        <v>3.4831101209910158E-4</v>
      </c>
      <c r="J12">
        <f>Paq_P_2* EXP(-1*(dE0_P_2/ (1 + ((7.5/(-1*zMid_P_2)) ^n_P_2)))/(0.00198717*298))</f>
        <v>0.90888845211862956</v>
      </c>
      <c r="K12">
        <f t="shared" si="1"/>
        <v>3.1869722267809601E-3</v>
      </c>
      <c r="M12">
        <v>-14</v>
      </c>
      <c r="N12">
        <f>Paq_P_1* EXP(-1*(dE0_P_1/ (1 + ((14/zMid_P_1) ^n_P_1)))/(0.00198717*298))</f>
        <v>0.83620377832664783</v>
      </c>
      <c r="O12">
        <f>Paq_P_2* EXP(-1*(dE0_P_2/ (1 + ((14/(-1*zMid_P_2)) ^n_P_2)))/(0.00198717*298))</f>
        <v>1.2412314624996656</v>
      </c>
    </row>
    <row r="13" spans="1:15" x14ac:dyDescent="0.25">
      <c r="D13" s="15">
        <v>-6</v>
      </c>
      <c r="E13">
        <v>7.6146977781143343</v>
      </c>
      <c r="F13">
        <v>229.72199232624777</v>
      </c>
      <c r="G13">
        <v>0.98219999999999996</v>
      </c>
      <c r="H13">
        <f>Paq_P_1* EXP(-1*(dE0_P_1/ (1 + ((6/zMid_P_1) ^n_P_1)))/(0.00198717*298))</f>
        <v>0.8268230394645848</v>
      </c>
      <c r="I13">
        <f t="shared" si="0"/>
        <v>5.5931492209548243E-3</v>
      </c>
      <c r="J13">
        <f>Paq_P_2* EXP(-1*(dE0_P_2/ (1 + ((6/(-1*zMid_P_2)) ^n_P_2)))/(0.00198717*298))</f>
        <v>0.83906445361956039</v>
      </c>
      <c r="K13">
        <f t="shared" si="1"/>
        <v>4.6791902448079219E-3</v>
      </c>
      <c r="M13">
        <v>-13</v>
      </c>
      <c r="N13">
        <f>Paq_P_1* EXP(-1*(dE0_P_1/ (1 + ((13/zMid_P_1) ^n_P_1)))/(0.00198717*298))</f>
        <v>0.8361999436309373</v>
      </c>
      <c r="O13">
        <f>Paq_P_2* EXP(-1*(dE0_P_2/ (1 + ((13/(-1*zMid_P_2)) ^n_P_2)))/(0.00198717*298))</f>
        <v>1.1896632530379134</v>
      </c>
    </row>
    <row r="14" spans="1:15" x14ac:dyDescent="0.25">
      <c r="D14" s="16">
        <v>-4.5</v>
      </c>
      <c r="E14">
        <v>9.0805232937894225</v>
      </c>
      <c r="F14">
        <v>238.06457551464311</v>
      </c>
      <c r="G14">
        <v>1.1302000000000001</v>
      </c>
      <c r="H14">
        <f>Paq_P_1* EXP(-1*(dE0_P_1/ (1 + ((4.5/zMid_P_1) ^n_P_1)))/(0.00198717*298))</f>
        <v>0.82508119112795852</v>
      </c>
      <c r="I14">
        <f t="shared" si="0"/>
        <v>1.8675577348890478E-2</v>
      </c>
      <c r="J14">
        <f>Paq_P_2* EXP(-1*(dE0_P_2/ (1 + ((4.5/(-1*zMid_P_2)) ^n_P_2)))/(0.00198717*298))</f>
        <v>0.77575801167887948</v>
      </c>
      <c r="K14">
        <f t="shared" si="1"/>
        <v>2.6709048985832165E-2</v>
      </c>
      <c r="M14">
        <v>-12</v>
      </c>
      <c r="N14">
        <f>Paq_P_1* EXP(-1*(dE0_P_1/ (1 + ((12/zMid_P_1) ^n_P_1)))/(0.00198717*298))</f>
        <v>0.83618966525879357</v>
      </c>
      <c r="O14">
        <f>Paq_P_2* EXP(-1*(dE0_P_2/ (1 + ((12/(-1*zMid_P_2)) ^n_P_2)))/(0.00198717*298))</f>
        <v>1.1377454339150457</v>
      </c>
    </row>
    <row r="15" spans="1:15" x14ac:dyDescent="0.25">
      <c r="D15" s="17">
        <v>-3</v>
      </c>
      <c r="E15">
        <v>5.4182416876465638</v>
      </c>
      <c r="F15">
        <v>209.69845561618712</v>
      </c>
      <c r="G15">
        <v>0.76559999999999995</v>
      </c>
      <c r="H15">
        <f>Paq_P_1* EXP(-1*(dE0_P_1/ (1 + ((3/zMid_P_1) ^n_P_1)))/(0.00198717*298))</f>
        <v>0.82500838821457323</v>
      </c>
      <c r="I15">
        <f t="shared" si="0"/>
        <v>1.0534204625560722E-3</v>
      </c>
      <c r="J15">
        <f>Paq_P_2* EXP(-1*(dE0_P_2/ (1 + ((3/(-1*zMid_P_2)) ^n_P_2)))/(0.00198717*298))</f>
        <v>0.72158676333903071</v>
      </c>
      <c r="K15">
        <f t="shared" si="1"/>
        <v>6.6117723134812749E-4</v>
      </c>
      <c r="M15">
        <v>-11</v>
      </c>
      <c r="N15">
        <f>Paq_P_1* EXP(-1*(dE0_P_1/ (1 + ((11/zMid_P_1) ^n_P_1)))/(0.00198717*298))</f>
        <v>0.83615978336131191</v>
      </c>
      <c r="O15">
        <f>Paq_P_2* EXP(-1*(dE0_P_2/ (1 + ((11/(-1*zMid_P_2)) ^n_P_2)))/(0.00198717*298))</f>
        <v>1.0857717865667968</v>
      </c>
    </row>
    <row r="16" spans="1:15" x14ac:dyDescent="0.25">
      <c r="D16" s="18">
        <v>-1.5</v>
      </c>
      <c r="E16">
        <v>2.7309625372766311</v>
      </c>
      <c r="F16">
        <v>193.12505159558162</v>
      </c>
      <c r="G16">
        <v>0.41899999999999998</v>
      </c>
      <c r="H16">
        <f>Paq_P_1* EXP(-1*(dE0_P_1/ (1 + ((1.5/zMid_P_1) ^n_P_1)))/(0.00198717*298))</f>
        <v>0.82500775578619556</v>
      </c>
      <c r="I16">
        <f t="shared" si="0"/>
        <v>8.6579536447777466E-2</v>
      </c>
      <c r="J16">
        <f>Paq_P_2* EXP(-1*(dE0_P_2/ (1 + ((1.5/(-1*zMid_P_2)) ^n_P_2)))/(0.00198717*298))</f>
        <v>0.68009617950858814</v>
      </c>
      <c r="K16">
        <f t="shared" si="1"/>
        <v>4.4249778084419544E-2</v>
      </c>
      <c r="M16">
        <v>-10</v>
      </c>
      <c r="N16">
        <f>Paq_P_1* EXP(-1*(dE0_P_1/ (1 + ((10/zMid_P_1) ^n_P_1)))/(0.00198717*298))</f>
        <v>0.83606458064928912</v>
      </c>
      <c r="O16">
        <f>Paq_P_2* EXP(-1*(dE0_P_2/ (1 + ((10/(-1*zMid_P_2)) ^n_P_2)))/(0.00198717*298))</f>
        <v>1.0340865709852947</v>
      </c>
    </row>
    <row r="17" spans="4:15" x14ac:dyDescent="0.25">
      <c r="D17" s="19">
        <v>0</v>
      </c>
      <c r="E17">
        <v>5.3817992597169919</v>
      </c>
      <c r="F17">
        <v>197.31337553026106</v>
      </c>
      <c r="G17">
        <v>0.80820000000000003</v>
      </c>
      <c r="H17">
        <f>Paq_P_1* EXP(-1*(dE0_P_1/ (1 + ((0/zMid_P_1) ^n_P_1)))/(0.00198717*298))</f>
        <v>0.82500775560144912</v>
      </c>
      <c r="I17">
        <f t="shared" si="0"/>
        <v>7.9909030410269473E-5</v>
      </c>
      <c r="J17">
        <f>Paq_P_2* EXP(-1*(dE0_P_2/ (1 + ((0/(-1*zMid_P_2)) ^n_P_2)))/(0.00198717*298))</f>
        <v>0.65865555490567507</v>
      </c>
      <c r="K17">
        <f t="shared" si="1"/>
        <v>7.8961861890134936E-3</v>
      </c>
      <c r="M17">
        <v>-9</v>
      </c>
      <c r="N17">
        <f>Paq_P_1* EXP(-1*(dE0_P_1/ (1 + ((9/zMid_P_1) ^n_P_1)))/(0.00198717*298))</f>
        <v>0.83573209972885221</v>
      </c>
      <c r="O17">
        <f>Paq_P_2* EXP(-1*(dE0_P_2/ (1 + ((9/(-1*zMid_P_2)) ^n_P_2)))/(0.00198717*298))</f>
        <v>0.9830878623907009</v>
      </c>
    </row>
    <row r="18" spans="4:15" x14ac:dyDescent="0.25">
      <c r="D18" s="20">
        <v>1.5</v>
      </c>
      <c r="E18">
        <v>8.7026983784084102</v>
      </c>
      <c r="F18">
        <v>211.87289009819162</v>
      </c>
      <c r="G18">
        <v>1.2171000000000001</v>
      </c>
      <c r="H18">
        <f>Paq_P_1* EXP(-1*(dE0_P_1/ (1 + ((1.5/zMid_P_1) ^n_P_1)))/(0.00198717*298))</f>
        <v>0.82500775578619556</v>
      </c>
      <c r="I18">
        <f t="shared" si="0"/>
        <v>2.8516479478645052E-2</v>
      </c>
      <c r="J18">
        <f>Paq_P_2* EXP(-1*(dE0_P_2/ (1 + ((1.5/(-1*zMid_P_2)) ^n_P_2)))/(0.00198717*298))</f>
        <v>0.68009617950858814</v>
      </c>
      <c r="K18">
        <f t="shared" si="1"/>
        <v>6.3885558761450398E-2</v>
      </c>
      <c r="M18">
        <v>-8</v>
      </c>
      <c r="N18">
        <f>Paq_P_1* EXP(-1*(dE0_P_1/ (1 + ((8/zMid_P_1) ^n_P_1)))/(0.00198717*298))</f>
        <v>0.83452752254260831</v>
      </c>
      <c r="O18">
        <f>Paq_P_2* EXP(-1*(dE0_P_2/ (1 + ((8/(-1*zMid_P_2)) ^n_P_2)))/(0.00198717*298))</f>
        <v>0.93323058510601564</v>
      </c>
    </row>
    <row r="19" spans="4:15" x14ac:dyDescent="0.25">
      <c r="D19" s="21">
        <v>3</v>
      </c>
      <c r="E19">
        <v>6.1147896704686833</v>
      </c>
      <c r="F19">
        <v>212.60048258233337</v>
      </c>
      <c r="G19">
        <v>0.85229999999999995</v>
      </c>
      <c r="H19">
        <f>Paq_P_1* EXP(-1*(dE0_P_1/ (1 + ((3/zMid_P_1) ^n_P_1)))/(0.00198717*298))</f>
        <v>0.82500838821457323</v>
      </c>
      <c r="I19">
        <f t="shared" si="0"/>
        <v>1.9977346723246684E-4</v>
      </c>
      <c r="J19">
        <f>Paq_P_2* EXP(-1*(dE0_P_2/ (1 + ((3/(-1*zMid_P_2)) ^n_P_2)))/(0.00198717*298))</f>
        <v>0.72158676333903071</v>
      </c>
      <c r="K19">
        <f t="shared" si="1"/>
        <v>5.2278583595906638E-3</v>
      </c>
      <c r="M19">
        <v>-7</v>
      </c>
      <c r="N19">
        <f>Paq_P_1* EXP(-1*(dE0_P_1/ (1 + ((7/zMid_P_1) ^n_P_1)))/(0.00198717*298))</f>
        <v>0.83107438450497528</v>
      </c>
      <c r="O19">
        <f>Paq_P_2* EXP(-1*(dE0_P_2/ (1 + ((7/(-1*zMid_P_2)) ^n_P_2)))/(0.00198717*298))</f>
        <v>0.88502967212697592</v>
      </c>
    </row>
    <row r="20" spans="4:15" x14ac:dyDescent="0.25">
      <c r="D20" s="22">
        <v>4.5</v>
      </c>
      <c r="E20">
        <v>4.1753083248432414</v>
      </c>
      <c r="F20">
        <v>207.82615645104704</v>
      </c>
      <c r="G20">
        <v>0.59530000000000005</v>
      </c>
      <c r="H20">
        <f>Paq_P_1* EXP(-1*(dE0_P_1/ (1 + ((4.5/zMid_P_1) ^n_P_1)))/(0.00198717*298))</f>
        <v>0.82508119112795852</v>
      </c>
      <c r="I20">
        <f t="shared" si="0"/>
        <v>2.009612564433505E-2</v>
      </c>
      <c r="J20">
        <f>Paq_P_2* EXP(-1*(dE0_P_2/ (1 + ((4.5/(-1*zMid_P_2)) ^n_P_2)))/(0.00198717*298))</f>
        <v>0.77575801167887948</v>
      </c>
      <c r="K20">
        <f t="shared" si="1"/>
        <v>1.3222789085196607E-2</v>
      </c>
      <c r="M20">
        <v>-6</v>
      </c>
      <c r="N20">
        <f>Paq_P_1* EXP(-1*(dE0_P_1/ (1 + ((6/zMid_P_1) ^n_P_1)))/(0.00198717*298))</f>
        <v>0.8268230394645848</v>
      </c>
      <c r="O20">
        <f>Paq_P_2* EXP(-1*(dE0_P_2/ (1 + ((6/(-1*zMid_P_2)) ^n_P_2)))/(0.00198717*298))</f>
        <v>0.83906445361956039</v>
      </c>
    </row>
    <row r="21" spans="4:15" x14ac:dyDescent="0.25">
      <c r="D21" s="23">
        <v>6</v>
      </c>
      <c r="E21">
        <v>5.41823195045035</v>
      </c>
      <c r="F21">
        <v>218.70380004479716</v>
      </c>
      <c r="G21">
        <v>0.73409999999999997</v>
      </c>
      <c r="H21">
        <f>Paq_P_1* EXP(-1*(dE0_P_1/ (1 + ((6/zMid_P_1) ^n_P_1)))/(0.00198717*298))</f>
        <v>0.8268230394645848</v>
      </c>
      <c r="I21">
        <f t="shared" si="0"/>
        <v>2.6684813636810938E-3</v>
      </c>
      <c r="J21">
        <f>Paq_P_2* EXP(-1*(dE0_P_2/ (1 + ((6/(-1*zMid_P_2)) ^n_P_2)))/(0.00198717*298))</f>
        <v>0.83906445361956039</v>
      </c>
      <c r="K21">
        <f t="shared" si="1"/>
        <v>3.3686530717999316E-3</v>
      </c>
      <c r="M21">
        <v>-5</v>
      </c>
      <c r="N21">
        <f>Paq_P_1* EXP(-1*(dE0_P_1/ (1 + ((5/zMid_P_1) ^n_P_1)))/(0.00198717*298))</f>
        <v>0.82525679317316891</v>
      </c>
      <c r="O21">
        <f>Paq_P_2* EXP(-1*(dE0_P_2/ (1 + ((5/(-1*zMid_P_2)) ^n_P_2)))/(0.00198717*298))</f>
        <v>0.79598672034865736</v>
      </c>
    </row>
    <row r="22" spans="4:15" x14ac:dyDescent="0.25">
      <c r="D22" s="24">
        <v>7.5</v>
      </c>
      <c r="E22">
        <v>6.3133409597095431</v>
      </c>
      <c r="F22">
        <v>210.91142211418727</v>
      </c>
      <c r="G22">
        <v>0.88700000000000001</v>
      </c>
      <c r="H22">
        <f>Paq_P_1* EXP(-1*(dE0_P_1/ (1 + ((7.5/zMid_P_1) ^n_P_1)))/(0.00198717*298))</f>
        <v>0.8331446369365535</v>
      </c>
      <c r="I22">
        <f t="shared" si="0"/>
        <v>7.4001500315244858E-4</v>
      </c>
      <c r="J22">
        <f>Paq_P_2* EXP(-1*(dE0_P_2/ (1 + ((7.5/(-1*zMid_P_2)) ^n_P_2)))/(0.00198717*298))</f>
        <v>0.90888845211862956</v>
      </c>
      <c r="K22">
        <f t="shared" si="1"/>
        <v>1.1208384269567916E-4</v>
      </c>
      <c r="M22">
        <v>-4</v>
      </c>
      <c r="N22">
        <f>Paq_P_1* EXP(-1*(dE0_P_1/ (1 + ((4/zMid_P_1) ^n_P_1)))/(0.00198717*298))</f>
        <v>0.82502626661982115</v>
      </c>
      <c r="O22">
        <f>Paq_P_2* EXP(-1*(dE0_P_2/ (1 + ((4/(-1*zMid_P_2)) ^n_P_2)))/(0.00198717*298))</f>
        <v>0.75653777229939712</v>
      </c>
    </row>
    <row r="23" spans="4:15" x14ac:dyDescent="0.25">
      <c r="D23" s="25">
        <v>9</v>
      </c>
      <c r="E23">
        <v>6.9098045681173197</v>
      </c>
      <c r="F23">
        <v>213.79921748310556</v>
      </c>
      <c r="G23">
        <v>0.9577</v>
      </c>
      <c r="H23">
        <f>Paq_P_1* EXP(-1*(dE0_P_1/ (1 + ((9/zMid_P_1) ^n_P_1)))/(0.00198717*298))</f>
        <v>0.83573209972885221</v>
      </c>
      <c r="I23">
        <f t="shared" si="0"/>
        <v>3.5001900549322625E-3</v>
      </c>
      <c r="J23">
        <f>Paq_P_2* EXP(-1*(dE0_P_2/ (1 + ((9/(-1*zMid_P_2)) ^n_P_2)))/(0.00198717*298))</f>
        <v>0.9830878623907009</v>
      </c>
      <c r="K23">
        <f t="shared" si="1"/>
        <v>1.291142859427439E-4</v>
      </c>
      <c r="M23">
        <v>-3</v>
      </c>
      <c r="N23">
        <f>Paq_P_1* EXP(-1*(dE0_P_1/ (1 + ((3/zMid_P_1) ^n_P_1)))/(0.00198717*298))</f>
        <v>0.82500838821457323</v>
      </c>
      <c r="O23">
        <f>Paq_P_2* EXP(-1*(dE0_P_2/ (1 + ((3/(-1*zMid_P_2)) ^n_P_2)))/(0.00198717*298))</f>
        <v>0.72158676333903071</v>
      </c>
    </row>
    <row r="24" spans="4:15" x14ac:dyDescent="0.25">
      <c r="D24" s="26">
        <v>10.5</v>
      </c>
      <c r="E24">
        <v>6.7335879715246367</v>
      </c>
      <c r="F24">
        <v>220.63045274559784</v>
      </c>
      <c r="G24">
        <v>0.90429999999999999</v>
      </c>
      <c r="H24">
        <f>Paq_P_1* EXP(-1*(dE0_P_1/ (1 + ((10.5/zMid_P_1) ^n_P_1)))/(0.00198717*298))</f>
        <v>0.83612604579350513</v>
      </c>
      <c r="I24">
        <f t="shared" si="0"/>
        <v>1.1587746132594278E-3</v>
      </c>
      <c r="J24">
        <f>Paq_P_2* EXP(-1*(dE0_P_2/ (1 + ((10.5/(-1*zMid_P_2)) ^n_P_2)))/(0.00198717*298))</f>
        <v>1.0598695428768394</v>
      </c>
      <c r="K24">
        <f t="shared" si="1"/>
        <v>4.7527072356789019E-3</v>
      </c>
      <c r="M24">
        <v>-2</v>
      </c>
      <c r="N24">
        <f>Paq_P_1* EXP(-1*(dE0_P_1/ (1 + ((2/zMid_P_1) ^n_P_1)))/(0.00198717*298))</f>
        <v>0.82500776101599249</v>
      </c>
      <c r="O24">
        <f>Paq_P_2* EXP(-1*(dE0_P_2/ (1 + ((2/(-1*zMid_P_2)) ^n_P_2)))/(0.00198717*298))</f>
        <v>0.6922238700113188</v>
      </c>
    </row>
    <row r="25" spans="4:15" x14ac:dyDescent="0.25">
      <c r="D25" s="27">
        <v>12</v>
      </c>
      <c r="E25">
        <v>5.6166579095951903</v>
      </c>
      <c r="F25">
        <v>225.0124392487848</v>
      </c>
      <c r="G25">
        <v>0.73960000000000004</v>
      </c>
      <c r="H25">
        <f>Paq_P_1* EXP(-1*(dE0_P_1/ (1 + ((12/zMid_P_1) ^n_P_1)))/(0.00198717*298))</f>
        <v>0.83618966525879357</v>
      </c>
      <c r="I25">
        <f t="shared" si="0"/>
        <v>2.8417314745514443E-3</v>
      </c>
      <c r="J25">
        <f>Paq_P_2* EXP(-1*(dE0_P_2/ (1 + ((12/(-1*zMid_P_2)) ^n_P_2)))/(0.00198717*298))</f>
        <v>1.1377454339150457</v>
      </c>
      <c r="K25">
        <f t="shared" si="1"/>
        <v>3.498702865627043E-2</v>
      </c>
      <c r="M25">
        <v>-1</v>
      </c>
      <c r="N25">
        <f>Paq_P_1* EXP(-1*(dE0_P_1/ (1 + ((1/zMid_P_1) ^n_P_1)))/(0.00198717*298))</f>
        <v>0.8250077556030303</v>
      </c>
      <c r="O25">
        <f>Paq_P_2* EXP(-1*(dE0_P_2/ (1 + ((1/(-1*zMid_P_2)) ^n_P_2)))/(0.00198717*298))</f>
        <v>0.67003280451477454</v>
      </c>
    </row>
    <row r="26" spans="4:15" x14ac:dyDescent="0.25">
      <c r="D26" s="28">
        <v>13.5</v>
      </c>
      <c r="E26">
        <v>4.5923633826092249</v>
      </c>
      <c r="F26">
        <v>218.45557134306293</v>
      </c>
      <c r="G26">
        <v>0.62290000000000001</v>
      </c>
      <c r="H26">
        <f>Paq_P_1* EXP(-1*(dE0_P_1/ (1 + ((13.5/zMid_P_1) ^n_P_1)))/(0.00198717*298))</f>
        <v>0.83620230558576991</v>
      </c>
      <c r="I26">
        <f t="shared" si="0"/>
        <v>1.6356627067128426E-2</v>
      </c>
      <c r="J26">
        <f>Paq_P_2* EXP(-1*(dE0_P_2/ (1 + ((13.5/(-1*zMid_P_2)) ^n_P_2)))/(0.00198717*298))</f>
        <v>1.2155075479366722</v>
      </c>
      <c r="K26">
        <f t="shared" si="1"/>
        <v>8.4296926052337726E-2</v>
      </c>
      <c r="M26">
        <v>0</v>
      </c>
      <c r="N26">
        <f>Paq_P_1* EXP(-1*(dE0_P_1/ (1 + ((0/zMid_P_1) ^n_P_1)))/(0.00198717*298))</f>
        <v>0.82500775560144912</v>
      </c>
      <c r="O26">
        <f>Paq_P_2* EXP(-1*(dE0_P_2/ (1 + ((0/(-1*zMid_P_2)) ^n_P_2)))/(0.00198717*298))</f>
        <v>0.65865555490567507</v>
      </c>
    </row>
    <row r="27" spans="4:15" x14ac:dyDescent="0.25">
      <c r="D27" s="29">
        <v>15</v>
      </c>
      <c r="E27">
        <v>6.0530082610524039</v>
      </c>
      <c r="F27">
        <v>224.03276726794545</v>
      </c>
      <c r="G27">
        <v>0.80059999999999998</v>
      </c>
      <c r="H27">
        <f>Paq_P_1* EXP(-1*(dE0_P_1/ (1 + ((15/zMid_P_1) ^n_P_1)))/(0.00198717*298))</f>
        <v>0.83620531370106321</v>
      </c>
      <c r="I27">
        <f t="shared" si="0"/>
        <v>3.5710935310794413E-4</v>
      </c>
      <c r="J27">
        <f>Paq_P_2* EXP(-1*(dE0_P_2/ (1 + ((15/(-1*zMid_P_2)) ^n_P_2)))/(0.00198717*298))</f>
        <v>1.292203032826255</v>
      </c>
      <c r="K27">
        <f t="shared" si="1"/>
        <v>4.3228718013457679E-2</v>
      </c>
      <c r="M27">
        <v>1</v>
      </c>
      <c r="N27">
        <f>Paq_P_1* EXP(-1*(dE0_P_1/ (1 + ((1/zMid_P_1) ^n_P_1)))/(0.00198717*298))</f>
        <v>0.8250077556030303</v>
      </c>
      <c r="O27">
        <f>Paq_P_2* EXP(-1*(dE0_P_2/ (1 + ((1/(-1*zMid_P_2)) ^n_P_2)))/(0.00198717*298))</f>
        <v>0.67003280451477454</v>
      </c>
    </row>
    <row r="28" spans="4:15" x14ac:dyDescent="0.25">
      <c r="D28" s="30">
        <v>16.5</v>
      </c>
      <c r="E28">
        <v>5.4877448601429117</v>
      </c>
      <c r="F28">
        <v>233.75708221892813</v>
      </c>
      <c r="G28">
        <v>0.6956</v>
      </c>
      <c r="H28">
        <f>Paq_P_1* EXP(-1*(dE0_P_1/ (1 + ((16.5/zMid_P_1) ^n_P_1)))/(0.00198717*298))</f>
        <v>0.8362061422974475</v>
      </c>
      <c r="I28">
        <f t="shared" si="0"/>
        <v>6.3926069326278459E-3</v>
      </c>
      <c r="J28">
        <f>Paq_P_2* EXP(-1*(dE0_P_2/ (1 + ((16.5/(-1*zMid_P_2)) ^n_P_2)))/(0.00198717*298))</f>
        <v>1.3671053828630528</v>
      </c>
      <c r="K28">
        <f t="shared" si="1"/>
        <v>8.6108453839602223E-2</v>
      </c>
      <c r="M28">
        <v>2</v>
      </c>
      <c r="N28">
        <f>Paq_P_1* EXP(-1*(dE0_P_1/ (1 + ((2/zMid_P_1) ^n_P_1)))/(0.00198717*298))</f>
        <v>0.82500776101599249</v>
      </c>
      <c r="O28">
        <f>Paq_P_2* EXP(-1*(dE0_P_2/ (1 + ((2/(-1*zMid_P_2)) ^n_P_2)))/(0.00198717*298))</f>
        <v>0.6922238700113188</v>
      </c>
    </row>
    <row r="29" spans="4:15" x14ac:dyDescent="0.25">
      <c r="D29" s="31">
        <v>18</v>
      </c>
      <c r="E29">
        <v>5.1906628477694454</v>
      </c>
      <c r="F29">
        <v>221.14244125881021</v>
      </c>
      <c r="G29">
        <v>0.69550000000000001</v>
      </c>
      <c r="H29">
        <f>Paq_P_1* EXP(-1*(dE0_P_1/ (1 + ((18/zMid_P_1) ^n_P_1)))/(0.00198717*298))</f>
        <v>0.83620639949008135</v>
      </c>
      <c r="I29">
        <f t="shared" si="0"/>
        <v>6.4026166763693363E-3</v>
      </c>
      <c r="J29">
        <f>Paq_P_2* EXP(-1*(dE0_P_2/ (1 + ((18/(-1*zMid_P_2)) ^n_P_2)))/(0.00198717*298))</f>
        <v>1.4396829184340434</v>
      </c>
      <c r="K29">
        <f t="shared" si="1"/>
        <v>9.9836862397613108E-2</v>
      </c>
      <c r="M29">
        <v>3</v>
      </c>
      <c r="N29">
        <f>Paq_P_1* EXP(-1*(dE0_P_1/ (1 + ((3/zMid_P_1) ^n_P_1)))/(0.00198717*298))</f>
        <v>0.82500838821457323</v>
      </c>
      <c r="O29">
        <f>Paq_P_2* EXP(-1*(dE0_P_2/ (1 + ((3/(-1*zMid_P_2)) ^n_P_2)))/(0.00198717*298))</f>
        <v>0.72158676333903071</v>
      </c>
    </row>
    <row r="30" spans="4:15" x14ac:dyDescent="0.25">
      <c r="D30" s="32">
        <v>19.5</v>
      </c>
      <c r="E30">
        <v>7.2113276015484491</v>
      </c>
      <c r="F30">
        <v>203.08284087537984</v>
      </c>
      <c r="G30">
        <v>1.0522</v>
      </c>
      <c r="H30">
        <f>Paq_P_1* EXP(-1*(dE0_P_1/ (1 + ((19.5/zMid_P_1) ^n_P_1)))/(0.00198717*298))</f>
        <v>0.83620648764102234</v>
      </c>
      <c r="I30">
        <f t="shared" si="0"/>
        <v>9.9569992851414324E-3</v>
      </c>
      <c r="J30">
        <f>Paq_P_2* EXP(-1*(dE0_P_2/ (1 + ((19.5/(-1*zMid_P_2)) ^n_P_2)))/(0.00198717*298))</f>
        <v>1.5095668519257148</v>
      </c>
      <c r="K30">
        <f t="shared" si="1"/>
        <v>2.4571833217505147E-2</v>
      </c>
      <c r="M30">
        <v>4</v>
      </c>
      <c r="N30">
        <f>Paq_P_1* EXP(-1*(dE0_P_1/ (1 + ((4/zMid_P_1) ^n_P_1)))/(0.00198717*298))</f>
        <v>0.82502626661982115</v>
      </c>
      <c r="O30">
        <f>Paq_P_2* EXP(-1*(dE0_P_2/ (1 + ((4/(-1*zMid_P_2)) ^n_P_2)))/(0.00198717*298))</f>
        <v>0.75653777229939712</v>
      </c>
    </row>
    <row r="31" spans="4:15" x14ac:dyDescent="0.25">
      <c r="D31" s="33">
        <v>21</v>
      </c>
      <c r="E31">
        <v>6.591338326949721</v>
      </c>
      <c r="F31">
        <v>202.23586360890673</v>
      </c>
      <c r="G31">
        <v>0.96579999999999999</v>
      </c>
      <c r="H31">
        <f>Paq_P_1* EXP(-1*(dE0_P_1/ (1 + ((21/zMid_P_1) ^n_P_1)))/(0.00198717*298))</f>
        <v>0.83620652048762301</v>
      </c>
      <c r="I31">
        <f t="shared" si="0"/>
        <v>3.9154618418480317E-3</v>
      </c>
      <c r="J31">
        <f>Paq_P_2* EXP(-1*(dE0_P_2/ (1 + ((21/(-1*zMid_P_2)) ^n_P_2)))/(0.00198717*298))</f>
        <v>1.5765209836571248</v>
      </c>
      <c r="K31">
        <f t="shared" si="1"/>
        <v>4.5289183379406989E-2</v>
      </c>
      <c r="M31">
        <v>5</v>
      </c>
      <c r="N31">
        <f>Paq_P_1* EXP(-1*(dE0_P_1/ (1 + ((5/zMid_P_1) ^n_P_1)))/(0.00198717*298))</f>
        <v>0.82525679317316891</v>
      </c>
      <c r="O31">
        <f>Paq_P_2* EXP(-1*(dE0_P_2/ (1 + ((5/(-1*zMid_P_2)) ^n_P_2)))/(0.00198717*298))</f>
        <v>0.79598672034865736</v>
      </c>
    </row>
    <row r="32" spans="4:15" x14ac:dyDescent="0.25">
      <c r="D32" s="34">
        <v>22.5</v>
      </c>
      <c r="E32">
        <v>6.5425729741233933</v>
      </c>
      <c r="F32">
        <v>185.59265872251723</v>
      </c>
      <c r="G32">
        <v>1.0446</v>
      </c>
      <c r="H32">
        <f>Paq_P_1* EXP(-1*(dE0_P_1/ (1 + ((22.5/zMid_P_1) ^n_P_1)))/(0.00198717*298))</f>
        <v>0.83620653363282549</v>
      </c>
      <c r="I32">
        <f t="shared" si="0"/>
        <v>9.3386063576742766E-3</v>
      </c>
      <c r="J32">
        <f>Paq_P_2* EXP(-1*(dE0_P_2/ (1 + ((22.5/(-1*zMid_P_2)) ^n_P_2)))/(0.00198717*298))</f>
        <v>1.6404143737415735</v>
      </c>
      <c r="K32">
        <f t="shared" si="1"/>
        <v>3.8417389469678417E-2</v>
      </c>
      <c r="M32">
        <v>6</v>
      </c>
      <c r="N32">
        <f>Paq_P_1* EXP(-1*(dE0_P_1/ (1 + ((6/zMid_P_1) ^n_P_1)))/(0.00198717*298))</f>
        <v>0.8268230394645848</v>
      </c>
      <c r="O32">
        <f>Paq_P_2* EXP(-1*(dE0_P_2/ (1 + ((6/(-1*zMid_P_2)) ^n_P_2)))/(0.00198717*298))</f>
        <v>0.83906445361956039</v>
      </c>
    </row>
    <row r="33" spans="7:15" x14ac:dyDescent="0.25">
      <c r="M33">
        <v>7</v>
      </c>
      <c r="N33">
        <f>Paq_P_1* EXP(-1*(dE0_P_1/ (1 + ((7/zMid_P_1) ^n_P_1)))/(0.00198717*298))</f>
        <v>0.83107438450497528</v>
      </c>
      <c r="O33">
        <f>Paq_P_2* EXP(-1*(dE0_P_2/ (1 + ((7/(-1*zMid_P_2)) ^n_P_2)))/(0.00198717*298))</f>
        <v>0.88502967212697592</v>
      </c>
    </row>
    <row r="34" spans="7:15" x14ac:dyDescent="0.25">
      <c r="G34" t="s">
        <v>18</v>
      </c>
      <c r="H34" s="1" t="s">
        <v>20</v>
      </c>
      <c r="I34">
        <f>SQRT(AVERAGE(I$17:I$32))</f>
        <v>8.386056419888939E-2</v>
      </c>
      <c r="M34">
        <v>8</v>
      </c>
      <c r="N34">
        <f>Paq_P_1* EXP(-1*(dE0_P_1/ (1 + ((8/zMid_P_1) ^n_P_1)))/(0.00198717*298))</f>
        <v>0.83452752254260831</v>
      </c>
      <c r="O34">
        <f>Paq_P_2* EXP(-1*(dE0_P_2/ (1 + ((8/(-1*zMid_P_2)) ^n_P_2)))/(0.00198717*298))</f>
        <v>0.93323058510601564</v>
      </c>
    </row>
    <row r="35" spans="7:15" x14ac:dyDescent="0.25">
      <c r="G35" t="s">
        <v>19</v>
      </c>
      <c r="J35" s="1" t="s">
        <v>20</v>
      </c>
      <c r="K35">
        <f>SQRT(AVERAGE(K$2:K$17))</f>
        <v>8.1728551488858284E-2</v>
      </c>
      <c r="M35">
        <v>9</v>
      </c>
      <c r="N35">
        <f>Paq_P_1* EXP(-1*(dE0_P_1/ (1 + ((9/zMid_P_1) ^n_P_1)))/(0.00198717*298))</f>
        <v>0.83573209972885221</v>
      </c>
      <c r="O35">
        <f>Paq_P_2* EXP(-1*(dE0_P_2/ (1 + ((9/(-1*zMid_P_2)) ^n_P_2)))/(0.00198717*298))</f>
        <v>0.9830878623907009</v>
      </c>
    </row>
    <row r="36" spans="7:15" x14ac:dyDescent="0.25">
      <c r="M36">
        <v>10</v>
      </c>
      <c r="N36">
        <f>Paq_P_1* EXP(-1*(dE0_P_1/ (1 + ((10/zMid_P_1) ^n_P_1)))/(0.00198717*298))</f>
        <v>0.83606458064928912</v>
      </c>
      <c r="O36">
        <f>Paq_P_2* EXP(-1*(dE0_P_2/ (1 + ((10/(-1*zMid_P_2)) ^n_P_2)))/(0.00198717*298))</f>
        <v>1.0340865709852947</v>
      </c>
    </row>
    <row r="37" spans="7:15" x14ac:dyDescent="0.25">
      <c r="M37">
        <v>11</v>
      </c>
      <c r="N37">
        <f>Paq_P_1* EXP(-1*(dE0_P_1/ (1 + ((11/zMid_P_1) ^n_P_1)))/(0.00198717*298))</f>
        <v>0.83615978336131191</v>
      </c>
      <c r="O37">
        <f>Paq_P_2* EXP(-1*(dE0_P_2/ (1 + ((11/(-1*zMid_P_2)) ^n_P_2)))/(0.00198717*298))</f>
        <v>1.0857717865667968</v>
      </c>
    </row>
    <row r="38" spans="7:15" x14ac:dyDescent="0.25">
      <c r="M38">
        <v>12</v>
      </c>
      <c r="N38">
        <f>Paq_P_1* EXP(-1*(dE0_P_1/ (1 + ((12/zMid_P_1) ^n_P_1)))/(0.00198717*298))</f>
        <v>0.83618966525879357</v>
      </c>
      <c r="O38">
        <f>Paq_P_2* EXP(-1*(dE0_P_2/ (1 + ((12/(-1*zMid_P_2)) ^n_P_2)))/(0.00198717*298))</f>
        <v>1.1377454339150457</v>
      </c>
    </row>
    <row r="39" spans="7:15" x14ac:dyDescent="0.25">
      <c r="M39">
        <v>13</v>
      </c>
      <c r="N39">
        <f>Paq_P_1* EXP(-1*(dE0_P_1/ (1 + ((13/zMid_P_1) ^n_P_1)))/(0.00198717*298))</f>
        <v>0.8361999436309373</v>
      </c>
      <c r="O39">
        <f>Paq_P_2* EXP(-1*(dE0_P_2/ (1 + ((13/(-1*zMid_P_2)) ^n_P_2)))/(0.00198717*298))</f>
        <v>1.1896632530379134</v>
      </c>
    </row>
    <row r="40" spans="7:15" x14ac:dyDescent="0.25">
      <c r="M40">
        <v>14</v>
      </c>
      <c r="N40">
        <f>Paq_P_1* EXP(-1*(dE0_P_1/ (1 + ((14/zMid_P_1) ^n_P_1)))/(0.00198717*298))</f>
        <v>0.83620377832664783</v>
      </c>
      <c r="O40">
        <f>Paq_P_2* EXP(-1*(dE0_P_2/ (1 + ((14/(-1*zMid_P_2)) ^n_P_2)))/(0.00198717*298))</f>
        <v>1.2412314624996656</v>
      </c>
    </row>
    <row r="41" spans="7:15" x14ac:dyDescent="0.25">
      <c r="M41">
        <v>15</v>
      </c>
      <c r="N41">
        <f>Paq_P_1* EXP(-1*(dE0_P_1/ (1 + ((15/zMid_P_1) ^n_P_1)))/(0.00198717*298))</f>
        <v>0.83620531370106321</v>
      </c>
      <c r="O41">
        <f>Paq_P_2* EXP(-1*(dE0_P_2/ (1 + ((15/(-1*zMid_P_2)) ^n_P_2)))/(0.00198717*298))</f>
        <v>1.292203032826255</v>
      </c>
    </row>
    <row r="42" spans="7:15" x14ac:dyDescent="0.25">
      <c r="M42">
        <v>16</v>
      </c>
      <c r="N42">
        <f>Paq_P_1* EXP(-1*(dE0_P_1/ (1 + ((16/zMid_P_1) ^n_P_1)))/(0.00198717*298))</f>
        <v>0.83620596741048414</v>
      </c>
      <c r="O42">
        <f>Paq_P_2* EXP(-1*(dE0_P_2/ (1 + ((16/(-1*zMid_P_2)) ^n_P_2)))/(0.00198717*298))</f>
        <v>1.3423736447146992</v>
      </c>
    </row>
    <row r="43" spans="7:15" x14ac:dyDescent="0.25">
      <c r="M43">
        <v>17</v>
      </c>
      <c r="N43">
        <f>Paq_P_1* EXP(-1*(dE0_P_1/ (1 + ((17/zMid_P_1) ^n_P_1)))/(0.00198717*298))</f>
        <v>0.83620626111872376</v>
      </c>
      <c r="O43">
        <f>Paq_P_2* EXP(-1*(dE0_P_2/ (1 + ((17/(-1*zMid_P_2)) ^n_P_2)))/(0.00198717*298))</f>
        <v>1.3915774694869718</v>
      </c>
    </row>
    <row r="44" spans="7:15" x14ac:dyDescent="0.25">
      <c r="M44">
        <v>18</v>
      </c>
      <c r="N44">
        <f>Paq_P_1* EXP(-1*(dE0_P_1/ (1 + ((18/zMid_P_1) ^n_P_1)))/(0.00198717*298))</f>
        <v>0.83620639949008135</v>
      </c>
      <c r="O44">
        <f>Paq_P_2* EXP(-1*(dE0_P_2/ (1 + ((18/(-1*zMid_P_2)) ^n_P_2)))/(0.00198717*298))</f>
        <v>1.4396829184340434</v>
      </c>
    </row>
    <row r="45" spans="7:15" x14ac:dyDescent="0.25">
      <c r="M45">
        <v>19</v>
      </c>
      <c r="N45">
        <f>Paq_P_1* EXP(-1*(dE0_P_1/ (1 + ((19/zMid_P_1) ^n_P_1)))/(0.00198717*298))</f>
        <v>0.83620646748371086</v>
      </c>
      <c r="O45">
        <f>Paq_P_2* EXP(-1*(dE0_P_2/ (1 + ((19/(-1*zMid_P_2)) ^n_P_2)))/(0.00198717*298))</f>
        <v>1.4865884902740758</v>
      </c>
    </row>
    <row r="46" spans="7:15" x14ac:dyDescent="0.25">
      <c r="M46">
        <v>20</v>
      </c>
      <c r="N46">
        <f>Paq_P_1* EXP(-1*(dE0_P_1/ (1 + ((20/zMid_P_1) ^n_P_1)))/(0.00198717*298))</f>
        <v>0.83620650217657655</v>
      </c>
      <c r="O46">
        <f>Paq_P_2* EXP(-1*(dE0_P_2/ (1 + ((20/(-1*zMid_P_2)) ^n_P_2)))/(0.00198717*298))</f>
        <v>1.5322188176832401</v>
      </c>
    </row>
    <row r="47" spans="7:15" x14ac:dyDescent="0.25">
      <c r="M47">
        <v>21</v>
      </c>
      <c r="N47">
        <f>Paq_P_1* EXP(-1*(dE0_P_1/ (1 + ((21/zMid_P_1) ^n_P_1)))/(0.00198717*298))</f>
        <v>0.83620652048762301</v>
      </c>
      <c r="O47">
        <f>Paq_P_2* EXP(-1*(dE0_P_2/ (1 + ((21/(-1*zMid_P_2)) ^n_P_2)))/(0.00198717*298))</f>
        <v>1.5765209836571248</v>
      </c>
    </row>
    <row r="48" spans="7:15" x14ac:dyDescent="0.25">
      <c r="M48">
        <v>22</v>
      </c>
      <c r="N48">
        <f>Paq_P_1* EXP(-1*(dE0_P_1/ (1 + ((22/zMid_P_1) ^n_P_1)))/(0.00198717*298))</f>
        <v>0.83620653045258797</v>
      </c>
      <c r="O48">
        <f>Paq_P_2* EXP(-1*(dE0_P_2/ (1 + ((22/(-1*zMid_P_2)) ^n_P_2)))/(0.00198717*298))</f>
        <v>1.619461150948236</v>
      </c>
    </row>
    <row r="49" spans="13:15" x14ac:dyDescent="0.25">
      <c r="M49">
        <v>23</v>
      </c>
      <c r="N49">
        <f>Paq_P_1* EXP(-1*(dE0_P_1/ (1 + ((23/zMid_P_1) ^n_P_1)))/(0.00198717*298))</f>
        <v>0.83620653602843364</v>
      </c>
      <c r="O49">
        <f>Paq_P_2* EXP(-1*(dE0_P_2/ (1 + ((23/(-1*zMid_P_2)) ^n_P_2)))/(0.00198717*298))</f>
        <v>1.6610215250104572</v>
      </c>
    </row>
    <row r="50" spans="13:15" x14ac:dyDescent="0.25">
      <c r="M50">
        <v>24</v>
      </c>
      <c r="N50">
        <f>Paq_P_1* EXP(-1*(dE0_P_1/ (1 + ((24/zMid_P_1) ^n_P_1)))/(0.00198717*298))</f>
        <v>0.83620653922851429</v>
      </c>
      <c r="O50">
        <f>Paq_P_2* EXP(-1*(dE0_P_2/ (1 + ((24/(-1*zMid_P_2)) ^n_P_2)))/(0.00198717*298))</f>
        <v>1.7011976532553565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171</vt:i4>
      </vt:variant>
    </vt:vector>
  </HeadingPairs>
  <TitlesOfParts>
    <vt:vector size="190" baseType="lpstr">
      <vt:lpstr>ct_A</vt:lpstr>
      <vt:lpstr>ct_L</vt:lpstr>
      <vt:lpstr>ct_I</vt:lpstr>
      <vt:lpstr>ct_V</vt:lpstr>
      <vt:lpstr>ct_D</vt:lpstr>
      <vt:lpstr>ct_E</vt:lpstr>
      <vt:lpstr>ct_K</vt:lpstr>
      <vt:lpstr>ct_N</vt:lpstr>
      <vt:lpstr>ct_P</vt:lpstr>
      <vt:lpstr>ct_Q</vt:lpstr>
      <vt:lpstr>ct_R</vt:lpstr>
      <vt:lpstr>ct_H</vt:lpstr>
      <vt:lpstr>ct_M</vt:lpstr>
      <vt:lpstr>ct_S</vt:lpstr>
      <vt:lpstr>ct_T</vt:lpstr>
      <vt:lpstr>ct_F</vt:lpstr>
      <vt:lpstr>ct_W</vt:lpstr>
      <vt:lpstr>ct_Y</vt:lpstr>
      <vt:lpstr>ct_G</vt:lpstr>
      <vt:lpstr>dE0_A_1</vt:lpstr>
      <vt:lpstr>dE0_A_2</vt:lpstr>
      <vt:lpstr>dE0_D_1</vt:lpstr>
      <vt:lpstr>dE0_D_2</vt:lpstr>
      <vt:lpstr>dE0_E_1</vt:lpstr>
      <vt:lpstr>dE0_E_2</vt:lpstr>
      <vt:lpstr>dE0_F_1</vt:lpstr>
      <vt:lpstr>dE0_F_2</vt:lpstr>
      <vt:lpstr>dE0_G_1</vt:lpstr>
      <vt:lpstr>dE0_G_2</vt:lpstr>
      <vt:lpstr>dE0_H_1</vt:lpstr>
      <vt:lpstr>dE0_H_2</vt:lpstr>
      <vt:lpstr>dE0_I_1</vt:lpstr>
      <vt:lpstr>dE0_I_2</vt:lpstr>
      <vt:lpstr>dE0_K_1</vt:lpstr>
      <vt:lpstr>dE0_K_2</vt:lpstr>
      <vt:lpstr>dE0_L_1</vt:lpstr>
      <vt:lpstr>dE0_L_2</vt:lpstr>
      <vt:lpstr>dE0_M_1</vt:lpstr>
      <vt:lpstr>dE0_M_2</vt:lpstr>
      <vt:lpstr>dE0_N_1</vt:lpstr>
      <vt:lpstr>dE0_N_2</vt:lpstr>
      <vt:lpstr>dE0_P_1</vt:lpstr>
      <vt:lpstr>dE0_P_2</vt:lpstr>
      <vt:lpstr>dE0_Q_1</vt:lpstr>
      <vt:lpstr>dE0_Q_2</vt:lpstr>
      <vt:lpstr>dE0_R_1</vt:lpstr>
      <vt:lpstr>dE0_R_2</vt:lpstr>
      <vt:lpstr>dE0_S_1</vt:lpstr>
      <vt:lpstr>dE0_S_2</vt:lpstr>
      <vt:lpstr>dE0_T_1</vt:lpstr>
      <vt:lpstr>dE0_T_2</vt:lpstr>
      <vt:lpstr>dE0_V_1</vt:lpstr>
      <vt:lpstr>dE0_V_2</vt:lpstr>
      <vt:lpstr>dE0_W_1</vt:lpstr>
      <vt:lpstr>dE0_W_2</vt:lpstr>
      <vt:lpstr>dE0_Y_1</vt:lpstr>
      <vt:lpstr>dE0_Y_2</vt:lpstr>
      <vt:lpstr>n_A_1</vt:lpstr>
      <vt:lpstr>n_A_2</vt:lpstr>
      <vt:lpstr>n_D_1</vt:lpstr>
      <vt:lpstr>n_D_2</vt:lpstr>
      <vt:lpstr>n_E_1</vt:lpstr>
      <vt:lpstr>n_E_2</vt:lpstr>
      <vt:lpstr>n_F_1</vt:lpstr>
      <vt:lpstr>n_F_2</vt:lpstr>
      <vt:lpstr>n_G_1</vt:lpstr>
      <vt:lpstr>n_G_2</vt:lpstr>
      <vt:lpstr>n_H_1</vt:lpstr>
      <vt:lpstr>n_H_2</vt:lpstr>
      <vt:lpstr>n_I_1</vt:lpstr>
      <vt:lpstr>n_I_2</vt:lpstr>
      <vt:lpstr>n_K_1</vt:lpstr>
      <vt:lpstr>n_K_2</vt:lpstr>
      <vt:lpstr>n_L_1</vt:lpstr>
      <vt:lpstr>n_L_2</vt:lpstr>
      <vt:lpstr>n_M_1</vt:lpstr>
      <vt:lpstr>n_M_2</vt:lpstr>
      <vt:lpstr>n_N_1</vt:lpstr>
      <vt:lpstr>n_N_2</vt:lpstr>
      <vt:lpstr>n_P_1</vt:lpstr>
      <vt:lpstr>n_P_2</vt:lpstr>
      <vt:lpstr>n_Q_1</vt:lpstr>
      <vt:lpstr>n_Q_2</vt:lpstr>
      <vt:lpstr>n_R_1</vt:lpstr>
      <vt:lpstr>n_R_2</vt:lpstr>
      <vt:lpstr>n_Res_A</vt:lpstr>
      <vt:lpstr>n_Res_D</vt:lpstr>
      <vt:lpstr>n_Res_E</vt:lpstr>
      <vt:lpstr>n_Res_F</vt:lpstr>
      <vt:lpstr>n_Res_G</vt:lpstr>
      <vt:lpstr>n_Res_H</vt:lpstr>
      <vt:lpstr>n_Res_I</vt:lpstr>
      <vt:lpstr>n_Res_K</vt:lpstr>
      <vt:lpstr>n_Res_L</vt:lpstr>
      <vt:lpstr>n_Res_M</vt:lpstr>
      <vt:lpstr>n_Res_N</vt:lpstr>
      <vt:lpstr>n_Res_P</vt:lpstr>
      <vt:lpstr>n_Res_Q</vt:lpstr>
      <vt:lpstr>n_Res_R</vt:lpstr>
      <vt:lpstr>n_Res_S</vt:lpstr>
      <vt:lpstr>n_Res_T</vt:lpstr>
      <vt:lpstr>n_Res_V</vt:lpstr>
      <vt:lpstr>n_Res_W</vt:lpstr>
      <vt:lpstr>n_Res_Y</vt:lpstr>
      <vt:lpstr>n_S_1</vt:lpstr>
      <vt:lpstr>n_S_2</vt:lpstr>
      <vt:lpstr>n_T_1</vt:lpstr>
      <vt:lpstr>n_T_2</vt:lpstr>
      <vt:lpstr>n_V_1</vt:lpstr>
      <vt:lpstr>n_V_2</vt:lpstr>
      <vt:lpstr>n_W_1</vt:lpstr>
      <vt:lpstr>n_W_2</vt:lpstr>
      <vt:lpstr>n_Y_1</vt:lpstr>
      <vt:lpstr>n_Y_2</vt:lpstr>
      <vt:lpstr>Paq_A_1</vt:lpstr>
      <vt:lpstr>Paq_A_2</vt:lpstr>
      <vt:lpstr>Paq_D_1</vt:lpstr>
      <vt:lpstr>Paq_D_2</vt:lpstr>
      <vt:lpstr>Paq_E_1</vt:lpstr>
      <vt:lpstr>Paq_E_2</vt:lpstr>
      <vt:lpstr>Paq_F_1</vt:lpstr>
      <vt:lpstr>Paq_F_2</vt:lpstr>
      <vt:lpstr>Paq_G_1</vt:lpstr>
      <vt:lpstr>Paq_G_2</vt:lpstr>
      <vt:lpstr>Paq_H_1</vt:lpstr>
      <vt:lpstr>Paq_H_2</vt:lpstr>
      <vt:lpstr>Paq_I_1</vt:lpstr>
      <vt:lpstr>Paq_I_2</vt:lpstr>
      <vt:lpstr>Paq_K_1</vt:lpstr>
      <vt:lpstr>Paq_K_2</vt:lpstr>
      <vt:lpstr>Paq_L_1</vt:lpstr>
      <vt:lpstr>Paq_L_2</vt:lpstr>
      <vt:lpstr>Paq_M_1</vt:lpstr>
      <vt:lpstr>Paq_M_2</vt:lpstr>
      <vt:lpstr>Paq_N_1</vt:lpstr>
      <vt:lpstr>Paq_N_2</vt:lpstr>
      <vt:lpstr>Paq_P_1</vt:lpstr>
      <vt:lpstr>Paq_P_2</vt:lpstr>
      <vt:lpstr>Paq_Q_1</vt:lpstr>
      <vt:lpstr>Paq_Q_2</vt:lpstr>
      <vt:lpstr>Paq_R_1</vt:lpstr>
      <vt:lpstr>Paq_R_2</vt:lpstr>
      <vt:lpstr>Paq_S_1</vt:lpstr>
      <vt:lpstr>Paq_S_2</vt:lpstr>
      <vt:lpstr>Paq_T_1</vt:lpstr>
      <vt:lpstr>Paq_T_2</vt:lpstr>
      <vt:lpstr>Paq_V_1</vt:lpstr>
      <vt:lpstr>Paq_V_2</vt:lpstr>
      <vt:lpstr>Paq_W_1</vt:lpstr>
      <vt:lpstr>Paq_W_2</vt:lpstr>
      <vt:lpstr>Paq_Y_1</vt:lpstr>
      <vt:lpstr>Paq_Y_2</vt:lpstr>
      <vt:lpstr>zMid_A_1</vt:lpstr>
      <vt:lpstr>zMid_A_2</vt:lpstr>
      <vt:lpstr>zMid_D_1</vt:lpstr>
      <vt:lpstr>zMid_D_2</vt:lpstr>
      <vt:lpstr>zMid_E_1</vt:lpstr>
      <vt:lpstr>zMid_E_2</vt:lpstr>
      <vt:lpstr>zMid_F_1</vt:lpstr>
      <vt:lpstr>zMid_F_2</vt:lpstr>
      <vt:lpstr>zMid_G_1</vt:lpstr>
      <vt:lpstr>zMid_G_2</vt:lpstr>
      <vt:lpstr>zMid_H_1</vt:lpstr>
      <vt:lpstr>zMid_H_2</vt:lpstr>
      <vt:lpstr>zMid_I_1</vt:lpstr>
      <vt:lpstr>zMid_I_2</vt:lpstr>
      <vt:lpstr>zMid_K_1</vt:lpstr>
      <vt:lpstr>zMid_K_2</vt:lpstr>
      <vt:lpstr>zMid_L_1</vt:lpstr>
      <vt:lpstr>zMid_L_2</vt:lpstr>
      <vt:lpstr>zMid_M_1</vt:lpstr>
      <vt:lpstr>zMid_M_2</vt:lpstr>
      <vt:lpstr>zMid_N_1</vt:lpstr>
      <vt:lpstr>zMid_N_2</vt:lpstr>
      <vt:lpstr>zMid_P_1</vt:lpstr>
      <vt:lpstr>zMid_P_2</vt:lpstr>
      <vt:lpstr>zMid_Q_1</vt:lpstr>
      <vt:lpstr>zMid_Q_2</vt:lpstr>
      <vt:lpstr>zMid_R_1</vt:lpstr>
      <vt:lpstr>zMid_R_2</vt:lpstr>
      <vt:lpstr>zMid_S_1</vt:lpstr>
      <vt:lpstr>zMid_S_2</vt:lpstr>
      <vt:lpstr>zMid_T_1</vt:lpstr>
      <vt:lpstr>zMid_T_2</vt:lpstr>
      <vt:lpstr>zMid_V_1</vt:lpstr>
      <vt:lpstr>zMid_V_2</vt:lpstr>
      <vt:lpstr>zMid_W_1</vt:lpstr>
      <vt:lpstr>zMid_W_2</vt:lpstr>
      <vt:lpstr>zMid_Y_1</vt:lpstr>
      <vt:lpstr>zMid_Y_2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2012-05-05T17:35:16Z</dcterms:created>
  <dcterms:modified xsi:type="dcterms:W3CDTF">2012-05-13T21:39:53Z</dcterms:modified>
</cp:coreProperties>
</file>