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xr:revisionPtr revIDLastSave="0" documentId="8_{98E5D8B6-4D56-4A83-9089-3D76AD01D61F}" xr6:coauthVersionLast="47" xr6:coauthVersionMax="47" xr10:uidLastSave="{00000000-0000-0000-0000-000000000000}"/>
  <workbookProtection workbookAlgorithmName="SHA-512" workbookHashValue="NI/UP4KYuv05k+yw7ISLx3Ba7H4xGEtbEnaOMP2weCULs304rlYEnwauIO2X2nBhodcLPG5AZ6atbcxSyy5ItA==" workbookSaltValue="dkIkp2KHxcXDdlpkSjs18A==" workbookSpinCount="100000" lockStructure="1"/>
  <bookViews>
    <workbookView xWindow="1140" yWindow="1140" windowWidth="20770" windowHeight="14620" tabRatio="601" xr2:uid="{00000000-000D-0000-FFFF-FFFF00000000}"/>
  </bookViews>
  <sheets>
    <sheet name="19XR6 FrB cooler  Check" sheetId="5" r:id="rId1"/>
    <sheet name="Category" sheetId="12" state="hidden" r:id="rId2"/>
    <sheet name="19XR6 Fr B_Evap" sheetId="2" state="hidden" r:id="rId3"/>
    <sheet name="19XR7_Econ" sheetId="11" state="hidden" r:id="rId4"/>
    <sheet name="EDR Database-Fr B cooler" sheetId="10" state="hidden" r:id="rId5"/>
  </sheets>
  <externalReferences>
    <externalReference r:id="rId6"/>
    <externalReference r:id="rId7"/>
    <externalReference r:id="rId8"/>
  </externalReferences>
  <definedNames>
    <definedName name="_Hlk486942333" localSheetId="4">'EDR Database-Fr B cooler'!#REF!</definedName>
    <definedName name="anscount" hidden="1">3</definedName>
    <definedName name="category">#REF!</definedName>
    <definedName name="LASTX">OFFSET('[1]VS PL Map (2D-interplation)'!XEV3,,COUNT('[1]VS PL Map (2D-interplation)'!XEW3:XEU3))</definedName>
    <definedName name="LASTY">OFFSET('[1]VS PL Map (2D-interplation)'!XEV3,COUNT('[1]VS PL Map (2D-interplation)'!XEV4:XEV1048572),)</definedName>
    <definedName name="Priority">#REF!</definedName>
    <definedName name="Project">[2]PDCA!$N$2:$N$5</definedName>
    <definedName name="Status">#REF!</definedName>
    <definedName name="Unit">[2]PDCA!$O$2:$O$14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0" l="1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D43" i="11"/>
  <c r="D42" i="11"/>
  <c r="D40" i="11"/>
  <c r="D24" i="11" a="1"/>
  <c r="D24" i="11" s="1"/>
  <c r="D23" i="11" a="1"/>
  <c r="D23" i="11" s="1"/>
  <c r="D20" i="11" a="1"/>
  <c r="D20" i="11" s="1"/>
  <c r="D19" i="11" a="1"/>
  <c r="D19" i="11" s="1"/>
  <c r="D18" i="11" a="1"/>
  <c r="D18" i="11"/>
  <c r="D17" i="11" a="1"/>
  <c r="D17" i="11" s="1"/>
  <c r="D16" i="11" a="1"/>
  <c r="D16" i="11" s="1"/>
  <c r="D14" i="11"/>
  <c r="D11" i="11"/>
  <c r="D10" i="11"/>
  <c r="D9" i="11"/>
  <c r="D12" i="11" s="1"/>
  <c r="D8" i="11"/>
  <c r="D7" i="11"/>
  <c r="D6" i="11"/>
  <c r="D5" i="11"/>
  <c r="D25" i="2"/>
  <c r="D23" i="2"/>
  <c r="D12" i="2"/>
  <c r="D11" i="2"/>
  <c r="D10" i="2"/>
  <c r="D9" i="2"/>
  <c r="D8" i="2"/>
  <c r="D7" i="2"/>
  <c r="D21" i="2" s="1"/>
  <c r="D6" i="2"/>
  <c r="D4" i="2"/>
  <c r="D5" i="2" s="1"/>
  <c r="D3" i="2"/>
  <c r="C16" i="5"/>
  <c r="D26" i="11" l="1"/>
  <c r="D48" i="11" s="1"/>
  <c r="C26" i="5" s="1"/>
  <c r="D21" i="11"/>
  <c r="D25" i="11"/>
  <c r="D55" i="11"/>
  <c r="C19" i="5" s="1"/>
  <c r="D24" i="2"/>
  <c r="D26" i="2" s="1"/>
  <c r="D14" i="2"/>
  <c r="D15" i="2"/>
  <c r="D18" i="2" s="1"/>
  <c r="D16" i="2"/>
  <c r="D28" i="2"/>
  <c r="D17" i="2"/>
  <c r="D30" i="2"/>
  <c r="D22" i="11"/>
  <c r="D29" i="2"/>
  <c r="D19" i="2"/>
  <c r="D22" i="2" s="1"/>
  <c r="D31" i="2"/>
  <c r="D20" i="2"/>
  <c r="D27" i="11" l="1"/>
  <c r="D29" i="11" s="1"/>
  <c r="C25" i="5" s="1"/>
  <c r="C27" i="5" s="1"/>
  <c r="D28" i="11"/>
  <c r="D30" i="11" s="1"/>
  <c r="D27" i="2"/>
  <c r="D33" i="2" s="1"/>
  <c r="C21" i="5" s="1"/>
  <c r="C29" i="5" s="1"/>
  <c r="D46" i="11"/>
  <c r="D51" i="11"/>
  <c r="D52" i="11" s="1"/>
  <c r="D56" i="11" s="1"/>
  <c r="C20" i="5" s="1"/>
  <c r="C28" i="5" s="1"/>
  <c r="D50" i="11"/>
  <c r="D47" i="11"/>
  <c r="D49" i="11"/>
  <c r="D32" i="2"/>
  <c r="C30" i="5" l="1"/>
  <c r="C3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<sst xmlns="http://schemas.openxmlformats.org/spreadsheetml/2006/main" count="329" uniqueCount="175">
  <si>
    <t>Cooler Frame</t>
  </si>
  <si>
    <t>1 pass</t>
  </si>
  <si>
    <t>2 pass</t>
  </si>
  <si>
    <t>3 pass</t>
  </si>
  <si>
    <t>A1</t>
  </si>
  <si>
    <t>A2</t>
  </si>
  <si>
    <t>A3</t>
  </si>
  <si>
    <t>Baseline Capacity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</si>
  <si>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</si>
  <si>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</si>
  <si>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</si>
  <si>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Lift Multiplier</t>
    <phoneticPr fontId="1" type="noConversion"/>
  </si>
  <si>
    <t>Case Name</t>
    <phoneticPr fontId="1" type="noConversion"/>
  </si>
  <si>
    <t>Cooler Size</t>
    <phoneticPr fontId="1" type="noConversion"/>
  </si>
  <si>
    <t>Cooler Passes</t>
    <phoneticPr fontId="1" type="noConversion"/>
  </si>
  <si>
    <t>Cooler Nozzle Arrangement</t>
    <phoneticPr fontId="1" type="noConversion"/>
  </si>
  <si>
    <t>F</t>
  </si>
  <si>
    <t>Cooler Entering Temperature</t>
    <phoneticPr fontId="1" type="noConversion"/>
  </si>
  <si>
    <t>F</t>
    <phoneticPr fontId="1" type="noConversion"/>
  </si>
  <si>
    <t>Rise Multiplier</t>
    <phoneticPr fontId="1" type="noConversion"/>
  </si>
  <si>
    <r>
      <t>Cooler Saturation Temperature(</t>
    </r>
    <r>
      <rPr>
        <i/>
        <sz val="10"/>
        <color theme="1"/>
        <rFont val="Arial Unicode MS"/>
        <family val="2"/>
        <charset val="134"/>
      </rPr>
      <t>T</t>
    </r>
    <r>
      <rPr>
        <i/>
        <vertAlign val="subscript"/>
        <sz val="10"/>
        <color theme="1"/>
        <rFont val="Arial Unicode MS"/>
        <family val="2"/>
        <charset val="134"/>
      </rPr>
      <t>sat,clr</t>
    </r>
    <r>
      <rPr>
        <sz val="10"/>
        <color theme="1"/>
        <rFont val="Arial Unicode MS"/>
        <family val="2"/>
        <charset val="134"/>
      </rPr>
      <t>)</t>
    </r>
    <phoneticPr fontId="1" type="noConversion"/>
  </si>
  <si>
    <r>
      <t>Economizer Saturation Temperature(</t>
    </r>
    <r>
      <rPr>
        <i/>
        <sz val="10"/>
        <color theme="1"/>
        <rFont val="Arial Unicode MS"/>
        <family val="2"/>
        <charset val="134"/>
      </rPr>
      <t>T</t>
    </r>
    <r>
      <rPr>
        <i/>
        <vertAlign val="subscript"/>
        <sz val="10"/>
        <color theme="1"/>
        <rFont val="Arial Unicode MS"/>
        <family val="2"/>
        <charset val="134"/>
      </rPr>
      <t>sat,eco</t>
    </r>
    <r>
      <rPr>
        <sz val="10"/>
        <color theme="1"/>
        <rFont val="Arial Unicode MS"/>
        <family val="2"/>
        <charset val="134"/>
      </rPr>
      <t>)</t>
    </r>
    <phoneticPr fontId="1" type="noConversion"/>
  </si>
  <si>
    <t>Chiller Capacity</t>
    <phoneticPr fontId="1" type="noConversion"/>
  </si>
  <si>
    <t>Ton</t>
  </si>
  <si>
    <t>Compressor End</t>
    <phoneticPr fontId="1" type="noConversion"/>
  </si>
  <si>
    <t>Drive End</t>
    <phoneticPr fontId="1" type="noConversion"/>
  </si>
  <si>
    <t>N/A</t>
    <phoneticPr fontId="1" type="noConversion"/>
  </si>
  <si>
    <t>Ton</t>
    <phoneticPr fontId="1" type="noConversion"/>
  </si>
  <si>
    <t>Input_E-cat report</t>
    <phoneticPr fontId="1" type="noConversion"/>
  </si>
  <si>
    <t>PARAMETER</t>
  </si>
  <si>
    <t>Cooler:14/20
Condenser: 32/37</t>
    <phoneticPr fontId="9" type="noConversion"/>
  </si>
  <si>
    <t>INPUT</t>
    <phoneticPr fontId="9" type="noConversion"/>
  </si>
  <si>
    <t>Refrigerant</t>
    <phoneticPr fontId="9" type="noConversion"/>
  </si>
  <si>
    <t>R134a</t>
  </si>
  <si>
    <t>Capacity</t>
    <phoneticPr fontId="9" type="noConversion"/>
  </si>
  <si>
    <t>tons</t>
    <phoneticPr fontId="9" type="noConversion"/>
  </si>
  <si>
    <t>Flasc SaturationTemperature</t>
    <phoneticPr fontId="9" type="noConversion"/>
  </si>
  <si>
    <t>F</t>
    <phoneticPr fontId="9" type="noConversion"/>
  </si>
  <si>
    <t>Economizer Saturation Temperature</t>
    <phoneticPr fontId="9" type="noConversion"/>
  </si>
  <si>
    <t>Cooler Saturation Temperature</t>
    <phoneticPr fontId="9" type="noConversion"/>
  </si>
  <si>
    <t>Condenser Saturation Temperature</t>
  </si>
  <si>
    <t>Discharge Super Heat</t>
  </si>
  <si>
    <t>R</t>
  </si>
  <si>
    <t>Evaporator LTD</t>
  </si>
  <si>
    <t>System Lift</t>
  </si>
  <si>
    <t>Constant</t>
  </si>
  <si>
    <t>Acceleration of Gravity</t>
  </si>
  <si>
    <t>ft/sec^2</t>
    <phoneticPr fontId="9" type="noConversion"/>
  </si>
  <si>
    <t>OUTPUT</t>
  </si>
  <si>
    <t>Cooler Saturation vapor Enthalpy h</t>
  </si>
  <si>
    <t>Btu/lbm</t>
    <phoneticPr fontId="9" type="noConversion"/>
  </si>
  <si>
    <t>Cooler SaturationLiquid Enthalpy h</t>
  </si>
  <si>
    <t>Flasc Saturation Liquid Enthalpy  h5</t>
    <phoneticPr fontId="9" type="noConversion"/>
  </si>
  <si>
    <t>Economizer Saturation Liquid Enthalpy h6</t>
  </si>
  <si>
    <t>Economizer Saturation Vapor Enthalpy h7</t>
    <phoneticPr fontId="9" type="noConversion"/>
  </si>
  <si>
    <t>Economizer Vapor quality</t>
  </si>
  <si>
    <t>Economizer Saturation Liquid Density</t>
    <phoneticPr fontId="9" type="noConversion"/>
  </si>
  <si>
    <t>lbm/ft^3</t>
    <phoneticPr fontId="9" type="noConversion"/>
  </si>
  <si>
    <t>Economizer Saturation Vapor Density</t>
    <phoneticPr fontId="9" type="noConversion"/>
  </si>
  <si>
    <t>Economizer Mixture Density</t>
  </si>
  <si>
    <t>1st stage Mass Flow Rate</t>
  </si>
  <si>
    <t>lb/min</t>
    <phoneticPr fontId="9" type="noConversion"/>
  </si>
  <si>
    <t>Econ Vapor Mass Flow Rate</t>
  </si>
  <si>
    <t>Econ Liquid Mass Flow Rate</t>
  </si>
  <si>
    <t>Economizer Vapor Volume Flow Rate</t>
  </si>
  <si>
    <t>ft^3/min</t>
  </si>
  <si>
    <t>Economizer Liquid Volume Flow Rate</t>
  </si>
  <si>
    <t>ft^3/min</t>
    <phoneticPr fontId="9" type="noConversion"/>
  </si>
  <si>
    <t>Assume</t>
  </si>
  <si>
    <t xml:space="preserve">Shell ID </t>
    <phoneticPr fontId="9" type="noConversion"/>
  </si>
  <si>
    <t>in</t>
    <phoneticPr fontId="9" type="noConversion"/>
  </si>
  <si>
    <t xml:space="preserve">Shell Length </t>
    <phoneticPr fontId="9" type="noConversion"/>
  </si>
  <si>
    <t xml:space="preserve">d_ 2nd stg Vapor </t>
    <phoneticPr fontId="9" type="noConversion"/>
  </si>
  <si>
    <t xml:space="preserve">d_ Econ. Liquid </t>
    <phoneticPr fontId="9" type="noConversion"/>
  </si>
  <si>
    <t xml:space="preserve">A_EyeHole </t>
    <phoneticPr fontId="9" type="noConversion"/>
  </si>
  <si>
    <t>ft^2</t>
  </si>
  <si>
    <t>Calculation</t>
  </si>
  <si>
    <t xml:space="preserve">A_ 2nd stg Vapor </t>
    <phoneticPr fontId="9" type="noConversion"/>
  </si>
  <si>
    <t>ft^2</t>
    <phoneticPr fontId="9" type="noConversion"/>
  </si>
  <si>
    <t xml:space="preserve">A_ Econ. Liquid </t>
    <phoneticPr fontId="11" type="noConversion"/>
  </si>
  <si>
    <t>Check</t>
  </si>
  <si>
    <t>V_ 2nd stg Vapor</t>
    <phoneticPr fontId="9" type="noConversion"/>
  </si>
  <si>
    <t>ft/s</t>
  </si>
  <si>
    <t xml:space="preserve">V_ Econ. Liquid </t>
    <phoneticPr fontId="9" type="noConversion"/>
  </si>
  <si>
    <t>V_EyeHole.Liquid   m1st</t>
    <phoneticPr fontId="9" type="noConversion"/>
  </si>
  <si>
    <t>ft/s</t>
    <phoneticPr fontId="9" type="noConversion"/>
  </si>
  <si>
    <t xml:space="preserve">V_Liquid_Econ_H </t>
    <phoneticPr fontId="9" type="noConversion"/>
  </si>
  <si>
    <t xml:space="preserve">V_Vapor_Econ_H </t>
    <phoneticPr fontId="9" type="noConversion"/>
  </si>
  <si>
    <t xml:space="preserve">V_Vapor_Econ_V </t>
    <phoneticPr fontId="9" type="noConversion"/>
  </si>
  <si>
    <t>ρv^2 (Vapor)&lt;***</t>
    <phoneticPr fontId="9" type="noConversion"/>
  </si>
  <si>
    <t>Lliquid carry over</t>
  </si>
  <si>
    <t>%</t>
  </si>
  <si>
    <t>Vapor Limit(EDR)</t>
    <phoneticPr fontId="9" type="noConversion"/>
  </si>
  <si>
    <t>ft/s</t>
    <phoneticPr fontId="1" type="noConversion"/>
  </si>
  <si>
    <t>Output_Cooler Limit Tons</t>
    <phoneticPr fontId="1" type="noConversion"/>
  </si>
  <si>
    <t>Cooler Limit Tons</t>
    <phoneticPr fontId="1" type="noConversion"/>
  </si>
  <si>
    <t>Comments:</t>
    <phoneticPr fontId="1" type="noConversion"/>
  </si>
  <si>
    <t>Cooler Leaving Temperature</t>
    <phoneticPr fontId="1" type="noConversion"/>
  </si>
  <si>
    <t>Pass</t>
    <phoneticPr fontId="1" type="noConversion"/>
  </si>
  <si>
    <t>ETO Economizer Float Valve Size</t>
    <phoneticPr fontId="1" type="noConversion"/>
  </si>
  <si>
    <t xml:space="preserve">EDR Limit </t>
    <phoneticPr fontId="9" type="noConversion"/>
  </si>
  <si>
    <t>Check</t>
    <phoneticPr fontId="9" type="noConversion"/>
  </si>
  <si>
    <r>
      <t>V_EyeHole.Liquid   m</t>
    </r>
    <r>
      <rPr>
        <vertAlign val="subscript"/>
        <sz val="10"/>
        <rFont val="Arial"/>
        <family val="2"/>
      </rPr>
      <t>1st</t>
    </r>
    <phoneticPr fontId="9" type="noConversion"/>
  </si>
  <si>
    <t>Liquid Limit(EDR)</t>
    <phoneticPr fontId="9" type="noConversion"/>
  </si>
  <si>
    <t>Cooler Limit check</t>
    <phoneticPr fontId="1" type="noConversion"/>
  </si>
  <si>
    <t>Result</t>
    <phoneticPr fontId="1" type="noConversion"/>
  </si>
  <si>
    <t>Failed</t>
    <phoneticPr fontId="1" type="noConversion"/>
  </si>
  <si>
    <t>OK</t>
    <phoneticPr fontId="1" type="noConversion"/>
  </si>
  <si>
    <t>NO</t>
    <phoneticPr fontId="1" type="noConversion"/>
  </si>
  <si>
    <t>Refrigerator Dryness</t>
    <phoneticPr fontId="1" type="noConversion"/>
  </si>
  <si>
    <t>该区域值来自E-Cat报告（Ignore LCO)</t>
    <phoneticPr fontId="1" type="noConversion"/>
  </si>
  <si>
    <t>注释</t>
    <phoneticPr fontId="1" type="noConversion"/>
  </si>
  <si>
    <t>结论:</t>
    <phoneticPr fontId="9" type="noConversion"/>
  </si>
  <si>
    <t>#此值根据E-Cat报告进行输入</t>
    <phoneticPr fontId="9" type="noConversion"/>
  </si>
  <si>
    <t>#此值根据E-Cat报告进行选择</t>
    <phoneticPr fontId="9" type="noConversion"/>
  </si>
  <si>
    <t>#此值根据ETO选型进行选择,代号含义见Comments</t>
    <phoneticPr fontId="9" type="noConversion"/>
  </si>
  <si>
    <t>#EDR中经济器气体体积流量限制值</t>
    <phoneticPr fontId="9" type="noConversion"/>
  </si>
  <si>
    <t>#EDR中经济器眼睛口液体流速限制值</t>
    <phoneticPr fontId="9" type="noConversion"/>
  </si>
  <si>
    <t>#E-Cat选型中，经济器气体体积流量</t>
    <phoneticPr fontId="9" type="noConversion"/>
  </si>
  <si>
    <t>#E-Cat选型中，经济器眼睛口液体流速</t>
    <phoneticPr fontId="9" type="noConversion"/>
  </si>
  <si>
    <t>E-Cat 选型符合EDR的限制</t>
    <phoneticPr fontId="1" type="noConversion"/>
  </si>
  <si>
    <t>#判断E-Cat选型中经济器的气体体积流量是否满足EDR限制</t>
    <phoneticPr fontId="9" type="noConversion"/>
  </si>
  <si>
    <t>#判断E-Cat选型中蒸发器的Limit Tons是否满足EDR限制</t>
    <phoneticPr fontId="9" type="noConversion"/>
  </si>
  <si>
    <t>#判断E-Cat选型中经济器和蒸发器的Limit Tons是否均满足EDR限制</t>
    <phoneticPr fontId="9" type="noConversion"/>
  </si>
  <si>
    <t>E-Cat 选型工况同时满足EDR中经济器和蒸发器的限制</t>
    <phoneticPr fontId="1" type="noConversion"/>
  </si>
  <si>
    <t>Drive End</t>
  </si>
  <si>
    <t>Baseline Capacity (Ton)</t>
  </si>
  <si>
    <t>Case 1</t>
    <phoneticPr fontId="1" type="noConversion"/>
  </si>
  <si>
    <t>X1</t>
    <phoneticPr fontId="1" type="noConversion"/>
  </si>
  <si>
    <t>X2</t>
  </si>
  <si>
    <t>X3</t>
  </si>
  <si>
    <t>Y1</t>
    <phoneticPr fontId="1" type="noConversion"/>
  </si>
  <si>
    <t>Y2</t>
  </si>
  <si>
    <t>Y3</t>
  </si>
  <si>
    <t>Z1</t>
    <phoneticPr fontId="1" type="noConversion"/>
  </si>
  <si>
    <t>Z2</t>
  </si>
  <si>
    <t>Z3</t>
  </si>
  <si>
    <t>A1</t>
    <phoneticPr fontId="1" type="noConversion"/>
  </si>
  <si>
    <t>A2</t>
    <phoneticPr fontId="1" type="noConversion"/>
  </si>
  <si>
    <t>A3</t>
    <phoneticPr fontId="1" type="noConversion"/>
  </si>
  <si>
    <t>Cooler Length</t>
    <phoneticPr fontId="1" type="noConversion"/>
  </si>
  <si>
    <t>The cooler Temp rise</t>
    <phoneticPr fontId="1" type="noConversion"/>
  </si>
  <si>
    <t>ft</t>
    <phoneticPr fontId="1" type="noConversion"/>
  </si>
  <si>
    <t>Cooler Length / ft</t>
    <phoneticPr fontId="1" type="noConversion"/>
  </si>
  <si>
    <t>Pass or not</t>
    <phoneticPr fontId="1" type="noConversion"/>
  </si>
  <si>
    <t>PASS</t>
  </si>
  <si>
    <t>Compressor End</t>
  </si>
  <si>
    <t>Cooler Size</t>
  </si>
  <si>
    <t>A_Econ Shell_H</t>
  </si>
  <si>
    <t>A_Econ Shell_V</t>
  </si>
  <si>
    <t>Cooler Length</t>
    <phoneticPr fontId="1" type="noConversion"/>
  </si>
  <si>
    <t>自动链接
无需填写</t>
    <phoneticPr fontId="1" type="noConversion"/>
  </si>
  <si>
    <t>此Tool仅应用于19XR6+FrB cooler数据中心中温工况ETO订单中，采用XR7 7S经济器和7F高侧浮球阀 Igonre Carryover的选型进行校核。
首台订单应用必须进行5天性能测试。</t>
  </si>
  <si>
    <t xml:space="preserve">7S </t>
  </si>
  <si>
    <t>19XR7 经济器浮球阀代号</t>
  </si>
  <si>
    <t>7S</t>
  </si>
  <si>
    <t>B60</t>
  </si>
  <si>
    <t>B61</t>
  </si>
  <si>
    <t>B62</t>
  </si>
  <si>
    <t>B65</t>
  </si>
  <si>
    <t>B66</t>
  </si>
  <si>
    <t>B67</t>
  </si>
  <si>
    <t>B6A</t>
  </si>
  <si>
    <t>B6B</t>
  </si>
  <si>
    <t>B6C</t>
  </si>
  <si>
    <t>B6F</t>
  </si>
  <si>
    <t>B6G</t>
  </si>
  <si>
    <t>B6H</t>
  </si>
  <si>
    <t>Tube No</t>
  </si>
  <si>
    <t>pass</t>
  </si>
  <si>
    <t>A4</t>
  </si>
  <si>
    <t>R7  Economizer</t>
  </si>
  <si>
    <t>#判断E-Cat选型中经济器的液体流速是否满足EDR限制</t>
  </si>
  <si>
    <t>E-Cat 选型不符合EDR的限制</t>
  </si>
  <si>
    <t>E-Cat 选型工况不满足EDR中经济器或蒸发器的限制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</si>
</sst>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E+00"/>
    <numFmt numFmtId="165" formatCode="0.000"/>
    <numFmt numFmtId="166" formatCode="0.00_);[Red]\(0.00\)"/>
    <numFmt numFmtId="167" formatCode="0.00_ "/>
    <numFmt numFmtId="168" formatCode="0.0000_ "/>
    <numFmt numFmtId="169" formatCode="0.0"/>
    <numFmt numFmtId="170" formatCode="0.000_ "/>
    <numFmt numFmtId="171" formatCode="0.000000000_);[Red]\(0.000000000\)"/>
    <numFmt numFmtId="172" formatCode="0.0_ "/>
    <numFmt numFmtId="173" formatCode="0.00000E+00"/>
    <numFmt numFmtId="174" formatCode="0.00000"/>
  </numFmts>
  <fonts count="4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Arial Unicode MS"/>
      <family val="2"/>
      <charset val="134"/>
    </font>
    <font>
      <i/>
      <sz val="10"/>
      <color theme="1"/>
      <name val="Arial Unicode MS"/>
      <family val="2"/>
      <charset val="134"/>
    </font>
    <font>
      <i/>
      <vertAlign val="subscript"/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9"/>
      <name val="Calibri"/>
      <family val="2"/>
      <charset val="134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color rgb="FFFF0000"/>
      <name val="Arial Unicode MS"/>
      <family val="2"/>
      <charset val="134"/>
    </font>
    <font>
      <vertAlign val="subscript"/>
      <sz val="10"/>
      <name val="Arial"/>
      <family val="2"/>
    </font>
    <font>
      <i/>
      <sz val="11"/>
      <color theme="1"/>
      <name val="Arial Unicode MS"/>
      <family val="2"/>
      <charset val="134"/>
    </font>
    <font>
      <b/>
      <i/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  <charset val="134"/>
    </font>
    <font>
      <i/>
      <sz val="10"/>
      <color theme="1"/>
      <name val="宋体"/>
      <family val="3"/>
      <charset val="134"/>
    </font>
    <font>
      <i/>
      <sz val="10"/>
      <color theme="1"/>
      <name val="宋体"/>
      <family val="2"/>
      <charset val="134"/>
    </font>
    <font>
      <sz val="11"/>
      <color theme="1"/>
      <name val="Arial Unicode MS"/>
      <family val="2"/>
      <charset val="134"/>
    </font>
    <font>
      <sz val="7.5"/>
      <color theme="1"/>
      <name val="Arial"/>
      <family val="2"/>
    </font>
    <font>
      <b/>
      <i/>
      <sz val="10"/>
      <color theme="1"/>
      <name val="Arial Unicode MS"/>
      <family val="2"/>
      <charset val="134"/>
    </font>
    <font>
      <sz val="10"/>
      <color theme="0"/>
      <name val="Arial"/>
      <family val="2"/>
    </font>
    <font>
      <sz val="12"/>
      <color theme="1"/>
      <name val="Arial Unicode MS"/>
      <family val="2"/>
      <charset val="134"/>
    </font>
    <font>
      <sz val="9"/>
      <color theme="1"/>
      <name val="Calibri"/>
      <family val="3"/>
      <charset val="134"/>
      <scheme val="minor"/>
    </font>
    <font>
      <b/>
      <sz val="10"/>
      <color rgb="FFFF0000"/>
      <name val="Arial Unicode MS"/>
      <family val="2"/>
      <charset val="134"/>
    </font>
    <font>
      <b/>
      <i/>
      <sz val="10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i/>
      <sz val="14"/>
      <color theme="1"/>
      <name val="Calibri"/>
      <family val="3"/>
      <charset val="134"/>
      <scheme val="minor"/>
    </font>
    <font>
      <b/>
      <i/>
      <sz val="12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>
      <alignment vertical="center"/>
    </xf>
    <xf numFmtId="9" fontId="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</cellStyleXfs>
  <cellXfs count="28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0" xfId="1" applyFont="1">
      <alignment vertical="center"/>
    </xf>
    <xf numFmtId="0" fontId="7" fillId="0" borderId="0" xfId="1">
      <alignment vertical="center"/>
    </xf>
    <xf numFmtId="0" fontId="8" fillId="0" borderId="0" xfId="1" applyFont="1" applyAlignment="1">
      <alignment horizontal="left" vertical="center"/>
    </xf>
    <xf numFmtId="0" fontId="11" fillId="2" borderId="6" xfId="1" applyFont="1" applyFill="1" applyBorder="1">
      <alignment vertical="center"/>
    </xf>
    <xf numFmtId="0" fontId="8" fillId="0" borderId="4" xfId="1" applyFont="1" applyBorder="1">
      <alignment vertical="center"/>
    </xf>
    <xf numFmtId="0" fontId="11" fillId="0" borderId="4" xfId="1" applyFont="1" applyBorder="1">
      <alignment vertical="center"/>
    </xf>
    <xf numFmtId="0" fontId="14" fillId="0" borderId="4" xfId="1" applyFont="1" applyBorder="1">
      <alignment vertical="center"/>
    </xf>
    <xf numFmtId="0" fontId="8" fillId="0" borderId="11" xfId="1" applyFont="1" applyBorder="1">
      <alignment vertical="center"/>
    </xf>
    <xf numFmtId="169" fontId="8" fillId="0" borderId="4" xfId="0" applyNumberFormat="1" applyFont="1" applyBorder="1" applyAlignment="1">
      <alignment horizontal="left" vertical="center"/>
    </xf>
    <xf numFmtId="0" fontId="8" fillId="0" borderId="0" xfId="1" applyFont="1" applyAlignment="1" applyProtection="1">
      <alignment horizontal="left" vertical="center" wrapText="1"/>
      <protection locked="0"/>
    </xf>
    <xf numFmtId="0" fontId="7" fillId="0" borderId="0" xfId="1" applyProtection="1">
      <alignment vertical="center"/>
      <protection locked="0"/>
    </xf>
    <xf numFmtId="0" fontId="8" fillId="0" borderId="0" xfId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166" fontId="8" fillId="0" borderId="9" xfId="1" applyNumberFormat="1" applyFont="1" applyBorder="1" applyAlignment="1" applyProtection="1">
      <alignment horizontal="left" vertical="center"/>
      <protection locked="0"/>
    </xf>
    <xf numFmtId="2" fontId="20" fillId="2" borderId="9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0" fillId="0" borderId="19" xfId="1" applyFont="1" applyFill="1" applyBorder="1" applyProtection="1">
      <alignment vertical="center"/>
      <protection locked="0"/>
    </xf>
    <xf numFmtId="0" fontId="19" fillId="0" borderId="20" xfId="1" applyFont="1" applyFill="1" applyBorder="1" applyAlignment="1" applyProtection="1">
      <alignment horizontal="left" vertical="center"/>
      <protection locked="0"/>
    </xf>
    <xf numFmtId="2" fontId="20" fillId="0" borderId="21" xfId="1" applyNumberFormat="1" applyFont="1" applyFill="1" applyBorder="1" applyAlignment="1" applyProtection="1">
      <alignment horizontal="left" vertical="center"/>
      <protection locked="0"/>
    </xf>
    <xf numFmtId="0" fontId="11" fillId="0" borderId="7" xfId="1" applyFont="1" applyFill="1" applyBorder="1" applyAlignment="1" applyProtection="1">
      <alignment horizontal="left" vertical="center"/>
      <protection locked="0"/>
    </xf>
    <xf numFmtId="0" fontId="23" fillId="0" borderId="0" xfId="1" applyFont="1" applyAlignment="1" applyProtection="1">
      <alignment vertical="center" wrapText="1"/>
      <protection locked="0"/>
    </xf>
    <xf numFmtId="0" fontId="7" fillId="0" borderId="0" xfId="1" applyBorder="1" applyProtection="1">
      <alignment vertical="center"/>
      <protection locked="0"/>
    </xf>
    <xf numFmtId="0" fontId="3" fillId="0" borderId="0" xfId="0" applyFont="1" applyProtection="1">
      <protection locked="0"/>
    </xf>
    <xf numFmtId="0" fontId="3" fillId="0" borderId="4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6" fillId="0" borderId="4" xfId="0" applyFont="1" applyFill="1" applyBorder="1" applyAlignment="1" applyProtection="1">
      <alignment vertical="center"/>
      <protection locked="0"/>
    </xf>
    <xf numFmtId="0" fontId="3" fillId="0" borderId="4" xfId="0" applyFont="1" applyFill="1" applyBorder="1" applyProtection="1">
      <protection locked="0"/>
    </xf>
    <xf numFmtId="0" fontId="4" fillId="0" borderId="4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4" xfId="0" quotePrefix="1" applyFon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7" fillId="0" borderId="0" xfId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29" fillId="0" borderId="0" xfId="1" applyFo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20" fillId="0" borderId="0" xfId="1" applyFont="1" applyFill="1" applyBorder="1" applyProtection="1">
      <alignment vertical="center"/>
      <protection locked="0"/>
    </xf>
    <xf numFmtId="0" fontId="0" fillId="0" borderId="0" xfId="0" applyFill="1" applyProtection="1">
      <protection locked="0"/>
    </xf>
    <xf numFmtId="0" fontId="16" fillId="0" borderId="0" xfId="1" applyFont="1" applyFill="1" applyAlignment="1" applyProtection="1">
      <alignment horizontal="left" vertical="center"/>
      <protection locked="0"/>
    </xf>
    <xf numFmtId="0" fontId="18" fillId="0" borderId="0" xfId="0" applyFont="1" applyFill="1" applyAlignment="1" applyProtection="1">
      <alignment horizontal="left"/>
      <protection locked="0"/>
    </xf>
    <xf numFmtId="2" fontId="19" fillId="0" borderId="21" xfId="1" applyNumberFormat="1" applyFont="1" applyFill="1" applyBorder="1" applyAlignment="1" applyProtection="1">
      <alignment horizontal="left" vertical="center"/>
      <protection locked="0"/>
    </xf>
    <xf numFmtId="0" fontId="19" fillId="0" borderId="0" xfId="1" applyFont="1" applyFill="1" applyAlignment="1" applyProtection="1">
      <alignment horizontal="left" vertical="center" wrapText="1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20" fillId="2" borderId="9" xfId="0" applyFont="1" applyFill="1" applyBorder="1" applyAlignment="1" applyProtection="1">
      <alignment horizontal="left"/>
      <protection locked="0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6" fillId="0" borderId="4" xfId="0" applyFont="1" applyFill="1" applyBorder="1" applyProtection="1">
      <protection locked="0"/>
    </xf>
    <xf numFmtId="0" fontId="4" fillId="6" borderId="4" xfId="0" applyFont="1" applyFill="1" applyBorder="1" applyAlignment="1" applyProtection="1">
      <alignment horizontal="center"/>
      <protection locked="0"/>
    </xf>
    <xf numFmtId="2" fontId="3" fillId="6" borderId="4" xfId="0" applyNumberFormat="1" applyFont="1" applyFill="1" applyBorder="1" applyAlignment="1" applyProtection="1">
      <alignment horizontal="left"/>
      <protection locked="0"/>
    </xf>
    <xf numFmtId="0" fontId="20" fillId="6" borderId="10" xfId="1" applyFont="1" applyFill="1" applyBorder="1" applyProtection="1">
      <alignment vertical="center"/>
      <protection locked="0"/>
    </xf>
    <xf numFmtId="171" fontId="3" fillId="0" borderId="4" xfId="0" quotePrefix="1" applyNumberFormat="1" applyFont="1" applyFill="1" applyBorder="1" applyAlignment="1" applyProtection="1">
      <alignment horizontal="left"/>
      <protection locked="0"/>
    </xf>
    <xf numFmtId="0" fontId="0" fillId="0" borderId="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37" fillId="0" borderId="4" xfId="0" applyFont="1" applyFill="1" applyBorder="1" applyAlignment="1" applyProtection="1">
      <alignment horizont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172" fontId="3" fillId="0" borderId="26" xfId="0" applyNumberFormat="1" applyFont="1" applyBorder="1" applyAlignment="1" applyProtection="1">
      <alignment horizontal="left"/>
      <protection locked="0"/>
    </xf>
    <xf numFmtId="173" fontId="0" fillId="0" borderId="9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4" fillId="0" borderId="4" xfId="0" applyFont="1" applyFill="1" applyBorder="1" applyProtection="1">
      <protection locked="0"/>
    </xf>
    <xf numFmtId="0" fontId="6" fillId="0" borderId="4" xfId="0" applyFont="1" applyFill="1" applyBorder="1" applyAlignment="1" applyProtection="1">
      <alignment horizontal="left"/>
      <protection locked="0"/>
    </xf>
    <xf numFmtId="0" fontId="37" fillId="0" borderId="17" xfId="0" applyFont="1" applyFill="1" applyBorder="1" applyAlignment="1" applyProtection="1">
      <alignment horizontal="center"/>
      <protection locked="0"/>
    </xf>
    <xf numFmtId="165" fontId="6" fillId="0" borderId="17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left"/>
      <protection locked="0"/>
    </xf>
    <xf numFmtId="0" fontId="6" fillId="6" borderId="4" xfId="0" applyFont="1" applyFill="1" applyBorder="1" applyAlignment="1" applyProtection="1">
      <alignment vertic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Fill="1" applyBorder="1" applyAlignment="1" applyProtection="1">
      <alignment horizontal="left"/>
      <protection locked="0" hidden="1"/>
    </xf>
    <xf numFmtId="0" fontId="2" fillId="0" borderId="0" xfId="0" applyFont="1" applyFill="1" applyBorder="1" applyAlignment="1" applyProtection="1">
      <alignment horizontal="left" vertical="center" wrapText="1"/>
      <protection locked="0" hidden="1"/>
    </xf>
    <xf numFmtId="0" fontId="3" fillId="0" borderId="0" xfId="0" applyFont="1" applyFill="1" applyBorder="1" applyAlignment="1" applyProtection="1">
      <alignment horizontal="center"/>
      <protection locked="0" hidden="1"/>
    </xf>
    <xf numFmtId="0" fontId="3" fillId="0" borderId="0" xfId="0" applyFont="1" applyFill="1" applyBorder="1" applyProtection="1">
      <protection locked="0" hidden="1"/>
    </xf>
    <xf numFmtId="0" fontId="6" fillId="0" borderId="27" xfId="0" applyFont="1" applyFill="1" applyBorder="1" applyProtection="1">
      <protection locked="0"/>
    </xf>
    <xf numFmtId="0" fontId="3" fillId="0" borderId="17" xfId="0" applyFont="1" applyBorder="1" applyProtection="1">
      <protection locked="0"/>
    </xf>
    <xf numFmtId="0" fontId="2" fillId="3" borderId="28" xfId="0" applyFont="1" applyFill="1" applyBorder="1" applyAlignment="1" applyProtection="1">
      <alignment horizontal="left" vertical="center" wrapText="1"/>
      <protection locked="0" hidden="1"/>
    </xf>
    <xf numFmtId="0" fontId="2" fillId="3" borderId="29" xfId="0" applyFont="1" applyFill="1" applyBorder="1" applyAlignment="1" applyProtection="1">
      <alignment horizontal="left" vertical="center" wrapText="1"/>
      <protection locked="0" hidden="1"/>
    </xf>
    <xf numFmtId="0" fontId="8" fillId="0" borderId="0" xfId="1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32" fillId="0" borderId="0" xfId="0" applyFont="1" applyFill="1" applyBorder="1" applyAlignment="1" applyProtection="1">
      <alignment horizontal="left" vertical="center" wrapText="1"/>
      <protection locked="0"/>
    </xf>
    <xf numFmtId="0" fontId="34" fillId="0" borderId="0" xfId="0" applyFont="1" applyFill="1" applyBorder="1" applyAlignment="1" applyProtection="1">
      <alignment horizontal="left" vertical="center" wrapText="1"/>
      <protection locked="0"/>
    </xf>
    <xf numFmtId="0" fontId="38" fillId="7" borderId="0" xfId="4" applyFont="1" applyFill="1" applyAlignment="1">
      <alignment horizontal="center" vertical="center" wrapText="1"/>
    </xf>
    <xf numFmtId="0" fontId="20" fillId="0" borderId="0" xfId="4" applyFont="1" applyAlignment="1">
      <alignment horizontal="center" vertical="center"/>
    </xf>
    <xf numFmtId="0" fontId="0" fillId="0" borderId="0" xfId="0" applyAlignment="1">
      <alignment horizontal="center"/>
    </xf>
    <xf numFmtId="2" fontId="22" fillId="2" borderId="9" xfId="1" applyNumberFormat="1" applyFont="1" applyFill="1" applyBorder="1" applyAlignment="1" applyProtection="1">
      <alignment horizontal="left" vertical="center"/>
      <protection locked="0"/>
    </xf>
    <xf numFmtId="0" fontId="22" fillId="2" borderId="9" xfId="0" applyFont="1" applyFill="1" applyBorder="1" applyAlignment="1" applyProtection="1">
      <alignment horizontal="left"/>
      <protection locked="0"/>
    </xf>
    <xf numFmtId="0" fontId="22" fillId="2" borderId="9" xfId="0" applyFont="1" applyFill="1" applyBorder="1" applyAlignment="1" applyProtection="1">
      <alignment horizontal="left" vertical="center"/>
      <protection locked="0"/>
    </xf>
    <xf numFmtId="2" fontId="22" fillId="2" borderId="12" xfId="1" applyNumberFormat="1" applyFont="1" applyFill="1" applyBorder="1" applyAlignment="1" applyProtection="1">
      <alignment horizontal="left" vertical="center"/>
      <protection locked="0"/>
    </xf>
    <xf numFmtId="0" fontId="3" fillId="8" borderId="4" xfId="0" applyFont="1" applyFill="1" applyBorder="1" applyProtection="1">
      <protection locked="0"/>
    </xf>
    <xf numFmtId="0" fontId="4" fillId="8" borderId="4" xfId="0" applyFont="1" applyFill="1" applyBorder="1" applyAlignment="1" applyProtection="1">
      <alignment horizontal="center"/>
      <protection locked="0"/>
    </xf>
    <xf numFmtId="2" fontId="3" fillId="8" borderId="4" xfId="0" applyNumberFormat="1" applyFont="1" applyFill="1" applyBorder="1" applyAlignment="1" applyProtection="1">
      <alignment horizontal="left"/>
      <protection locked="0"/>
    </xf>
    <xf numFmtId="0" fontId="3" fillId="8" borderId="4" xfId="0" applyFont="1" applyFill="1" applyBorder="1" applyAlignment="1" applyProtection="1">
      <alignment horizontal="left"/>
      <protection locked="0"/>
    </xf>
    <xf numFmtId="169" fontId="3" fillId="8" borderId="4" xfId="0" applyNumberFormat="1" applyFont="1" applyFill="1" applyBorder="1" applyAlignment="1" applyProtection="1">
      <alignment horizontal="left"/>
      <protection locked="0"/>
    </xf>
    <xf numFmtId="0" fontId="3" fillId="8" borderId="4" xfId="0" applyFont="1" applyFill="1" applyBorder="1" applyAlignment="1" applyProtection="1">
      <alignment vertical="center" wrapText="1"/>
      <protection locked="0"/>
    </xf>
    <xf numFmtId="0" fontId="4" fillId="8" borderId="4" xfId="0" applyFont="1" applyFill="1" applyBorder="1" applyAlignment="1" applyProtection="1">
      <alignment horizontal="center" vertical="center"/>
      <protection locked="0"/>
    </xf>
    <xf numFmtId="169" fontId="3" fillId="8" borderId="4" xfId="0" applyNumberFormat="1" applyFont="1" applyFill="1" applyBorder="1" applyAlignment="1" applyProtection="1">
      <alignment horizontal="left" vertical="center"/>
      <protection locked="0"/>
    </xf>
    <xf numFmtId="0" fontId="8" fillId="0" borderId="0" xfId="1" applyFont="1" applyFill="1">
      <alignment vertical="center"/>
    </xf>
    <xf numFmtId="0" fontId="7" fillId="0" borderId="0" xfId="1" applyFill="1">
      <alignment vertical="center"/>
    </xf>
    <xf numFmtId="0" fontId="8" fillId="9" borderId="4" xfId="1" applyFont="1" applyFill="1" applyBorder="1">
      <alignment vertical="center"/>
    </xf>
    <xf numFmtId="0" fontId="7" fillId="0" borderId="0" xfId="1" applyBorder="1">
      <alignment vertical="center"/>
    </xf>
    <xf numFmtId="0" fontId="39" fillId="0" borderId="0" xfId="0" applyFont="1" applyBorder="1" applyAlignment="1" applyProtection="1">
      <alignment vertical="center" wrapText="1"/>
      <protection locked="0"/>
    </xf>
    <xf numFmtId="0" fontId="11" fillId="0" borderId="0" xfId="1" applyFont="1" applyFill="1" applyBorder="1">
      <alignment vertical="center"/>
    </xf>
    <xf numFmtId="0" fontId="8" fillId="0" borderId="31" xfId="1" applyFont="1" applyBorder="1">
      <alignment vertical="center"/>
    </xf>
    <xf numFmtId="0" fontId="10" fillId="0" borderId="31" xfId="1" applyFont="1" applyBorder="1" applyAlignment="1">
      <alignment horizontal="left" vertical="center"/>
    </xf>
    <xf numFmtId="0" fontId="11" fillId="2" borderId="32" xfId="1" applyFont="1" applyFill="1" applyBorder="1">
      <alignment vertical="center"/>
    </xf>
    <xf numFmtId="0" fontId="8" fillId="0" borderId="33" xfId="1" applyFont="1" applyBorder="1">
      <alignment vertical="center"/>
    </xf>
    <xf numFmtId="0" fontId="8" fillId="9" borderId="33" xfId="1" applyFont="1" applyFill="1" applyBorder="1">
      <alignment vertical="center"/>
    </xf>
    <xf numFmtId="0" fontId="11" fillId="0" borderId="33" xfId="1" applyFont="1" applyBorder="1">
      <alignment vertical="center"/>
    </xf>
    <xf numFmtId="0" fontId="13" fillId="0" borderId="33" xfId="1" applyFont="1" applyBorder="1">
      <alignment vertical="center"/>
    </xf>
    <xf numFmtId="0" fontId="8" fillId="0" borderId="33" xfId="1" applyFont="1" applyFill="1" applyBorder="1">
      <alignment vertical="center"/>
    </xf>
    <xf numFmtId="0" fontId="10" fillId="0" borderId="33" xfId="1" applyFont="1" applyBorder="1">
      <alignment vertical="center"/>
    </xf>
    <xf numFmtId="0" fontId="8" fillId="0" borderId="33" xfId="0" applyFont="1" applyBorder="1" applyAlignment="1">
      <alignment vertical="center"/>
    </xf>
    <xf numFmtId="0" fontId="14" fillId="0" borderId="33" xfId="1" applyFont="1" applyBorder="1" applyAlignment="1">
      <alignment vertical="center" wrapText="1"/>
    </xf>
    <xf numFmtId="0" fontId="8" fillId="0" borderId="33" xfId="1" applyFont="1" applyBorder="1" applyAlignment="1">
      <alignment vertical="center" wrapText="1"/>
    </xf>
    <xf numFmtId="0" fontId="15" fillId="0" borderId="34" xfId="1" applyFont="1" applyBorder="1">
      <alignment vertical="center"/>
    </xf>
    <xf numFmtId="0" fontId="11" fillId="0" borderId="31" xfId="1" applyFont="1" applyFill="1" applyBorder="1">
      <alignment vertical="center"/>
    </xf>
    <xf numFmtId="0" fontId="7" fillId="0" borderId="31" xfId="1" applyBorder="1">
      <alignment vertical="center"/>
    </xf>
    <xf numFmtId="0" fontId="8" fillId="0" borderId="35" xfId="1" applyFont="1" applyBorder="1" applyAlignment="1">
      <alignment horizontal="center" vertical="center" wrapText="1"/>
    </xf>
    <xf numFmtId="0" fontId="11" fillId="2" borderId="36" xfId="1" applyFont="1" applyFill="1" applyBorder="1">
      <alignment vertical="center"/>
    </xf>
    <xf numFmtId="166" fontId="8" fillId="0" borderId="37" xfId="1" applyNumberFormat="1" applyFont="1" applyBorder="1" applyAlignment="1">
      <alignment horizontal="center" vertical="center"/>
    </xf>
    <xf numFmtId="2" fontId="8" fillId="9" borderId="37" xfId="1" applyNumberFormat="1" applyFont="1" applyFill="1" applyBorder="1" applyAlignment="1">
      <alignment horizontal="center" vertical="center"/>
    </xf>
    <xf numFmtId="2" fontId="8" fillId="0" borderId="37" xfId="1" applyNumberFormat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167" fontId="8" fillId="0" borderId="37" xfId="1" applyNumberFormat="1" applyFont="1" applyBorder="1" applyAlignment="1">
      <alignment horizontal="center" vertical="center"/>
    </xf>
    <xf numFmtId="170" fontId="8" fillId="0" borderId="37" xfId="1" applyNumberFormat="1" applyFont="1" applyBorder="1" applyAlignment="1">
      <alignment horizontal="center" vertical="center"/>
    </xf>
    <xf numFmtId="168" fontId="8" fillId="0" borderId="37" xfId="1" applyNumberFormat="1" applyFont="1" applyBorder="1" applyAlignment="1">
      <alignment horizontal="center" vertical="center"/>
    </xf>
    <xf numFmtId="169" fontId="8" fillId="0" borderId="37" xfId="1" applyNumberFormat="1" applyFont="1" applyBorder="1" applyAlignment="1">
      <alignment horizontal="center" vertical="center"/>
    </xf>
    <xf numFmtId="167" fontId="8" fillId="2" borderId="37" xfId="1" applyNumberFormat="1" applyFont="1" applyFill="1" applyBorder="1" applyAlignment="1">
      <alignment horizontal="center" vertical="center"/>
    </xf>
    <xf numFmtId="165" fontId="8" fillId="2" borderId="37" xfId="1" applyNumberFormat="1" applyFont="1" applyFill="1" applyBorder="1" applyAlignment="1">
      <alignment horizontal="center" vertical="center"/>
    </xf>
    <xf numFmtId="167" fontId="14" fillId="0" borderId="37" xfId="1" applyNumberFormat="1" applyFont="1" applyBorder="1" applyAlignment="1">
      <alignment horizontal="center" vertical="center"/>
    </xf>
    <xf numFmtId="1" fontId="8" fillId="0" borderId="38" xfId="1" applyNumberFormat="1" applyFont="1" applyBorder="1" applyAlignment="1">
      <alignment horizontal="center" vertical="center"/>
    </xf>
    <xf numFmtId="0" fontId="8" fillId="0" borderId="35" xfId="1" applyFont="1" applyFill="1" applyBorder="1">
      <alignment vertical="center"/>
    </xf>
    <xf numFmtId="10" fontId="8" fillId="0" borderId="37" xfId="1" applyNumberFormat="1" applyFont="1" applyBorder="1" applyAlignment="1">
      <alignment horizontal="center" vertical="center"/>
    </xf>
    <xf numFmtId="165" fontId="8" fillId="0" borderId="37" xfId="1" applyNumberFormat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7" fillId="0" borderId="0" xfId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0" fillId="0" borderId="0" xfId="1" applyFont="1" applyAlignment="1">
      <alignment vertical="center" wrapText="1"/>
    </xf>
    <xf numFmtId="167" fontId="8" fillId="2" borderId="37" xfId="1" applyNumberFormat="1" applyFont="1" applyFill="1" applyBorder="1" applyAlignment="1">
      <alignment horizontal="center" vertical="center" wrapText="1"/>
    </xf>
    <xf numFmtId="0" fontId="41" fillId="0" borderId="4" xfId="0" applyFont="1" applyFill="1" applyBorder="1" applyProtection="1">
      <protection locked="0"/>
    </xf>
    <xf numFmtId="0" fontId="42" fillId="0" borderId="4" xfId="0" applyFont="1" applyFill="1" applyBorder="1" applyAlignment="1" applyProtection="1">
      <alignment horizontal="center"/>
      <protection locked="0"/>
    </xf>
    <xf numFmtId="165" fontId="41" fillId="0" borderId="4" xfId="0" applyNumberFormat="1" applyFont="1" applyFill="1" applyBorder="1" applyAlignment="1" applyProtection="1">
      <alignment horizontal="left"/>
      <protection locked="0"/>
    </xf>
    <xf numFmtId="0" fontId="8" fillId="0" borderId="0" xfId="1" applyFont="1" applyFill="1" applyBorder="1" applyAlignment="1">
      <alignment horizontal="center" vertical="center" wrapText="1"/>
    </xf>
    <xf numFmtId="166" fontId="8" fillId="0" borderId="0" xfId="1" applyNumberFormat="1" applyFon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horizontal="center" vertical="center"/>
    </xf>
    <xf numFmtId="170" fontId="8" fillId="0" borderId="0" xfId="1" applyNumberFormat="1" applyFont="1" applyFill="1" applyBorder="1" applyAlignment="1">
      <alignment horizontal="center" vertical="center"/>
    </xf>
    <xf numFmtId="168" fontId="8" fillId="0" borderId="0" xfId="1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horizontal="center" vertical="center" wrapText="1"/>
    </xf>
    <xf numFmtId="169" fontId="8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167" fontId="14" fillId="0" borderId="0" xfId="1" applyNumberFormat="1" applyFont="1" applyFill="1" applyBorder="1" applyAlignment="1">
      <alignment horizontal="center" vertical="center"/>
    </xf>
    <xf numFmtId="170" fontId="14" fillId="0" borderId="0" xfId="1" applyNumberFormat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0" fontId="8" fillId="0" borderId="0" xfId="1" applyNumberFormat="1" applyFont="1" applyFill="1" applyBorder="1" applyAlignment="1">
      <alignment horizontal="center" vertical="center"/>
    </xf>
    <xf numFmtId="174" fontId="8" fillId="0" borderId="35" xfId="1" applyNumberFormat="1" applyFont="1" applyBorder="1" applyAlignment="1">
      <alignment horizontal="center" vertical="center"/>
    </xf>
    <xf numFmtId="169" fontId="8" fillId="10" borderId="33" xfId="1" applyNumberFormat="1" applyFont="1" applyFill="1" applyBorder="1" applyAlignment="1">
      <alignment horizontal="left" vertical="center"/>
    </xf>
    <xf numFmtId="169" fontId="8" fillId="10" borderId="4" xfId="1" applyNumberFormat="1" applyFont="1" applyFill="1" applyBorder="1" applyAlignment="1">
      <alignment horizontal="left" vertical="center"/>
    </xf>
    <xf numFmtId="169" fontId="8" fillId="10" borderId="37" xfId="1" applyNumberFormat="1" applyFont="1" applyFill="1" applyBorder="1" applyAlignment="1">
      <alignment horizontal="center" vertical="center"/>
    </xf>
    <xf numFmtId="0" fontId="14" fillId="10" borderId="33" xfId="1" applyFont="1" applyFill="1" applyBorder="1" applyAlignment="1">
      <alignment vertical="center" wrapText="1"/>
    </xf>
    <xf numFmtId="0" fontId="14" fillId="10" borderId="4" xfId="1" applyFont="1" applyFill="1" applyBorder="1">
      <alignment vertical="center"/>
    </xf>
    <xf numFmtId="170" fontId="14" fillId="10" borderId="37" xfId="1" applyNumberFormat="1" applyFont="1" applyFill="1" applyBorder="1" applyAlignment="1">
      <alignment horizontal="center" vertical="center"/>
    </xf>
    <xf numFmtId="167" fontId="8" fillId="0" borderId="37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6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0" fontId="11" fillId="0" borderId="5" xfId="1" applyFont="1" applyFill="1" applyBorder="1" applyProtection="1">
      <alignment vertical="center"/>
    </xf>
    <xf numFmtId="0" fontId="17" fillId="0" borderId="6" xfId="1" applyFont="1" applyFill="1" applyBorder="1" applyAlignment="1" applyProtection="1">
      <alignment horizontal="left" vertical="center"/>
    </xf>
    <xf numFmtId="0" fontId="11" fillId="0" borderId="7" xfId="1" applyFont="1" applyFill="1" applyBorder="1" applyAlignment="1" applyProtection="1">
      <alignment horizontal="left" vertical="center"/>
    </xf>
    <xf numFmtId="0" fontId="31" fillId="0" borderId="7" xfId="1" applyFont="1" applyFill="1" applyBorder="1" applyAlignment="1" applyProtection="1">
      <alignment horizontal="left" vertical="center"/>
    </xf>
    <xf numFmtId="0" fontId="3" fillId="0" borderId="16" xfId="1" applyFont="1" applyFill="1" applyBorder="1" applyProtection="1">
      <alignment vertical="center"/>
    </xf>
    <xf numFmtId="169" fontId="3" fillId="0" borderId="17" xfId="0" applyNumberFormat="1" applyFont="1" applyFill="1" applyBorder="1" applyAlignment="1" applyProtection="1">
      <alignment horizontal="left" vertical="center"/>
    </xf>
    <xf numFmtId="169" fontId="3" fillId="5" borderId="18" xfId="1" applyNumberFormat="1" applyFont="1" applyFill="1" applyBorder="1" applyAlignment="1" applyProtection="1">
      <alignment horizontal="left" vertical="center"/>
    </xf>
    <xf numFmtId="169" fontId="33" fillId="0" borderId="18" xfId="1" applyNumberFormat="1" applyFont="1" applyFill="1" applyBorder="1" applyAlignment="1" applyProtection="1">
      <alignment horizontal="left" vertical="center"/>
    </xf>
    <xf numFmtId="0" fontId="3" fillId="0" borderId="10" xfId="1" applyFont="1" applyFill="1" applyBorder="1" applyProtection="1">
      <alignment vertical="center"/>
    </xf>
    <xf numFmtId="0" fontId="27" fillId="0" borderId="11" xfId="1" applyFont="1" applyFill="1" applyBorder="1" applyProtection="1">
      <alignment vertical="center"/>
    </xf>
    <xf numFmtId="165" fontId="3" fillId="5" borderId="12" xfId="1" applyNumberFormat="1" applyFont="1" applyFill="1" applyBorder="1" applyAlignment="1" applyProtection="1">
      <alignment horizontal="left" vertical="center"/>
    </xf>
    <xf numFmtId="165" fontId="33" fillId="0" borderId="12" xfId="1" applyNumberFormat="1" applyFont="1" applyFill="1" applyBorder="1" applyAlignment="1" applyProtection="1">
      <alignment horizontal="left" vertical="center"/>
    </xf>
    <xf numFmtId="0" fontId="20" fillId="0" borderId="22" xfId="1" applyFont="1" applyFill="1" applyBorder="1" applyProtection="1">
      <alignment vertical="center"/>
    </xf>
    <xf numFmtId="0" fontId="19" fillId="0" borderId="23" xfId="1" applyFont="1" applyFill="1" applyBorder="1" applyAlignment="1" applyProtection="1">
      <alignment horizontal="left" vertical="center"/>
    </xf>
    <xf numFmtId="2" fontId="20" fillId="0" borderId="24" xfId="0" applyNumberFormat="1" applyFont="1" applyBorder="1" applyAlignment="1" applyProtection="1">
      <alignment horizontal="left"/>
    </xf>
    <xf numFmtId="2" fontId="19" fillId="0" borderId="24" xfId="0" applyNumberFormat="1" applyFont="1" applyFill="1" applyBorder="1" applyAlignment="1" applyProtection="1">
      <alignment horizontal="left"/>
    </xf>
    <xf numFmtId="0" fontId="20" fillId="0" borderId="0" xfId="1" applyFont="1" applyFill="1" applyBorder="1" applyProtection="1">
      <alignment vertical="center"/>
    </xf>
    <xf numFmtId="0" fontId="19" fillId="0" borderId="0" xfId="1" applyFont="1" applyFill="1" applyBorder="1" applyAlignment="1" applyProtection="1">
      <alignment horizontal="left" vertical="center"/>
    </xf>
    <xf numFmtId="2" fontId="20" fillId="5" borderId="0" xfId="0" applyNumberFormat="1" applyFont="1" applyFill="1" applyBorder="1" applyAlignment="1" applyProtection="1">
      <alignment horizontal="left"/>
    </xf>
    <xf numFmtId="2" fontId="19" fillId="0" borderId="0" xfId="0" applyNumberFormat="1" applyFont="1" applyFill="1" applyBorder="1" applyAlignment="1" applyProtection="1">
      <alignment horizontal="left"/>
    </xf>
    <xf numFmtId="2" fontId="21" fillId="0" borderId="0" xfId="0" applyNumberFormat="1" applyFont="1" applyBorder="1" applyAlignment="1" applyProtection="1">
      <alignment horizontal="left"/>
    </xf>
    <xf numFmtId="0" fontId="19" fillId="0" borderId="6" xfId="1" applyFont="1" applyFill="1" applyBorder="1" applyAlignment="1" applyProtection="1">
      <alignment horizontal="left" vertical="center"/>
    </xf>
    <xf numFmtId="2" fontId="21" fillId="0" borderId="7" xfId="0" applyNumberFormat="1" applyFont="1" applyFill="1" applyBorder="1" applyAlignment="1" applyProtection="1">
      <alignment horizontal="left"/>
    </xf>
    <xf numFmtId="2" fontId="19" fillId="0" borderId="7" xfId="0" applyNumberFormat="1" applyFont="1" applyFill="1" applyBorder="1" applyAlignment="1" applyProtection="1">
      <alignment horizontal="left"/>
    </xf>
    <xf numFmtId="169" fontId="20" fillId="0" borderId="8" xfId="1" applyNumberFormat="1" applyFont="1" applyFill="1" applyBorder="1" applyAlignment="1" applyProtection="1">
      <alignment horizontal="left" vertical="center"/>
    </xf>
    <xf numFmtId="169" fontId="20" fillId="0" borderId="4" xfId="1" applyNumberFormat="1" applyFont="1" applyFill="1" applyBorder="1" applyAlignment="1" applyProtection="1">
      <alignment horizontal="left" vertical="center"/>
    </xf>
    <xf numFmtId="169" fontId="20" fillId="0" borderId="9" xfId="1" applyNumberFormat="1" applyFont="1" applyFill="1" applyBorder="1" applyAlignment="1" applyProtection="1">
      <alignment horizontal="left" vertical="center"/>
    </xf>
    <xf numFmtId="169" fontId="33" fillId="0" borderId="9" xfId="1" applyNumberFormat="1" applyFont="1" applyFill="1" applyBorder="1" applyAlignment="1" applyProtection="1">
      <alignment horizontal="left" vertical="center"/>
    </xf>
    <xf numFmtId="0" fontId="22" fillId="0" borderId="8" xfId="1" applyFont="1" applyFill="1" applyBorder="1" applyAlignment="1" applyProtection="1">
      <alignment horizontal="left" vertical="center" wrapText="1"/>
    </xf>
    <xf numFmtId="0" fontId="22" fillId="0" borderId="4" xfId="1" applyFont="1" applyFill="1" applyBorder="1" applyAlignment="1" applyProtection="1">
      <alignment horizontal="left" vertical="center"/>
    </xf>
    <xf numFmtId="165" fontId="20" fillId="0" borderId="9" xfId="1" applyNumberFormat="1" applyFont="1" applyFill="1" applyBorder="1" applyAlignment="1" applyProtection="1">
      <alignment horizontal="left" vertical="center"/>
    </xf>
    <xf numFmtId="165" fontId="33" fillId="0" borderId="9" xfId="1" applyNumberFormat="1" applyFont="1" applyFill="1" applyBorder="1" applyAlignment="1" applyProtection="1">
      <alignment horizontal="left" vertical="center"/>
    </xf>
    <xf numFmtId="0" fontId="19" fillId="0" borderId="4" xfId="1" applyFont="1" applyFill="1" applyBorder="1" applyAlignment="1" applyProtection="1">
      <alignment horizontal="left" vertical="center"/>
    </xf>
    <xf numFmtId="170" fontId="22" fillId="0" borderId="9" xfId="1" applyNumberFormat="1" applyFont="1" applyFill="1" applyBorder="1" applyAlignment="1" applyProtection="1">
      <alignment horizontal="left" vertical="center"/>
    </xf>
    <xf numFmtId="0" fontId="30" fillId="0" borderId="10" xfId="0" applyFont="1" applyFill="1" applyBorder="1" applyAlignment="1" applyProtection="1">
      <alignment vertical="center"/>
    </xf>
    <xf numFmtId="0" fontId="28" fillId="0" borderId="11" xfId="0" applyFont="1" applyFill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0" fillId="0" borderId="25" xfId="0" applyFont="1" applyFill="1" applyBorder="1" applyAlignment="1" applyProtection="1">
      <alignment vertical="center"/>
    </xf>
    <xf numFmtId="0" fontId="28" fillId="0" borderId="0" xfId="0" applyFont="1" applyFill="1" applyBorder="1" applyAlignment="1" applyProtection="1">
      <alignment horizontal="left" vertical="center"/>
    </xf>
    <xf numFmtId="0" fontId="43" fillId="0" borderId="0" xfId="0" applyFont="1" applyFill="1" applyBorder="1" applyAlignment="1" applyProtection="1">
      <alignment horizontal="left" vertical="center"/>
    </xf>
    <xf numFmtId="0" fontId="32" fillId="0" borderId="0" xfId="0" applyFont="1" applyFill="1" applyBorder="1" applyAlignment="1" applyProtection="1">
      <alignment horizontal="left" vertical="center"/>
    </xf>
    <xf numFmtId="0" fontId="44" fillId="11" borderId="1" xfId="0" applyFont="1" applyFill="1" applyBorder="1" applyAlignment="1" applyProtection="1">
      <alignment horizontal="left" vertical="center"/>
    </xf>
    <xf numFmtId="0" fontId="29" fillId="11" borderId="2" xfId="0" applyFont="1" applyFill="1" applyBorder="1" applyAlignment="1" applyProtection="1">
      <alignment horizontal="left" vertical="center"/>
    </xf>
    <xf numFmtId="0" fontId="26" fillId="0" borderId="5" xfId="0" applyFont="1" applyBorder="1" applyAlignment="1" applyProtection="1">
      <alignment vertical="center"/>
    </xf>
    <xf numFmtId="0" fontId="35" fillId="0" borderId="0" xfId="1" applyFont="1" applyAlignment="1" applyProtection="1">
      <alignment vertical="center"/>
    </xf>
    <xf numFmtId="0" fontId="35" fillId="2" borderId="25" xfId="1" applyFont="1" applyFill="1" applyBorder="1" applyProtection="1">
      <alignment vertical="center"/>
    </xf>
    <xf numFmtId="0" fontId="25" fillId="0" borderId="9" xfId="0" applyFont="1" applyBorder="1" applyAlignment="1" applyProtection="1">
      <alignment horizontal="left" wrapText="1"/>
    </xf>
    <xf numFmtId="0" fontId="25" fillId="0" borderId="8" xfId="0" applyFont="1" applyBorder="1" applyAlignment="1" applyProtection="1">
      <alignment horizontal="left" vertical="center"/>
    </xf>
    <xf numFmtId="0" fontId="25" fillId="0" borderId="10" xfId="0" applyFont="1" applyBorder="1" applyAlignment="1" applyProtection="1">
      <alignment horizontal="left" vertical="center"/>
    </xf>
    <xf numFmtId="0" fontId="25" fillId="0" borderId="12" xfId="0" applyFont="1" applyBorder="1" applyAlignment="1" applyProtection="1">
      <alignment horizontal="left" vertical="center" wrapText="1"/>
    </xf>
    <xf numFmtId="0" fontId="8" fillId="0" borderId="8" xfId="1" applyFont="1" applyFill="1" applyBorder="1" applyAlignment="1" applyProtection="1">
      <alignment vertical="center"/>
    </xf>
    <xf numFmtId="0" fontId="16" fillId="0" borderId="4" xfId="1" applyFont="1" applyFill="1" applyBorder="1" applyAlignment="1" applyProtection="1">
      <alignment horizontal="left" vertical="center"/>
    </xf>
    <xf numFmtId="0" fontId="3" fillId="0" borderId="8" xfId="0" applyFont="1" applyFill="1" applyBorder="1" applyProtection="1"/>
    <xf numFmtId="0" fontId="27" fillId="0" borderId="8" xfId="0" applyFont="1" applyFill="1" applyBorder="1" applyProtection="1"/>
    <xf numFmtId="0" fontId="4" fillId="0" borderId="4" xfId="0" applyFont="1" applyFill="1" applyBorder="1" applyAlignment="1" applyProtection="1">
      <alignment horizontal="left"/>
    </xf>
    <xf numFmtId="0" fontId="3" fillId="0" borderId="8" xfId="0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left" vertical="center"/>
    </xf>
    <xf numFmtId="0" fontId="20" fillId="0" borderId="8" xfId="1" applyFont="1" applyFill="1" applyBorder="1" applyProtection="1">
      <alignment vertical="center"/>
    </xf>
    <xf numFmtId="0" fontId="3" fillId="0" borderId="8" xfId="0" applyFont="1" applyFill="1" applyBorder="1" applyAlignment="1" applyProtection="1">
      <alignment vertical="center" wrapText="1"/>
    </xf>
    <xf numFmtId="0" fontId="20" fillId="0" borderId="10" xfId="1" applyFont="1" applyFill="1" applyBorder="1" applyProtection="1">
      <alignment vertical="center"/>
    </xf>
    <xf numFmtId="0" fontId="19" fillId="0" borderId="11" xfId="1" applyFont="1" applyFill="1" applyBorder="1" applyAlignment="1" applyProtection="1">
      <alignment horizontal="left" vertical="center"/>
    </xf>
    <xf numFmtId="166" fontId="19" fillId="0" borderId="9" xfId="1" applyNumberFormat="1" applyFont="1" applyFill="1" applyBorder="1" applyAlignment="1" applyProtection="1">
      <alignment horizontal="left" vertical="center"/>
    </xf>
    <xf numFmtId="2" fontId="33" fillId="0" borderId="9" xfId="1" applyNumberFormat="1" applyFont="1" applyFill="1" applyBorder="1" applyAlignment="1" applyProtection="1">
      <alignment horizontal="left" vertical="center"/>
    </xf>
    <xf numFmtId="0" fontId="33" fillId="0" borderId="9" xfId="0" applyFont="1" applyFill="1" applyBorder="1" applyAlignment="1" applyProtection="1">
      <alignment horizontal="left"/>
    </xf>
    <xf numFmtId="2" fontId="33" fillId="0" borderId="12" xfId="1" applyNumberFormat="1" applyFont="1" applyFill="1" applyBorder="1" applyAlignment="1" applyProtection="1">
      <alignment horizontal="left" vertical="center"/>
    </xf>
    <xf numFmtId="0" fontId="25" fillId="0" borderId="21" xfId="0" applyFont="1" applyBorder="1" applyAlignment="1" applyProtection="1">
      <alignment horizontal="left" vertical="center" wrapText="1"/>
    </xf>
    <xf numFmtId="0" fontId="25" fillId="0" borderId="0" xfId="0" applyFont="1" applyBorder="1" applyAlignment="1" applyProtection="1">
      <alignment horizontal="left" vertical="center" wrapText="1"/>
    </xf>
    <xf numFmtId="0" fontId="45" fillId="11" borderId="2" xfId="0" applyFont="1" applyFill="1" applyBorder="1" applyAlignment="1" applyProtection="1">
      <alignment horizontal="left" vertical="center" wrapText="1"/>
    </xf>
    <xf numFmtId="0" fontId="45" fillId="11" borderId="3" xfId="0" applyFont="1" applyFill="1" applyBorder="1" applyAlignment="1" applyProtection="1">
      <alignment horizontal="left" vertical="center" wrapText="1"/>
    </xf>
    <xf numFmtId="0" fontId="6" fillId="0" borderId="13" xfId="0" applyFont="1" applyFill="1" applyBorder="1" applyAlignment="1" applyProtection="1">
      <alignment horizontal="left" vertical="center"/>
      <protection locked="0"/>
    </xf>
    <xf numFmtId="0" fontId="6" fillId="0" borderId="15" xfId="0" applyFont="1" applyFill="1" applyBorder="1" applyAlignment="1" applyProtection="1">
      <alignment horizontal="left" vertical="center"/>
      <protection locked="0"/>
    </xf>
    <xf numFmtId="0" fontId="6" fillId="0" borderId="14" xfId="0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39" fillId="0" borderId="17" xfId="0" applyFont="1" applyBorder="1" applyAlignment="1" applyProtection="1">
      <alignment horizontal="center" vertical="center" wrapText="1"/>
      <protection locked="0"/>
    </xf>
    <xf numFmtId="0" fontId="39" fillId="0" borderId="20" xfId="0" applyFont="1" applyBorder="1" applyAlignment="1" applyProtection="1">
      <alignment horizontal="center" vertical="center" wrapText="1"/>
      <protection locked="0"/>
    </xf>
    <xf numFmtId="0" fontId="39" fillId="0" borderId="30" xfId="0" applyFont="1" applyBorder="1" applyAlignment="1" applyProtection="1">
      <alignment horizontal="center" vertical="center" wrapText="1"/>
      <protection locked="0"/>
    </xf>
    <xf numFmtId="0" fontId="39" fillId="0" borderId="0" xfId="0" applyFont="1" applyBorder="1" applyAlignment="1" applyProtection="1">
      <alignment horizontal="center" vertical="center" wrapText="1"/>
      <protection locked="0"/>
    </xf>
    <xf numFmtId="0" fontId="35" fillId="0" borderId="35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5">
    <cellStyle name="常规" xfId="0" builtinId="0"/>
    <cellStyle name="常规 2" xfId="1" xr:uid="{C3D6F4F5-AC38-47CF-97FC-B20C4C64131B}"/>
    <cellStyle name="常规 3" xfId="4" xr:uid="{BB5B075F-AF3E-4780-AE04-A2E2F50E12D6}"/>
    <cellStyle name="常规 4" xfId="3" xr:uid="{354B5358-7744-4342-9EA6-970D36072641}"/>
    <cellStyle name="百分比 2" xfId="2" xr:uid="{E7A87376-1AA0-42A6-AB0B-2A6C246DE658}"/>
  </cellStyles>
  <dxfs count="9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  <color rgb="FF7DF52B"/>
      <color rgb="FF6EF612"/>
      <color rgb="FF7AF725"/>
      <color rgb="FF81F731"/>
      <color rgb="FF75F6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33617</xdr:colOff>
      <xdr:row>16</xdr:row>
      <xdr:rowOff>145676</xdr:rowOff>
    </xdr:from>
    <xdr:to>
      <xdr:col>13</xdr:col>
      <xdr:colOff>369793</xdr:colOff>
      <xdr:row>25</xdr:row>
      <xdr:rowOff>40700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55762A2-DCF0-4928-A6F4-25A4F5C95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4941" y="3787588"/>
          <a:ext cx="5177117" cy="1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358587</xdr:colOff>
      <xdr:row>26</xdr:row>
      <xdr:rowOff>67234</xdr:rowOff>
    </xdr:from>
    <xdr:to>
      <xdr:col>18</xdr:col>
      <xdr:colOff>78441</xdr:colOff>
      <xdr:row>38</xdr:row>
      <xdr:rowOff>44822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4442957-40AD-43DF-ADF1-CC379D94E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4793" y="5614146"/>
          <a:ext cx="8191501" cy="2263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225878</xdr:colOff>
      <xdr:row>22</xdr:row>
      <xdr:rowOff>133349</xdr:rowOff>
    </xdr:from>
    <xdr:to>
      <xdr:col>16</xdr:col>
      <xdr:colOff>449439</xdr:colOff>
      <xdr:row>30</xdr:row>
      <xdr:rowOff>20158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E0C925B-E93D-41AD-A03A-C0FFAB83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5057" y="4786992"/>
          <a:ext cx="7653061" cy="2009523"/>
        </a:xfrm>
        <a:prstGeom prst="rect">
          <a:avLst/>
        </a:prstGeom>
      </xdr:spPr>
    </xdr:pic>
    <xdr:clientData/>
  </xdr:twoCellAnchor>
  <xdr:twoCellAnchor editAs="oneCell">
    <xdr:from>
      <xdr:col>6</xdr:col>
      <xdr:colOff>204106</xdr:colOff>
      <xdr:row>40</xdr:row>
      <xdr:rowOff>165761</xdr:rowOff>
    </xdr:from>
    <xdr:to>
      <xdr:col>17</xdr:col>
      <xdr:colOff>582029</xdr:colOff>
      <xdr:row>49</xdr:row>
      <xdr:rowOff>54226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E754E38-AA4F-4792-AEB6-81E8DACA8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78288" y="9067306"/>
          <a:ext cx="7876696" cy="1620284"/>
        </a:xfrm>
        <a:prstGeom prst="rect">
          <a:avLst/>
        </a:prstGeom>
      </xdr:spPr>
    </xdr:pic>
    <xdr:clientData/>
  </xdr:twoCellAnchor>
  <xdr:twoCellAnchor editAs="oneCell">
    <xdr:from>
      <xdr:col>6</xdr:col>
      <xdr:colOff>131741</xdr:colOff>
      <xdr:row>51</xdr:row>
      <xdr:rowOff>155554</xdr:rowOff>
    </xdr:from>
    <xdr:to>
      <xdr:col>17</xdr:col>
      <xdr:colOff>502248</xdr:colOff>
      <xdr:row>56</xdr:row>
      <xdr:rowOff>18133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1904926-53F2-4282-A73E-7D6A6F1DC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923" y="11550918"/>
          <a:ext cx="7869280" cy="884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89648</xdr:colOff>
      <xdr:row>37</xdr:row>
      <xdr:rowOff>33616</xdr:rowOff>
    </xdr:from>
    <xdr:to>
      <xdr:col>11</xdr:col>
      <xdr:colOff>44824</xdr:colOff>
      <xdr:row>45</xdr:row>
      <xdr:rowOff>107934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4CD319F-803B-47EC-8F3A-73119ED91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1089" y="8695763"/>
          <a:ext cx="5177117" cy="1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152402</xdr:colOff>
      <xdr:row>37</xdr:row>
      <xdr:rowOff>62751</xdr:rowOff>
    </xdr:from>
    <xdr:to>
      <xdr:col>19</xdr:col>
      <xdr:colOff>73269</xdr:colOff>
      <xdr:row>45</xdr:row>
      <xdr:rowOff>137069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704ABCD-25E3-4F56-8E5F-0EA7CC41D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5784" y="8724898"/>
          <a:ext cx="5523809" cy="1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761999</xdr:colOff>
      <xdr:row>25</xdr:row>
      <xdr:rowOff>22412</xdr:rowOff>
    </xdr:from>
    <xdr:to>
      <xdr:col>14</xdr:col>
      <xdr:colOff>459441</xdr:colOff>
      <xdr:row>34</xdr:row>
      <xdr:rowOff>134471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7381186-55B1-4B14-85E6-498D9E6B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587" y="4818530"/>
          <a:ext cx="8191501" cy="22635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236.50\Documents%20and%20Settings\dinghp\Local%20Settings\Temporary%20Internet%20Files\Content.Outlook\YHLBZX24\Two-stage%20Part%20Load%20efficiency%20Map%20(fixed%20speed%20%20variable%20speed)_2012-05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1.Engineering\20.KeyDesignData\LC_ProductData_Database_201306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REFPROP\REFPRO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PL Map (2D-interplation)"/>
      <sheetName val="FS PL Map (2D-interplation)"/>
      <sheetName val="Nom Rot Mach Num"/>
      <sheetName val="Surge&amp;Choke line"/>
      <sheetName val="Adv design points correction"/>
      <sheetName val="Mech Loss Calculation"/>
      <sheetName val="ECS_MTR_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EA_Chart"/>
      <sheetName val="Agenda"/>
      <sheetName val="DFMEA"/>
      <sheetName val="PFMEA"/>
      <sheetName val="SR"/>
      <sheetName val="OR"/>
      <sheetName val="DR"/>
      <sheetName val="WT"/>
      <sheetName val="PLN"/>
      <sheetName val="BLauch"/>
      <sheetName val="Catalog&amp;Envelope"/>
      <sheetName val="Performance"/>
      <sheetName val="ProductData"/>
      <sheetName val="Control"/>
      <sheetName val="DDS"/>
      <sheetName val="ADD"/>
      <sheetName val="TRD"/>
      <sheetName val="CD"/>
      <sheetName val="HXD"/>
      <sheetName val="TD"/>
      <sheetName val="WBD"/>
      <sheetName val="EVPD"/>
      <sheetName val="CMD"/>
      <sheetName val="MMD"/>
      <sheetName val="SDT"/>
      <sheetName val="PDCA"/>
      <sheetName val="PDCA_Photo"/>
      <sheetName val="CDC"/>
      <sheetName val="PM"/>
      <sheetName val="TFMEA"/>
      <sheetName val="TP"/>
      <sheetName val="DTD"/>
      <sheetName val="B2TD"/>
      <sheetName val="B1TD"/>
      <sheetName val="Data"/>
      <sheetName val="DTDS"/>
      <sheetName val="BTDS"/>
      <sheetName val="BOM_E5046"/>
      <sheetName val="BOM_E6466"/>
      <sheetName val="P&amp;C"/>
      <sheetName val="DrawingReivewSWI"/>
      <sheetName val="Requirements"/>
      <sheetName val="ActionI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N2" t="str">
            <v>NGC D</v>
          </cell>
          <cell r="O2" t="str">
            <v>Prototype Building(SDC)</v>
          </cell>
        </row>
        <row r="3">
          <cell r="N3" t="str">
            <v>NGC B2</v>
          </cell>
          <cell r="O3" t="str">
            <v>Prototype Testing(SDC)</v>
          </cell>
        </row>
        <row r="4">
          <cell r="N4" t="str">
            <v>NGC B1</v>
          </cell>
          <cell r="O4" t="str">
            <v>Family(SDC)</v>
          </cell>
        </row>
        <row r="5">
          <cell r="N5" t="str">
            <v>NGC C</v>
          </cell>
          <cell r="O5" t="str">
            <v>ECS Building(SDC)</v>
          </cell>
        </row>
        <row r="6">
          <cell r="O6" t="str">
            <v>ECS Testing(SDC)</v>
          </cell>
        </row>
        <row r="7">
          <cell r="O7" t="str">
            <v>MCS Building (YLC)</v>
          </cell>
        </row>
        <row r="8">
          <cell r="O8" t="str">
            <v>MCS Testing (YLC)</v>
          </cell>
        </row>
        <row r="9">
          <cell r="O9" t="str">
            <v>MCS Building(CLT)</v>
          </cell>
        </row>
        <row r="10">
          <cell r="O10" t="str">
            <v>MCS Testing(CLT)</v>
          </cell>
        </row>
        <row r="11">
          <cell r="O11" t="str">
            <v>Production (YLC)</v>
          </cell>
        </row>
        <row r="12">
          <cell r="O12" t="str">
            <v>Production (CLT)</v>
          </cell>
        </row>
        <row r="13">
          <cell r="O13" t="str">
            <v>Service&amp;Operation (YLC)</v>
          </cell>
        </row>
        <row r="14">
          <cell r="O14" t="str">
            <v>Service&amp;Operation (CLT)</v>
          </cell>
        </row>
      </sheetData>
      <sheetData sheetId="26"/>
      <sheetData sheetId="27">
        <row r="2">
          <cell r="N2" t="str">
            <v>NGC D</v>
          </cell>
        </row>
      </sheetData>
      <sheetData sheetId="28">
        <row r="2">
          <cell r="N2" t="str">
            <v>NGC D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FPROP"/>
    </sheetNames>
    <definedNames>
      <definedName name="Density"/>
      <definedName name="Enthalpy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031B-87E9-4D6E-A15D-E1E564F41C91}">
  <sheetPr codeName="Sheet5"/>
  <dimension ref="A1:H32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19" sqref="C19"/>
    </sheetView>
  </sheetViews>
  <sheetFormatPr defaultColWidth="9" defaultRowHeight="14.5"/>
  <cols>
    <col min="1" max="1" width="34.453125" style="54" customWidth="1"/>
    <col min="2" max="2" width="10.1796875" style="56" customWidth="1"/>
    <col min="3" max="3" width="21.81640625" style="23" customWidth="1"/>
    <col min="4" max="4" width="61.26953125" style="59" customWidth="1"/>
    <col min="5" max="5" width="23.1796875" style="26" customWidth="1"/>
    <col min="6" max="6" width="15.54296875" style="26" customWidth="1"/>
    <col min="7" max="7" width="58.7265625" style="26" customWidth="1"/>
    <col min="8" max="16384" width="9" style="26"/>
  </cols>
  <sheetData>
    <row r="1" spans="1:8" s="22" customFormat="1" ht="33.75" customHeight="1" thickBot="1">
      <c r="A1" s="52" t="s">
        <v>29</v>
      </c>
      <c r="B1" s="55"/>
      <c r="C1" s="20"/>
      <c r="D1" s="58"/>
    </row>
    <row r="2" spans="1:8" s="21" customFormat="1" ht="66.75" customHeight="1" thickBot="1">
      <c r="A2" s="200" t="s">
        <v>31</v>
      </c>
      <c r="B2" s="201"/>
      <c r="C2" s="30"/>
      <c r="D2" s="203" t="s">
        <v>111</v>
      </c>
      <c r="F2" s="265" t="s">
        <v>152</v>
      </c>
      <c r="G2" s="266"/>
      <c r="H2" s="23"/>
    </row>
    <row r="3" spans="1:8" s="48" customFormat="1" ht="26.25" customHeight="1">
      <c r="A3" s="250" t="s">
        <v>32</v>
      </c>
      <c r="B3" s="251"/>
      <c r="C3" s="24" t="s">
        <v>33</v>
      </c>
      <c r="D3" s="261"/>
      <c r="F3" s="243" t="s">
        <v>96</v>
      </c>
      <c r="G3" s="244"/>
      <c r="H3" s="49"/>
    </row>
    <row r="4" spans="1:8" s="21" customFormat="1" ht="15">
      <c r="A4" s="252" t="s">
        <v>22</v>
      </c>
      <c r="B4" s="232" t="s">
        <v>35</v>
      </c>
      <c r="C4" s="107">
        <v>2800</v>
      </c>
      <c r="D4" s="262" t="s">
        <v>113</v>
      </c>
      <c r="E4" s="50"/>
      <c r="F4" s="245"/>
      <c r="G4" s="246" t="s">
        <v>110</v>
      </c>
      <c r="H4" s="23"/>
    </row>
    <row r="5" spans="1:8" s="21" customFormat="1" ht="15">
      <c r="A5" s="253" t="s">
        <v>13</v>
      </c>
      <c r="B5" s="254"/>
      <c r="C5" s="108" t="s">
        <v>167</v>
      </c>
      <c r="D5" s="263" t="s">
        <v>114</v>
      </c>
      <c r="E5" s="50"/>
      <c r="F5" s="247" t="s">
        <v>153</v>
      </c>
      <c r="G5" s="246" t="s">
        <v>154</v>
      </c>
      <c r="H5" s="23"/>
    </row>
    <row r="6" spans="1:8" s="48" customFormat="1" ht="15" thickBot="1">
      <c r="A6" s="255" t="s">
        <v>14</v>
      </c>
      <c r="B6" s="256"/>
      <c r="C6" s="109">
        <v>2</v>
      </c>
      <c r="D6" s="263" t="s">
        <v>114</v>
      </c>
      <c r="E6" s="50"/>
      <c r="F6" s="248" t="s">
        <v>107</v>
      </c>
      <c r="G6" s="249" t="s">
        <v>120</v>
      </c>
      <c r="H6" s="49"/>
    </row>
    <row r="7" spans="1:8" s="48" customFormat="1" ht="15" thickBot="1">
      <c r="A7" s="255" t="s">
        <v>15</v>
      </c>
      <c r="B7" s="256"/>
      <c r="C7" s="109" t="s">
        <v>125</v>
      </c>
      <c r="D7" s="263" t="s">
        <v>114</v>
      </c>
      <c r="E7" s="50"/>
      <c r="F7" s="248" t="s">
        <v>108</v>
      </c>
      <c r="G7" s="249" t="s">
        <v>173</v>
      </c>
      <c r="H7" s="49"/>
    </row>
    <row r="8" spans="1:8" ht="22.5" customHeight="1" thickBot="1">
      <c r="A8" s="252" t="s">
        <v>17</v>
      </c>
      <c r="B8" s="254" t="s">
        <v>16</v>
      </c>
      <c r="C8" s="60">
        <v>71.599999999999994</v>
      </c>
      <c r="D8" s="263" t="s">
        <v>113</v>
      </c>
      <c r="F8" s="248" t="s">
        <v>98</v>
      </c>
      <c r="G8" s="249" t="s">
        <v>124</v>
      </c>
    </row>
    <row r="9" spans="1:8" s="21" customFormat="1" ht="22.5" customHeight="1" thickBot="1">
      <c r="A9" s="252" t="s">
        <v>20</v>
      </c>
      <c r="B9" s="232" t="s">
        <v>37</v>
      </c>
      <c r="C9" s="25">
        <v>58.4</v>
      </c>
      <c r="D9" s="262" t="s">
        <v>113</v>
      </c>
      <c r="F9" s="248" t="s">
        <v>106</v>
      </c>
      <c r="G9" s="249" t="s">
        <v>174</v>
      </c>
    </row>
    <row r="10" spans="1:8" s="21" customFormat="1">
      <c r="A10" s="252" t="s">
        <v>97</v>
      </c>
      <c r="B10" s="254" t="s">
        <v>16</v>
      </c>
      <c r="C10" s="60">
        <v>59</v>
      </c>
      <c r="D10" s="263" t="s">
        <v>113</v>
      </c>
    </row>
    <row r="11" spans="1:8" s="21" customFormat="1">
      <c r="A11" s="257" t="s">
        <v>40</v>
      </c>
      <c r="B11" s="232" t="s">
        <v>16</v>
      </c>
      <c r="C11" s="25">
        <v>106.7</v>
      </c>
      <c r="D11" s="262" t="s">
        <v>113</v>
      </c>
    </row>
    <row r="12" spans="1:8" s="21" customFormat="1">
      <c r="A12" s="257" t="s">
        <v>36</v>
      </c>
      <c r="B12" s="232" t="s">
        <v>37</v>
      </c>
      <c r="C12" s="25">
        <v>100.2</v>
      </c>
      <c r="D12" s="262" t="s">
        <v>113</v>
      </c>
    </row>
    <row r="13" spans="1:8" s="21" customFormat="1">
      <c r="A13" s="257" t="s">
        <v>99</v>
      </c>
      <c r="B13" s="232"/>
      <c r="C13" s="107" t="s">
        <v>155</v>
      </c>
      <c r="D13" s="262" t="s">
        <v>115</v>
      </c>
    </row>
    <row r="14" spans="1:8" s="21" customFormat="1" ht="29">
      <c r="A14" s="258" t="s">
        <v>21</v>
      </c>
      <c r="B14" s="232" t="s">
        <v>37</v>
      </c>
      <c r="C14" s="107">
        <v>81.99</v>
      </c>
      <c r="D14" s="262" t="s">
        <v>113</v>
      </c>
    </row>
    <row r="15" spans="1:8" s="21" customFormat="1">
      <c r="A15" s="257" t="s">
        <v>41</v>
      </c>
      <c r="B15" s="232" t="s">
        <v>42</v>
      </c>
      <c r="C15" s="107">
        <v>11.57</v>
      </c>
      <c r="D15" s="262" t="s">
        <v>113</v>
      </c>
    </row>
    <row r="16" spans="1:8" s="21" customFormat="1" ht="15" thickBot="1">
      <c r="A16" s="259" t="s">
        <v>43</v>
      </c>
      <c r="B16" s="260" t="s">
        <v>42</v>
      </c>
      <c r="C16" s="110">
        <f>C10-C9</f>
        <v>0.60000000000000142</v>
      </c>
      <c r="D16" s="264" t="s">
        <v>113</v>
      </c>
    </row>
    <row r="17" spans="1:5" s="21" customFormat="1" ht="15" thickBot="1">
      <c r="A17" s="27"/>
      <c r="B17" s="28"/>
      <c r="C17" s="29"/>
      <c r="D17" s="57"/>
    </row>
    <row r="18" spans="1:5" s="21" customFormat="1" ht="15.5">
      <c r="A18" s="200" t="s">
        <v>100</v>
      </c>
      <c r="B18" s="201"/>
      <c r="C18" s="202"/>
      <c r="D18" s="203"/>
    </row>
    <row r="19" spans="1:5" s="21" customFormat="1">
      <c r="A19" s="204" t="s">
        <v>92</v>
      </c>
      <c r="B19" s="205" t="s">
        <v>65</v>
      </c>
      <c r="C19" s="206" t="e">
        <f ca="1">'19XR7_Econ'!D55</f>
        <v>#NAME?</v>
      </c>
      <c r="D19" s="207" t="s">
        <v>116</v>
      </c>
    </row>
    <row r="20" spans="1:5" s="21" customFormat="1" ht="15" thickBot="1">
      <c r="A20" s="208" t="s">
        <v>103</v>
      </c>
      <c r="B20" s="209" t="s">
        <v>93</v>
      </c>
      <c r="C20" s="210" t="e">
        <f ca="1">'19XR7_Econ'!D56</f>
        <v>#NAME?</v>
      </c>
      <c r="D20" s="211" t="s">
        <v>117</v>
      </c>
      <c r="E20" s="31"/>
    </row>
    <row r="21" spans="1:5" s="21" customFormat="1" ht="15" thickBot="1">
      <c r="A21" s="212" t="s">
        <v>95</v>
      </c>
      <c r="B21" s="213" t="s">
        <v>35</v>
      </c>
      <c r="C21" s="214">
        <f>'19XR6 Fr B_Evap'!D33</f>
        <v>3148.4969771323194</v>
      </c>
      <c r="D21" s="215"/>
    </row>
    <row r="22" spans="1:5" s="21" customFormat="1">
      <c r="A22" s="216"/>
      <c r="B22" s="217"/>
      <c r="C22" s="218"/>
      <c r="D22" s="219"/>
    </row>
    <row r="23" spans="1:5" s="32" customFormat="1" ht="15" thickBot="1">
      <c r="A23" s="216"/>
      <c r="B23" s="217"/>
      <c r="C23" s="220"/>
      <c r="D23" s="219"/>
    </row>
    <row r="24" spans="1:5" s="32" customFormat="1" ht="15.5">
      <c r="A24" s="200" t="s">
        <v>101</v>
      </c>
      <c r="B24" s="221"/>
      <c r="C24" s="222"/>
      <c r="D24" s="223"/>
    </row>
    <row r="25" spans="1:5" ht="19.5" customHeight="1">
      <c r="A25" s="224" t="s">
        <v>64</v>
      </c>
      <c r="B25" s="225" t="s">
        <v>65</v>
      </c>
      <c r="C25" s="226" t="e">
        <f ca="1">'19XR7_Econ'!D29</f>
        <v>#NAME?</v>
      </c>
      <c r="D25" s="227" t="s">
        <v>118</v>
      </c>
    </row>
    <row r="26" spans="1:5" ht="15.5">
      <c r="A26" s="228" t="s">
        <v>102</v>
      </c>
      <c r="B26" s="229" t="s">
        <v>85</v>
      </c>
      <c r="C26" s="230" t="e">
        <f ca="1">'19XR7_Econ'!D48</f>
        <v>#NAME?</v>
      </c>
      <c r="D26" s="231" t="s">
        <v>119</v>
      </c>
    </row>
    <row r="27" spans="1:5">
      <c r="A27" s="224" t="s">
        <v>64</v>
      </c>
      <c r="B27" s="225" t="s">
        <v>65</v>
      </c>
      <c r="C27" s="230" t="e">
        <f ca="1">IF(C25&lt;C19,"OK","NO")</f>
        <v>#NAME?</v>
      </c>
      <c r="D27" s="231" t="s">
        <v>121</v>
      </c>
    </row>
    <row r="28" spans="1:5" ht="15.5">
      <c r="A28" s="228" t="s">
        <v>102</v>
      </c>
      <c r="B28" s="229" t="s">
        <v>85</v>
      </c>
      <c r="C28" s="230" t="e">
        <f ca="1">IF(C26&lt;=C20,"OK","NO")</f>
        <v>#NAME?</v>
      </c>
      <c r="D28" s="231" t="s">
        <v>172</v>
      </c>
    </row>
    <row r="29" spans="1:5">
      <c r="A29" s="228" t="s">
        <v>104</v>
      </c>
      <c r="B29" s="232" t="s">
        <v>35</v>
      </c>
      <c r="C29" s="233" t="str">
        <f>IF(C21&gt;C4,"OK","NO")</f>
        <v>OK</v>
      </c>
      <c r="D29" s="231" t="s">
        <v>122</v>
      </c>
    </row>
    <row r="30" spans="1:5" s="51" customFormat="1" ht="15" thickBot="1">
      <c r="A30" s="234" t="s">
        <v>105</v>
      </c>
      <c r="B30" s="235"/>
      <c r="C30" s="236" t="e">
        <f ca="1">IF(OR(C27="NO",C28="NO",C29="NO"),"Failed","Pass")</f>
        <v>#NAME?</v>
      </c>
      <c r="D30" s="231" t="s">
        <v>123</v>
      </c>
    </row>
    <row r="31" spans="1:5" s="51" customFormat="1" ht="15" thickBot="1">
      <c r="A31" s="237"/>
      <c r="B31" s="238"/>
      <c r="C31" s="239"/>
      <c r="D31" s="240"/>
    </row>
    <row r="32" spans="1:5" s="49" customFormat="1" ht="65.25" customHeight="1" thickBot="1">
      <c r="A32" s="241" t="s">
        <v>112</v>
      </c>
      <c r="B32" s="242"/>
      <c r="C32" s="267" t="e">
        <f ca="1">IF(C30="Failed","拒绝此选型订单","Pass,首次ETO设计出厂，必须添加测试")</f>
        <v>#NAME?</v>
      </c>
      <c r="D32" s="268"/>
    </row>
  </sheetData>
  <sheetProtection algorithmName="SHA-512" hashValue="ixl0iGlCyE0euNWeJ4S7MJteSiVRrtCn3oFCZD2K7MzAiU66wwg2rZctIsQQjTMevoT+6c75NElWDSPB/gl0gg==" saltValue="vXrHvlK9S6CZ9meK4MLygA==" spinCount="100000" sheet="1" objects="1" scenarios="1"/>
  <protectedRanges>
    <protectedRange algorithmName="SHA-512" hashValue="pXvyVXGab2W67Rw7SJGE8O8r0Oa2iRwLDRGjK1twfPRpO7k/a2b7TaoI3yfm31p394BIkac0RwK9AzzLorwJeg==" saltValue="2RIdv1fv96ISfNkMChLkTg==" spinCount="100000" sqref="C4:C16" name="区域1"/>
  </protectedRanges>
  <mergeCells count="2">
    <mergeCell ref="F2:G2"/>
    <mergeCell ref="C32:D32"/>
  </mergeCells>
  <phoneticPr fontId="9" type="noConversion"/>
  <conditionalFormatting sqref="C30">
    <cfRule type="cellIs" dxfId="8" priority="1" stopIfTrue="1" operator="equal">
      <formula>Pass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A17D2FCB-23FB-489A-9EB3-575E0B86DD20}">
          <x14:formula1>
            <xm:f>Category!$E$3:$E$6</xm:f>
          </x14:formula1>
          <xm:sqref>C13</xm:sqref>
        </x14:dataValidation>
        <x14:dataValidation type="list" showInputMessage="1" showErrorMessage="1" xr:uid="{D1E40BD6-8D6C-4661-8876-66272CC5F1CF}">
          <x14:formula1>
            <xm:f>Category!$A$3:$A$5</xm:f>
          </x14:formula1>
          <xm:sqref>C6</xm:sqref>
        </x14:dataValidation>
        <x14:dataValidation type="list" showInputMessage="1" showErrorMessage="1" xr:uid="{F071E5A6-B1E2-45B3-A01F-75751CA9AEC6}">
          <x14:formula1>
            <xm:f>Category!$B$3:$B$4</xm:f>
          </x14:formula1>
          <xm:sqref>C7</xm:sqref>
        </x14:dataValidation>
        <x14:dataValidation type="list" showInputMessage="1" showErrorMessage="1" xr:uid="{70A8D1B5-772B-455F-B481-35DFB41FE599}">
          <x14:formula1>
            <xm:f>Category!$C$3:$C$14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6B8A-63B4-46A0-B9F2-0B63110B37D9}">
  <dimension ref="A2:F14"/>
  <sheetViews>
    <sheetView workbookViewId="0">
      <selection activeCell="E21" sqref="E21"/>
    </sheetView>
  </sheetViews>
  <sheetFormatPr defaultRowHeight="14.5"/>
  <cols>
    <col min="2" max="2" width="15.54296875" customWidth="1"/>
    <col min="4" max="4" width="15.54296875" customWidth="1"/>
    <col min="5" max="5" width="16.7265625" customWidth="1"/>
    <col min="6" max="6" width="9.1796875" customWidth="1"/>
    <col min="7" max="7" width="8.54296875" customWidth="1"/>
  </cols>
  <sheetData>
    <row r="2" spans="1:6" ht="25">
      <c r="A2" s="104" t="s">
        <v>145</v>
      </c>
      <c r="B2" s="104" t="s">
        <v>15</v>
      </c>
      <c r="C2" s="104" t="s">
        <v>147</v>
      </c>
      <c r="D2" s="104" t="s">
        <v>140</v>
      </c>
      <c r="E2" s="104" t="s">
        <v>99</v>
      </c>
      <c r="F2" s="104" t="s">
        <v>168</v>
      </c>
    </row>
    <row r="3" spans="1:6">
      <c r="A3" s="105">
        <v>1</v>
      </c>
      <c r="B3" s="105" t="s">
        <v>125</v>
      </c>
      <c r="C3" t="s">
        <v>156</v>
      </c>
      <c r="D3" s="105">
        <v>16</v>
      </c>
      <c r="E3" s="106" t="s">
        <v>155</v>
      </c>
      <c r="F3">
        <v>1280</v>
      </c>
    </row>
    <row r="4" spans="1:6">
      <c r="A4" s="105">
        <v>2</v>
      </c>
      <c r="B4" s="105" t="s">
        <v>146</v>
      </c>
      <c r="C4" t="s">
        <v>157</v>
      </c>
      <c r="D4" s="105"/>
      <c r="E4" s="106"/>
      <c r="F4">
        <v>1413</v>
      </c>
    </row>
    <row r="5" spans="1:6">
      <c r="A5" s="105">
        <v>3</v>
      </c>
      <c r="B5" s="105"/>
      <c r="C5" t="s">
        <v>158</v>
      </c>
      <c r="D5" s="105"/>
      <c r="E5" s="106"/>
      <c r="F5">
        <v>1540</v>
      </c>
    </row>
    <row r="6" spans="1:6">
      <c r="C6" t="s">
        <v>159</v>
      </c>
      <c r="E6" s="106"/>
      <c r="F6">
        <v>1318</v>
      </c>
    </row>
    <row r="7" spans="1:6">
      <c r="C7" t="s">
        <v>160</v>
      </c>
      <c r="F7">
        <v>1448</v>
      </c>
    </row>
    <row r="8" spans="1:6">
      <c r="C8" t="s">
        <v>161</v>
      </c>
      <c r="F8">
        <v>1576</v>
      </c>
    </row>
    <row r="9" spans="1:6">
      <c r="C9" t="s">
        <v>162</v>
      </c>
      <c r="F9">
        <v>686</v>
      </c>
    </row>
    <row r="10" spans="1:6">
      <c r="C10" t="s">
        <v>163</v>
      </c>
      <c r="F10">
        <v>763</v>
      </c>
    </row>
    <row r="11" spans="1:6">
      <c r="C11" t="s">
        <v>164</v>
      </c>
      <c r="F11">
        <v>843</v>
      </c>
    </row>
    <row r="12" spans="1:6">
      <c r="C12" t="s">
        <v>165</v>
      </c>
      <c r="F12">
        <v>715</v>
      </c>
    </row>
    <row r="13" spans="1:6">
      <c r="C13" t="s">
        <v>166</v>
      </c>
      <c r="F13">
        <v>796</v>
      </c>
    </row>
    <row r="14" spans="1:6">
      <c r="C14" t="s">
        <v>167</v>
      </c>
      <c r="F14">
        <v>875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8D7E-CD73-4059-9326-68A5955EE53D}">
  <sheetPr codeName="Sheet4"/>
  <dimension ref="A1:E60"/>
  <sheetViews>
    <sheetView topLeftCell="B1" zoomScale="85" zoomScaleNormal="85" workbookViewId="0">
      <pane ySplit="1" topLeftCell="A2" activePane="bottomLeft" state="frozen"/>
      <selection activeCell="E4" sqref="E4:E6"/>
      <selection pane="bottomLeft" activeCell="F9" sqref="F9"/>
    </sheetView>
  </sheetViews>
  <sheetFormatPr defaultColWidth="9" defaultRowHeight="13"/>
  <cols>
    <col min="1" max="1" width="9.54296875" style="33" customWidth="1"/>
    <col min="2" max="2" width="33.81640625" style="33" customWidth="1"/>
    <col min="3" max="3" width="6.26953125" style="44" customWidth="1"/>
    <col min="4" max="4" width="26.26953125" style="45" customWidth="1"/>
    <col min="5" max="16384" width="9" style="33"/>
  </cols>
  <sheetData>
    <row r="1" spans="1:4" ht="44.25" customHeight="1">
      <c r="B1" s="269" t="s">
        <v>28</v>
      </c>
      <c r="C1" s="270"/>
      <c r="D1" s="271"/>
    </row>
    <row r="2" spans="1:4" ht="25.5" customHeight="1">
      <c r="A2" s="34"/>
      <c r="B2" s="35" t="s">
        <v>12</v>
      </c>
      <c r="C2" s="36"/>
      <c r="D2" s="37" t="s">
        <v>127</v>
      </c>
    </row>
    <row r="3" spans="1:4">
      <c r="A3" s="273" t="s">
        <v>151</v>
      </c>
      <c r="B3" s="111" t="s">
        <v>22</v>
      </c>
      <c r="C3" s="112" t="s">
        <v>23</v>
      </c>
      <c r="D3" s="113">
        <f>'19XR6 FrB cooler  Check'!C4</f>
        <v>2800</v>
      </c>
    </row>
    <row r="4" spans="1:4">
      <c r="A4" s="274"/>
      <c r="B4" s="111" t="s">
        <v>13</v>
      </c>
      <c r="C4" s="112"/>
      <c r="D4" s="114" t="str">
        <f>'19XR6 FrB cooler  Check'!C5</f>
        <v>B6H</v>
      </c>
    </row>
    <row r="5" spans="1:4">
      <c r="A5" s="274"/>
      <c r="B5" s="111" t="s">
        <v>140</v>
      </c>
      <c r="C5" s="112" t="s">
        <v>142</v>
      </c>
      <c r="D5" s="114">
        <f>VLOOKUP($D$4,'EDR Database-Fr B cooler'!$B$5:$I$26,8,FALSE)</f>
        <v>16</v>
      </c>
    </row>
    <row r="6" spans="1:4">
      <c r="A6" s="274"/>
      <c r="B6" s="111" t="s">
        <v>14</v>
      </c>
      <c r="C6" s="112"/>
      <c r="D6" s="114">
        <f>'19XR6 FrB cooler  Check'!C6</f>
        <v>2</v>
      </c>
    </row>
    <row r="7" spans="1:4">
      <c r="A7" s="274"/>
      <c r="B7" s="111" t="s">
        <v>15</v>
      </c>
      <c r="C7" s="112"/>
      <c r="D7" s="114" t="str">
        <f>'19XR6 FrB cooler  Check'!C7</f>
        <v>Drive End</v>
      </c>
    </row>
    <row r="8" spans="1:4">
      <c r="A8" s="274"/>
      <c r="B8" s="111" t="s">
        <v>17</v>
      </c>
      <c r="C8" s="112" t="s">
        <v>16</v>
      </c>
      <c r="D8" s="115">
        <f>'19XR6 FrB cooler  Check'!C8</f>
        <v>71.599999999999994</v>
      </c>
    </row>
    <row r="9" spans="1:4">
      <c r="A9" s="274"/>
      <c r="B9" s="111" t="s">
        <v>97</v>
      </c>
      <c r="C9" s="112" t="s">
        <v>16</v>
      </c>
      <c r="D9" s="115">
        <f>'19XR6 FrB cooler  Check'!C10</f>
        <v>59</v>
      </c>
    </row>
    <row r="10" spans="1:4" ht="16">
      <c r="A10" s="274"/>
      <c r="B10" s="111" t="s">
        <v>20</v>
      </c>
      <c r="C10" s="112" t="s">
        <v>16</v>
      </c>
      <c r="D10" s="115">
        <f>'19XR6 FrB cooler  Check'!C9</f>
        <v>58.4</v>
      </c>
    </row>
    <row r="11" spans="1:4" s="38" customFormat="1" ht="15" customHeight="1">
      <c r="A11" s="275"/>
      <c r="B11" s="116" t="s">
        <v>21</v>
      </c>
      <c r="C11" s="117" t="s">
        <v>18</v>
      </c>
      <c r="D11" s="118">
        <f>'19XR6 FrB cooler  Check'!C14</f>
        <v>81.99</v>
      </c>
    </row>
    <row r="12" spans="1:4">
      <c r="B12" s="34" t="s">
        <v>141</v>
      </c>
      <c r="C12" s="74" t="s">
        <v>18</v>
      </c>
      <c r="D12" s="75">
        <f>D8-D9</f>
        <v>12.599999999999994</v>
      </c>
    </row>
    <row r="13" spans="1:4" ht="21.75" customHeight="1">
      <c r="B13" s="90" t="s">
        <v>94</v>
      </c>
      <c r="C13" s="39"/>
      <c r="D13" s="39"/>
    </row>
    <row r="14" spans="1:4">
      <c r="A14" s="34"/>
      <c r="B14" s="64" t="s">
        <v>7</v>
      </c>
      <c r="C14" s="73"/>
      <c r="D14" s="84">
        <f>IF(D$7=$B$39,IF(D$6=1,VLOOKUP(D$4,'EDR Database-Fr B cooler'!B5:H26,2,FALSE),IF(D$6=2,VLOOKUP(D$4,'EDR Database-Fr B cooler'!$B$5:$H$26,3,FALSE),VLOOKUP('19XR6 Fr B_Evap'!D$4,'EDR Database-Fr B cooler'!$B$5:$H$26,4,FALSE))),IF('19XR6 Fr B_Evap'!D$6=1,VLOOKUP('19XR6 Fr B_Evap'!D$4,'EDR Database-Fr B cooler'!$B$5:$H$26,5,FALSE),IF('19XR6 Fr B_Evap'!D$6=2,VLOOKUP('19XR6 Fr B_Evap'!D$4,'EDR Database-Fr B cooler'!$B$5:$H$26,6,FALSE),VLOOKUP('19XR6 Fr B_Evap'!D$4,'EDR Database-Fr B cooler'!$B$5:$H$26,7,FALSE))))</f>
        <v>2510</v>
      </c>
    </row>
    <row r="15" spans="1:4">
      <c r="A15" s="34"/>
      <c r="B15" s="83" t="s">
        <v>128</v>
      </c>
      <c r="C15" s="41"/>
      <c r="D15" s="42">
        <f>IF(D$7=$B$39,VLOOKUP($B$15,'EDR Database-Fr B cooler'!$C$40:$E$48,2,FALSE),IF(D$7=$B$40,VLOOKUP($B$15,'EDR Database-Fr B cooler'!$C$40:$E$48,3,FALSE)))</f>
        <v>-2.0099000000000003E-9</v>
      </c>
    </row>
    <row r="16" spans="1:4">
      <c r="A16" s="34"/>
      <c r="B16" s="83" t="s">
        <v>129</v>
      </c>
      <c r="C16" s="41"/>
      <c r="D16" s="42">
        <f>IF(D$7=$B$39,VLOOKUP($B$16,'EDR Database-Fr B cooler'!$C$40:$E$48,2,FALSE),IF(D$7=$B$40,VLOOKUP($B$16,'EDR Database-Fr B cooler'!$C$40:$E$48,3,FALSE)))</f>
        <v>1.1229999999999999E-7</v>
      </c>
    </row>
    <row r="17" spans="1:5">
      <c r="A17" s="34"/>
      <c r="B17" s="83" t="s">
        <v>130</v>
      </c>
      <c r="C17" s="41"/>
      <c r="D17" s="42">
        <f>IF(D$7=$B$39,VLOOKUP($B$17,'EDR Database-Fr B cooler'!$C$40:$E$48,2,FALSE),IF(D$7=$B$40,VLOOKUP($B$17,'EDR Database-Fr B cooler'!$C$40:$E$48,3,FALSE)))</f>
        <v>7.0210000000000007E-5</v>
      </c>
    </row>
    <row r="18" spans="1:5">
      <c r="A18" s="34"/>
      <c r="B18" s="40" t="s">
        <v>8</v>
      </c>
      <c r="C18" s="41"/>
      <c r="D18" s="68">
        <f>D15*D$11^2+D16*D$11+D17</f>
        <v>6.5906205435010002E-5</v>
      </c>
    </row>
    <row r="19" spans="1:5">
      <c r="A19" s="34"/>
      <c r="B19" s="83" t="s">
        <v>131</v>
      </c>
      <c r="C19" s="41"/>
      <c r="D19" s="43">
        <f>IF(D$7=$B$39,VLOOKUP($B$19,'EDR Database-Fr B cooler'!$C$40:$E$48,2,FALSE),IF(D$7=$B$40,VLOOKUP($B$19,'EDR Database-Fr B cooler'!$C$40:$E$48,3,FALSE)))</f>
        <v>6.804400000000001E-8</v>
      </c>
    </row>
    <row r="20" spans="1:5">
      <c r="A20" s="34"/>
      <c r="B20" s="83" t="s">
        <v>132</v>
      </c>
      <c r="C20" s="41"/>
      <c r="D20" s="43">
        <f>IF(D$7=$B$39,VLOOKUP($B$20,'EDR Database-Fr B cooler'!$C$40:$E$48,2,FALSE),IF(D$7=$B$40,VLOOKUP($B$20,'EDR Database-Fr B cooler'!$C$40:$E$48,3,FALSE)))</f>
        <v>-4.9787999999999998E-5</v>
      </c>
    </row>
    <row r="21" spans="1:5">
      <c r="A21" s="34"/>
      <c r="B21" s="83" t="s">
        <v>133</v>
      </c>
      <c r="C21" s="41"/>
      <c r="D21" s="43">
        <f>IF(D$7=$B$39,VLOOKUP($B$21,'EDR Database-Fr B cooler'!$C$40:$E$48,2,FALSE),IF(D$7=$B$40,VLOOKUP($B$21,'EDR Database-Fr B cooler'!$C$40:$E$48,3,FALSE)))</f>
        <v>1.2676000000000002E-2</v>
      </c>
    </row>
    <row r="22" spans="1:5">
      <c r="A22" s="34"/>
      <c r="B22" s="40" t="s">
        <v>9</v>
      </c>
      <c r="C22" s="41"/>
      <c r="D22" s="68">
        <f>D19*D$11^2+D20*D$11+D21</f>
        <v>9.0512981506444025E-3</v>
      </c>
    </row>
    <row r="23" spans="1:5">
      <c r="A23" s="34"/>
      <c r="B23" s="83" t="s">
        <v>134</v>
      </c>
      <c r="C23" s="41"/>
      <c r="D23" s="43">
        <f>IF(D$7=$B$39,VLOOKUP($B$23,'EDR Database-Fr B cooler'!$C$40:$E$48,2,FALSE),IF(D$7=$B$40,VLOOKUP($B$23,'EDR Database-Fr B cooler'!$C$40:$E$48,3,FALSE)))</f>
        <v>-3.5060999999999998E-6</v>
      </c>
    </row>
    <row r="24" spans="1:5">
      <c r="A24" s="34"/>
      <c r="B24" s="83" t="s">
        <v>135</v>
      </c>
      <c r="C24" s="41"/>
      <c r="D24" s="43">
        <f>IF(D$7=$B$39,VLOOKUP($B$24,'EDR Database-Fr B cooler'!$C$40:$E$48,2,FALSE),IF(D$7=$B$40,VLOOKUP($B$24,'EDR Database-Fr B cooler'!$C$40:$E$48,3,FALSE)))</f>
        <v>-1.8123E-3</v>
      </c>
    </row>
    <row r="25" spans="1:5">
      <c r="A25" s="34"/>
      <c r="B25" s="83" t="s">
        <v>136</v>
      </c>
      <c r="C25" s="41"/>
      <c r="D25" s="43">
        <f>IF(D$7=$B$39,VLOOKUP($B$25,'EDR Database-Fr B cooler'!$C$40:$E$48,2,FALSE),IF(D$7=$B$40,VLOOKUP($B$25,'EDR Database-Fr B cooler'!$C$40:$E$48,3,FALSE)))</f>
        <v>0.64005000000000001</v>
      </c>
    </row>
    <row r="26" spans="1:5">
      <c r="A26" s="34"/>
      <c r="B26" s="40" t="s">
        <v>10</v>
      </c>
      <c r="C26" s="41"/>
      <c r="D26" s="68">
        <f>D23*D$11^2+D24*D$11+D25</f>
        <v>0.46789025625338998</v>
      </c>
    </row>
    <row r="27" spans="1:5">
      <c r="A27" s="34"/>
      <c r="B27" s="163" t="s">
        <v>11</v>
      </c>
      <c r="C27" s="164"/>
      <c r="D27" s="165">
        <f>D18*D$10*D$10+D22*D$10+D26</f>
        <v>1.2212631362594508</v>
      </c>
    </row>
    <row r="28" spans="1:5">
      <c r="A28" s="34"/>
      <c r="B28" s="40" t="s">
        <v>137</v>
      </c>
      <c r="C28" s="41"/>
      <c r="D28" s="82">
        <f>IF(D$7=$B$39,VLOOKUP($B28,'EDR Database-Fr B cooler'!$B$31:$C$34,2,FALSE),IF(D$7=$B$40,VLOOKUP($B28,'EDR Database-Fr B cooler'!$B$31:$D$34,3,FALSE)))</f>
        <v>1.3156000000000001E-5</v>
      </c>
      <c r="E28" s="272"/>
    </row>
    <row r="29" spans="1:5">
      <c r="A29" s="34"/>
      <c r="B29" s="40" t="s">
        <v>138</v>
      </c>
      <c r="C29" s="41"/>
      <c r="D29" s="82">
        <f>IF(D$7=$B$39,VLOOKUP($B29,'EDR Database-Fr B cooler'!$B$31:$C$34,2,FALSE),IF(D$7=$B$40,VLOOKUP($B29,'EDR Database-Fr B cooler'!$B$31:$D$34,3,FALSE)))</f>
        <v>-9.0030999999999998E-4</v>
      </c>
      <c r="E29" s="272"/>
    </row>
    <row r="30" spans="1:5">
      <c r="A30" s="34"/>
      <c r="B30" s="40" t="s">
        <v>139</v>
      </c>
      <c r="C30" s="41"/>
      <c r="D30" s="82">
        <f>IF(D$7=$B$39,VLOOKUP($B30,'EDR Database-Fr B cooler'!$B$31:$C$34,2,FALSE),IF(D$7=$B$40,VLOOKUP($B30,'EDR Database-Fr B cooler'!$B$31:$D$34,3,FALSE)))</f>
        <v>2.5717E-2</v>
      </c>
    </row>
    <row r="31" spans="1:5">
      <c r="A31" s="34"/>
      <c r="B31" s="40" t="s">
        <v>170</v>
      </c>
      <c r="C31" s="41"/>
      <c r="D31" s="82">
        <f>IF(D$7=$B$39,VLOOKUP($B31,'EDR Database-Fr B cooler'!$B$31:$C$34,2,FALSE),IF(D$7=$B$40,VLOOKUP($B31,'EDR Database-Fr B cooler'!$B$31:$D$34,3,FALSE)))</f>
        <v>0.81969999999999998</v>
      </c>
    </row>
    <row r="32" spans="1:5" ht="15" customHeight="1">
      <c r="A32" s="34"/>
      <c r="B32" s="163" t="s">
        <v>19</v>
      </c>
      <c r="C32" s="164"/>
      <c r="D32" s="165">
        <f>D$28*D$12^3+D$29*D$12^2+D$30*D$12+D31</f>
        <v>1.0271179310559999</v>
      </c>
    </row>
    <row r="33" spans="1:4" ht="13.5" thickBot="1">
      <c r="A33" s="97"/>
      <c r="B33" s="67" t="s">
        <v>95</v>
      </c>
      <c r="C33" s="65" t="s">
        <v>27</v>
      </c>
      <c r="D33" s="66">
        <f>D$14*D$27*D$32</f>
        <v>3148.4969771323194</v>
      </c>
    </row>
    <row r="34" spans="1:4">
      <c r="A34" s="91"/>
      <c r="B34" s="96" t="s">
        <v>144</v>
      </c>
      <c r="C34" s="85"/>
      <c r="D34" s="86"/>
    </row>
    <row r="35" spans="1:4">
      <c r="A35" s="91"/>
      <c r="B35" s="87"/>
      <c r="C35" s="88"/>
      <c r="D35" s="89"/>
    </row>
    <row r="36" spans="1:4">
      <c r="A36" s="91"/>
      <c r="B36" s="87"/>
      <c r="C36" s="88"/>
      <c r="D36" s="89"/>
    </row>
    <row r="37" spans="1:4">
      <c r="A37" s="91"/>
      <c r="B37" s="53"/>
      <c r="C37" s="88"/>
      <c r="D37" s="89"/>
    </row>
    <row r="38" spans="1:4" ht="14.25" customHeight="1" thickBot="1"/>
    <row r="39" spans="1:4" ht="14.25" customHeight="1">
      <c r="B39" s="98" t="s">
        <v>146</v>
      </c>
      <c r="C39" s="46"/>
    </row>
    <row r="40" spans="1:4" ht="14.25" customHeight="1" thickBot="1">
      <c r="B40" s="99" t="s">
        <v>25</v>
      </c>
      <c r="C40" s="47"/>
    </row>
    <row r="41" spans="1:4">
      <c r="A41" s="92"/>
      <c r="B41" s="92"/>
      <c r="C41" s="88"/>
    </row>
    <row r="42" spans="1:4">
      <c r="A42" s="92"/>
      <c r="B42" s="92"/>
      <c r="C42" s="88"/>
    </row>
    <row r="43" spans="1:4">
      <c r="A43" s="92"/>
      <c r="B43" s="92"/>
      <c r="C43" s="88"/>
    </row>
    <row r="44" spans="1:4">
      <c r="A44" s="92"/>
      <c r="B44" s="92"/>
      <c r="C44" s="88"/>
    </row>
    <row r="45" spans="1:4">
      <c r="A45" s="92"/>
      <c r="B45" s="92"/>
      <c r="C45" s="88"/>
    </row>
    <row r="46" spans="1:4" ht="14">
      <c r="A46" s="93"/>
      <c r="B46" s="94"/>
      <c r="C46" s="88"/>
    </row>
    <row r="47" spans="1:4" ht="14">
      <c r="A47" s="93"/>
      <c r="B47" s="95"/>
      <c r="C47" s="88"/>
    </row>
    <row r="48" spans="1:4" ht="14">
      <c r="A48" s="93"/>
      <c r="B48" s="95"/>
      <c r="C48" s="88"/>
    </row>
    <row r="49" spans="1:3" ht="14">
      <c r="A49" s="93"/>
      <c r="B49" s="95"/>
      <c r="C49" s="88"/>
    </row>
    <row r="50" spans="1:3" ht="14">
      <c r="A50" s="93"/>
      <c r="B50" s="95"/>
      <c r="C50" s="88"/>
    </row>
    <row r="51" spans="1:3" ht="14">
      <c r="A51" s="93"/>
      <c r="B51" s="95"/>
      <c r="C51" s="88"/>
    </row>
    <row r="52" spans="1:3" ht="14">
      <c r="A52" s="93"/>
      <c r="B52" s="95"/>
      <c r="C52" s="88"/>
    </row>
    <row r="53" spans="1:3" ht="14">
      <c r="A53" s="93"/>
      <c r="B53" s="95"/>
      <c r="C53" s="88"/>
    </row>
    <row r="54" spans="1:3" ht="14">
      <c r="A54" s="93"/>
      <c r="B54" s="95"/>
      <c r="C54" s="88"/>
    </row>
    <row r="55" spans="1:3" ht="14">
      <c r="A55" s="93"/>
      <c r="B55" s="95"/>
      <c r="C55" s="88"/>
    </row>
    <row r="56" spans="1:3" ht="14">
      <c r="A56" s="93"/>
      <c r="B56" s="95"/>
      <c r="C56" s="88"/>
    </row>
    <row r="57" spans="1:3">
      <c r="A57" s="92"/>
      <c r="B57" s="95"/>
      <c r="C57" s="88"/>
    </row>
    <row r="58" spans="1:3">
      <c r="A58" s="92"/>
      <c r="B58" s="95"/>
      <c r="C58" s="88"/>
    </row>
    <row r="59" spans="1:3">
      <c r="A59" s="92"/>
      <c r="B59" s="95"/>
      <c r="C59" s="88"/>
    </row>
    <row r="60" spans="1:3">
      <c r="A60" s="87"/>
      <c r="B60" s="87"/>
      <c r="C60" s="88"/>
    </row>
  </sheetData>
  <sheetProtection formatCells="0" selectLockedCells="1" selectUnlockedCells="1"/>
  <protectedRanges>
    <protectedRange sqref="D3:D11" name="区域1"/>
  </protectedRanges>
  <mergeCells count="3">
    <mergeCell ref="B1:D1"/>
    <mergeCell ref="E28:E29"/>
    <mergeCell ref="A3:A11"/>
  </mergeCells>
  <phoneticPr fontId="1" type="noConversion"/>
  <conditionalFormatting sqref="D37">
    <cfRule type="cellIs" dxfId="7" priority="3" operator="greaterThanOrEqual">
      <formula>#REF!</formula>
    </cfRule>
    <cfRule type="cellIs" dxfId="6" priority="4" operator="lessThan">
      <formula>#REF!</formula>
    </cfRule>
  </conditionalFormatting>
  <conditionalFormatting sqref="D33">
    <cfRule type="cellIs" dxfId="5" priority="1" operator="greaterThanOrEqual">
      <formula>#REF!</formula>
    </cfRule>
    <cfRule type="cellIs" dxfId="4" priority="2" operator="lessThan">
      <formula>#REF!</formula>
    </cfRule>
  </conditionalFormatting>
  <dataValidations count="1">
    <dataValidation type="list" showInputMessage="1" showErrorMessage="1" sqref="D5" xr:uid="{0141CD11-9345-4F86-B3B8-A09F93F3098E}">
      <formula1>"12,14,16"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D29FE14-DE49-43EA-B548-A6CB59298B02}">
          <x14:formula1>
            <xm:f>'EDR Database-Fr B cooler'!$B$5:$B$26</xm:f>
          </x14:formula1>
          <xm:sqref>D4</xm:sqref>
        </x14:dataValidation>
        <x14:dataValidation type="list" allowBlank="1" showInputMessage="1" showErrorMessage="1" xr:uid="{E595B19C-AFF7-4426-A596-3DF4E4A9F9CF}">
          <x14:formula1>
            <xm:f>Category!$B$3:$B$4</xm:f>
          </x14:formula1>
          <xm:sqref>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4988-CCE8-445F-8EF7-93316A8FAE05}">
  <dimension ref="A1:E57"/>
  <sheetViews>
    <sheetView zoomScale="55" zoomScaleNormal="55" workbookViewId="0">
      <pane xSplit="3" ySplit="3" topLeftCell="D34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ColWidth="9" defaultRowHeight="14.5"/>
  <cols>
    <col min="1" max="1" width="16.81640625" style="12" customWidth="1"/>
    <col min="2" max="2" width="37.54296875" style="139" customWidth="1"/>
    <col min="3" max="3" width="8.453125" style="12" customWidth="1"/>
    <col min="4" max="4" width="30.1796875" style="158" customWidth="1"/>
    <col min="5" max="5" width="20.54296875" style="170" customWidth="1"/>
    <col min="6" max="6" width="9" style="12"/>
    <col min="7" max="8" width="15.26953125" style="12" customWidth="1"/>
    <col min="9" max="16384" width="9" style="12"/>
  </cols>
  <sheetData>
    <row r="1" spans="1:5">
      <c r="B1" s="125"/>
      <c r="C1" s="11"/>
      <c r="D1" s="140" t="s">
        <v>171</v>
      </c>
      <c r="E1" s="166"/>
    </row>
    <row r="2" spans="1:5" s="13" customFormat="1" ht="36" customHeight="1" thickBot="1">
      <c r="B2" s="126" t="s">
        <v>29</v>
      </c>
      <c r="D2" s="140" t="s">
        <v>30</v>
      </c>
      <c r="E2" s="166"/>
    </row>
    <row r="3" spans="1:5" ht="36" customHeight="1">
      <c r="A3" s="122"/>
      <c r="B3" s="127" t="s">
        <v>31</v>
      </c>
      <c r="C3" s="14"/>
      <c r="D3" s="141"/>
      <c r="E3" s="124"/>
    </row>
    <row r="4" spans="1:5">
      <c r="A4" s="276" t="s">
        <v>151</v>
      </c>
      <c r="B4" s="128" t="s">
        <v>32</v>
      </c>
      <c r="C4" s="15"/>
      <c r="D4" s="142" t="s">
        <v>33</v>
      </c>
      <c r="E4" s="167"/>
    </row>
    <row r="5" spans="1:5" ht="14.25" customHeight="1">
      <c r="A5" s="276"/>
      <c r="B5" s="129" t="s">
        <v>34</v>
      </c>
      <c r="C5" s="121" t="s">
        <v>35</v>
      </c>
      <c r="D5" s="143">
        <f>'19XR6 FrB cooler  Check'!C4</f>
        <v>2800</v>
      </c>
      <c r="E5" s="168"/>
    </row>
    <row r="6" spans="1:5" ht="14.25" customHeight="1">
      <c r="A6" s="276"/>
      <c r="B6" s="129" t="s">
        <v>36</v>
      </c>
      <c r="C6" s="121" t="s">
        <v>37</v>
      </c>
      <c r="D6" s="143">
        <f>'19XR6 FrB cooler  Check'!C12</f>
        <v>100.2</v>
      </c>
      <c r="E6" s="168"/>
    </row>
    <row r="7" spans="1:5" ht="14.25" customHeight="1">
      <c r="A7" s="276"/>
      <c r="B7" s="129" t="s">
        <v>38</v>
      </c>
      <c r="C7" s="121" t="s">
        <v>37</v>
      </c>
      <c r="D7" s="143">
        <f>'19XR6 FrB cooler  Check'!C14</f>
        <v>81.99</v>
      </c>
      <c r="E7" s="168"/>
    </row>
    <row r="8" spans="1:5" ht="14.25" customHeight="1">
      <c r="A8" s="276"/>
      <c r="B8" s="129" t="s">
        <v>39</v>
      </c>
      <c r="C8" s="121" t="s">
        <v>37</v>
      </c>
      <c r="D8" s="143">
        <f>'19XR6 FrB cooler  Check'!C9</f>
        <v>58.4</v>
      </c>
      <c r="E8" s="168"/>
    </row>
    <row r="9" spans="1:5" ht="14.25" customHeight="1">
      <c r="A9" s="276"/>
      <c r="B9" s="129" t="s">
        <v>40</v>
      </c>
      <c r="C9" s="121" t="s">
        <v>16</v>
      </c>
      <c r="D9" s="143">
        <f>'19XR6 FrB cooler  Check'!C11</f>
        <v>106.7</v>
      </c>
      <c r="E9" s="168"/>
    </row>
    <row r="10" spans="1:5" ht="14.25" customHeight="1">
      <c r="A10" s="276"/>
      <c r="B10" s="129" t="s">
        <v>41</v>
      </c>
      <c r="C10" s="121" t="s">
        <v>42</v>
      </c>
      <c r="D10" s="143">
        <f>'19XR6 FrB cooler  Check'!C15</f>
        <v>11.57</v>
      </c>
      <c r="E10" s="168"/>
    </row>
    <row r="11" spans="1:5" ht="14.25" customHeight="1">
      <c r="A11" s="276"/>
      <c r="B11" s="129" t="s">
        <v>43</v>
      </c>
      <c r="C11" s="121" t="s">
        <v>42</v>
      </c>
      <c r="D11" s="143">
        <f>'19XR6 FrB cooler  Check'!C16</f>
        <v>0.60000000000000142</v>
      </c>
      <c r="E11" s="168"/>
    </row>
    <row r="12" spans="1:5" ht="14.25" customHeight="1">
      <c r="A12" s="123"/>
      <c r="B12" s="128" t="s">
        <v>44</v>
      </c>
      <c r="C12" s="15" t="s">
        <v>42</v>
      </c>
      <c r="D12" s="144">
        <f>D9-D8</f>
        <v>48.300000000000004</v>
      </c>
      <c r="E12" s="168"/>
    </row>
    <row r="13" spans="1:5" ht="15.75" customHeight="1">
      <c r="A13" s="123"/>
      <c r="B13" s="130" t="s">
        <v>45</v>
      </c>
      <c r="C13" s="16"/>
      <c r="D13" s="145"/>
      <c r="E13" s="169"/>
    </row>
    <row r="14" spans="1:5">
      <c r="A14" s="122"/>
      <c r="B14" s="128" t="s">
        <v>46</v>
      </c>
      <c r="C14" s="15" t="s">
        <v>47</v>
      </c>
      <c r="D14" s="146">
        <f t="shared" ref="D14" si="0">32.174</f>
        <v>32.173999999999999</v>
      </c>
    </row>
    <row r="15" spans="1:5" ht="15.5">
      <c r="B15" s="130" t="s">
        <v>48</v>
      </c>
      <c r="C15" s="15"/>
      <c r="D15" s="146"/>
    </row>
    <row r="16" spans="1:5">
      <c r="B16" s="128" t="s">
        <v>49</v>
      </c>
      <c r="C16" s="15" t="s">
        <v>50</v>
      </c>
      <c r="D16" s="147" t="e" cm="1">
        <f t="array" aca="1" ref="D16" ca="1">[3]!Enthalpy(D4,"tvap","E",D8)</f>
        <v>#NAME?</v>
      </c>
      <c r="E16" s="171"/>
    </row>
    <row r="17" spans="1:5">
      <c r="B17" s="128" t="s">
        <v>51</v>
      </c>
      <c r="C17" s="15" t="s">
        <v>50</v>
      </c>
      <c r="D17" s="147" t="e" cm="1">
        <f t="array" aca="1" ref="D17" ca="1">[3]!Enthalpy(D4,"tliq","E",D8)</f>
        <v>#NAME?</v>
      </c>
      <c r="E17" s="171"/>
    </row>
    <row r="18" spans="1:5">
      <c r="B18" s="128" t="s">
        <v>52</v>
      </c>
      <c r="C18" s="15" t="s">
        <v>50</v>
      </c>
      <c r="D18" s="147" t="e" cm="1">
        <f t="array" aca="1" ref="D18" ca="1">[3]!Enthalpy(D4,"tliq","E",D6)</f>
        <v>#NAME?</v>
      </c>
      <c r="E18" s="171"/>
    </row>
    <row r="19" spans="1:5">
      <c r="B19" s="128" t="s">
        <v>53</v>
      </c>
      <c r="C19" s="15" t="s">
        <v>50</v>
      </c>
      <c r="D19" s="147" t="e" cm="1">
        <f t="array" aca="1" ref="D19" ca="1">[3]!Enthalpy(D4,"tliq","E",D7)</f>
        <v>#NAME?</v>
      </c>
      <c r="E19" s="171"/>
    </row>
    <row r="20" spans="1:5">
      <c r="B20" s="128" t="s">
        <v>54</v>
      </c>
      <c r="C20" s="15" t="s">
        <v>50</v>
      </c>
      <c r="D20" s="147" t="e" cm="1">
        <f t="array" aca="1" ref="D20" ca="1">[3]!Enthalpy(D4,"tvap","E",D7)</f>
        <v>#NAME?</v>
      </c>
      <c r="E20" s="171"/>
    </row>
    <row r="21" spans="1:5">
      <c r="B21" s="128" t="s">
        <v>55</v>
      </c>
      <c r="C21" s="15"/>
      <c r="D21" s="148" t="e">
        <f ca="1">(D18-D19)/(D20-D18)</f>
        <v>#NAME?</v>
      </c>
      <c r="E21" s="172"/>
    </row>
    <row r="22" spans="1:5">
      <c r="B22" s="128" t="s">
        <v>109</v>
      </c>
      <c r="C22" s="15"/>
      <c r="D22" s="148" t="e">
        <f ca="1">(D18-D19)/(D20-D19)</f>
        <v>#NAME?</v>
      </c>
      <c r="E22" s="172"/>
    </row>
    <row r="23" spans="1:5">
      <c r="B23" s="128" t="s">
        <v>56</v>
      </c>
      <c r="C23" s="15" t="s">
        <v>57</v>
      </c>
      <c r="D23" s="147" t="e" cm="1">
        <f t="array" aca="1" ref="D23" ca="1">[3]!Density(D4,"Tliq","E",D7)</f>
        <v>#NAME?</v>
      </c>
      <c r="E23" s="171"/>
    </row>
    <row r="24" spans="1:5">
      <c r="B24" s="128" t="s">
        <v>58</v>
      </c>
      <c r="C24" s="15" t="s">
        <v>57</v>
      </c>
      <c r="D24" s="149" t="e" cm="1">
        <f t="array" aca="1" ref="D24" ca="1">[3]!Density(D4,"Tvap","E",D7)</f>
        <v>#NAME?</v>
      </c>
      <c r="E24" s="173"/>
    </row>
    <row r="25" spans="1:5">
      <c r="B25" s="128" t="s">
        <v>59</v>
      </c>
      <c r="C25" s="15" t="s">
        <v>57</v>
      </c>
      <c r="D25" s="148" t="e">
        <f ca="1">D23*(1-D22)+D24*D22</f>
        <v>#NAME?</v>
      </c>
      <c r="E25" s="172"/>
    </row>
    <row r="26" spans="1:5" s="159" customFormat="1" ht="38.25" customHeight="1">
      <c r="A26" s="161"/>
      <c r="B26" s="136" t="s">
        <v>60</v>
      </c>
      <c r="C26" s="160" t="s">
        <v>61</v>
      </c>
      <c r="D26" s="162" t="e">
        <f ca="1">D5*200/(D16-D19)</f>
        <v>#NAME?</v>
      </c>
      <c r="E26" s="174"/>
    </row>
    <row r="27" spans="1:5" s="159" customFormat="1" ht="38.25" customHeight="1">
      <c r="A27" s="161"/>
      <c r="B27" s="136" t="s">
        <v>62</v>
      </c>
      <c r="C27" s="160" t="s">
        <v>61</v>
      </c>
      <c r="D27" s="162" t="e">
        <f ca="1">D26*D21</f>
        <v>#NAME?</v>
      </c>
      <c r="E27" s="174"/>
    </row>
    <row r="28" spans="1:5">
      <c r="B28" s="128" t="s">
        <v>63</v>
      </c>
      <c r="C28" s="15" t="s">
        <v>61</v>
      </c>
      <c r="D28" s="147" t="e">
        <f ca="1">D26</f>
        <v>#NAME?</v>
      </c>
      <c r="E28" s="171"/>
    </row>
    <row r="29" spans="1:5">
      <c r="B29" s="182" t="s">
        <v>64</v>
      </c>
      <c r="C29" s="183" t="s">
        <v>65</v>
      </c>
      <c r="D29" s="184" t="e">
        <f ca="1">D27/D24</f>
        <v>#NAME?</v>
      </c>
      <c r="E29" s="175"/>
    </row>
    <row r="30" spans="1:5">
      <c r="B30" s="128" t="s">
        <v>66</v>
      </c>
      <c r="C30" s="15" t="s">
        <v>67</v>
      </c>
      <c r="D30" s="147" t="e">
        <f ca="1">D28/D23</f>
        <v>#NAME?</v>
      </c>
      <c r="E30" s="171"/>
    </row>
    <row r="31" spans="1:5">
      <c r="B31" s="128"/>
      <c r="C31" s="15"/>
      <c r="D31" s="147"/>
      <c r="E31" s="171"/>
    </row>
    <row r="32" spans="1:5">
      <c r="B32" s="131" t="s">
        <v>68</v>
      </c>
      <c r="C32" s="15"/>
      <c r="D32" s="147"/>
      <c r="E32" s="171"/>
    </row>
    <row r="33" spans="1:5" ht="19.5" customHeight="1">
      <c r="A33" s="277"/>
      <c r="B33" s="132" t="s">
        <v>69</v>
      </c>
      <c r="C33" s="15" t="s">
        <v>70</v>
      </c>
      <c r="D33" s="188"/>
      <c r="E33" s="171"/>
    </row>
    <row r="34" spans="1:5" ht="19.5" customHeight="1">
      <c r="A34" s="277"/>
      <c r="B34" s="132" t="s">
        <v>71</v>
      </c>
      <c r="C34" s="15" t="s">
        <v>70</v>
      </c>
      <c r="D34" s="188"/>
      <c r="E34" s="12"/>
    </row>
    <row r="35" spans="1:5" ht="19.5" customHeight="1">
      <c r="A35" s="277"/>
      <c r="B35" s="132" t="s">
        <v>72</v>
      </c>
      <c r="C35" s="15" t="s">
        <v>70</v>
      </c>
      <c r="D35" s="151"/>
      <c r="E35" s="171"/>
    </row>
    <row r="36" spans="1:5" ht="19.5" customHeight="1">
      <c r="A36" s="277"/>
      <c r="B36" s="132" t="s">
        <v>73</v>
      </c>
      <c r="C36" s="15" t="s">
        <v>70</v>
      </c>
      <c r="D36" s="151"/>
      <c r="E36" s="171"/>
    </row>
    <row r="37" spans="1:5" ht="19.5" customHeight="1">
      <c r="A37" s="277"/>
      <c r="B37" s="128" t="s">
        <v>74</v>
      </c>
      <c r="C37" s="15" t="s">
        <v>75</v>
      </c>
      <c r="D37" s="152">
        <v>1.24</v>
      </c>
      <c r="E37" s="176"/>
    </row>
    <row r="38" spans="1:5">
      <c r="B38" s="128"/>
      <c r="C38" s="15"/>
      <c r="D38" s="147"/>
      <c r="E38" s="171"/>
    </row>
    <row r="39" spans="1:5" ht="15.5">
      <c r="B39" s="133" t="s">
        <v>76</v>
      </c>
      <c r="C39" s="15"/>
      <c r="D39" s="146"/>
    </row>
    <row r="40" spans="1:5">
      <c r="B40" s="134" t="s">
        <v>148</v>
      </c>
      <c r="C40" s="15" t="s">
        <v>75</v>
      </c>
      <c r="D40" s="147">
        <f>PI()*(D33/24)^2</f>
        <v>0</v>
      </c>
      <c r="E40" s="171"/>
    </row>
    <row r="41" spans="1:5">
      <c r="A41" s="159"/>
      <c r="B41" s="134" t="s">
        <v>149</v>
      </c>
      <c r="C41" s="15" t="s">
        <v>75</v>
      </c>
      <c r="D41" s="151">
        <v>10.96</v>
      </c>
      <c r="E41" s="171"/>
    </row>
    <row r="42" spans="1:5">
      <c r="B42" s="128" t="s">
        <v>77</v>
      </c>
      <c r="C42" s="15" t="s">
        <v>78</v>
      </c>
      <c r="D42" s="147">
        <f>PI()*(D35/24)^2</f>
        <v>0</v>
      </c>
      <c r="E42" s="171"/>
    </row>
    <row r="43" spans="1:5">
      <c r="B43" s="128" t="s">
        <v>79</v>
      </c>
      <c r="C43" s="15" t="s">
        <v>78</v>
      </c>
      <c r="D43" s="147">
        <f>PI()*(D36/24)^2</f>
        <v>0</v>
      </c>
      <c r="E43" s="171"/>
    </row>
    <row r="44" spans="1:5">
      <c r="B44" s="128"/>
      <c r="C44" s="15"/>
      <c r="D44" s="147"/>
      <c r="E44" s="171"/>
    </row>
    <row r="45" spans="1:5" ht="15.5">
      <c r="B45" s="133" t="s">
        <v>80</v>
      </c>
      <c r="C45" s="15"/>
      <c r="D45" s="147"/>
      <c r="E45" s="171"/>
    </row>
    <row r="46" spans="1:5">
      <c r="B46" s="135" t="s">
        <v>81</v>
      </c>
      <c r="C46" s="17" t="s">
        <v>82</v>
      </c>
      <c r="D46" s="153" t="e">
        <f ca="1">D29/(60*D42)</f>
        <v>#NAME?</v>
      </c>
      <c r="E46" s="177"/>
    </row>
    <row r="47" spans="1:5">
      <c r="B47" s="136" t="s">
        <v>83</v>
      </c>
      <c r="C47" s="15" t="s">
        <v>82</v>
      </c>
      <c r="D47" s="147" t="e">
        <f ca="1">D30/(D43*60)</f>
        <v>#NAME?</v>
      </c>
      <c r="E47" s="171"/>
    </row>
    <row r="48" spans="1:5">
      <c r="B48" s="185" t="s">
        <v>84</v>
      </c>
      <c r="C48" s="186" t="s">
        <v>85</v>
      </c>
      <c r="D48" s="187" t="e">
        <f ca="1">D26/D23/(60*D37)</f>
        <v>#NAME?</v>
      </c>
      <c r="E48" s="178"/>
    </row>
    <row r="49" spans="2:5">
      <c r="B49" s="135" t="s">
        <v>86</v>
      </c>
      <c r="C49" s="17" t="s">
        <v>82</v>
      </c>
      <c r="D49" s="153" t="e">
        <f ca="1">D30/(60*D40)</f>
        <v>#NAME?</v>
      </c>
      <c r="E49" s="177"/>
    </row>
    <row r="50" spans="2:5">
      <c r="B50" s="135" t="s">
        <v>87</v>
      </c>
      <c r="C50" s="17" t="s">
        <v>82</v>
      </c>
      <c r="D50" s="153" t="e">
        <f ca="1">D29/(60*D40)</f>
        <v>#NAME?</v>
      </c>
      <c r="E50" s="177"/>
    </row>
    <row r="51" spans="2:5">
      <c r="B51" s="135" t="s">
        <v>88</v>
      </c>
      <c r="C51" s="17" t="s">
        <v>82</v>
      </c>
      <c r="D51" s="153" t="e">
        <f ca="1">D29/(60*D41)</f>
        <v>#NAME?</v>
      </c>
      <c r="E51" s="177"/>
    </row>
    <row r="52" spans="2:5" ht="15" thickBot="1">
      <c r="B52" s="137" t="s">
        <v>89</v>
      </c>
      <c r="C52" s="18"/>
      <c r="D52" s="154" t="e">
        <f ca="1">D24*(D51*60)^2</f>
        <v>#NAME?</v>
      </c>
      <c r="E52" s="179"/>
    </row>
    <row r="53" spans="2:5" s="120" customFormat="1" ht="15.5">
      <c r="B53" s="138"/>
      <c r="C53" s="119"/>
      <c r="D53" s="155"/>
      <c r="E53" s="100"/>
    </row>
    <row r="54" spans="2:5">
      <c r="B54" s="131" t="s">
        <v>90</v>
      </c>
      <c r="C54" s="15" t="s">
        <v>91</v>
      </c>
      <c r="D54" s="156"/>
      <c r="E54" s="180"/>
    </row>
    <row r="55" spans="2:5" ht="18" customHeight="1">
      <c r="B55" s="128" t="s">
        <v>92</v>
      </c>
      <c r="C55" s="19" t="s">
        <v>65</v>
      </c>
      <c r="D55" s="150" t="e">
        <f ca="1">1035.97/D24^0.5</f>
        <v>#NAME?</v>
      </c>
      <c r="E55" s="100"/>
    </row>
    <row r="56" spans="2:5">
      <c r="B56" s="128" t="s">
        <v>103</v>
      </c>
      <c r="C56" s="17" t="s">
        <v>93</v>
      </c>
      <c r="D56" s="157" t="e">
        <f ca="1">1.78-0.00002*D52</f>
        <v>#NAME?</v>
      </c>
      <c r="E56" s="180"/>
    </row>
    <row r="57" spans="2:5">
      <c r="D57" s="181"/>
      <c r="E57" s="168"/>
    </row>
  </sheetData>
  <sheetProtection selectLockedCells="1"/>
  <mergeCells count="2">
    <mergeCell ref="A4:A11"/>
    <mergeCell ref="A33:A37"/>
  </mergeCells>
  <phoneticPr fontId="1" type="noConversion"/>
  <conditionalFormatting sqref="D55">
    <cfRule type="cellIs" dxfId="3" priority="5" operator="lessThan">
      <formula>$D$29</formula>
    </cfRule>
    <cfRule type="cellIs" dxfId="2" priority="8" operator="greaterThanOrEqual">
      <formula>$D$29</formula>
    </cfRule>
  </conditionalFormatting>
  <conditionalFormatting sqref="D56">
    <cfRule type="cellIs" dxfId="1" priority="6" operator="lessThan">
      <formula>$D$48</formula>
    </cfRule>
    <cfRule type="cellIs" dxfId="0" priority="7" operator="greaterThanOrEqual">
      <formula>$D$48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60FD-DCB5-46ED-B7F8-DAF3BCD67DF7}">
  <dimension ref="A2:V57"/>
  <sheetViews>
    <sheetView zoomScale="85" zoomScaleNormal="85" workbookViewId="0">
      <selection activeCell="C16" sqref="C16"/>
    </sheetView>
  </sheetViews>
  <sheetFormatPr defaultRowHeight="14.5"/>
  <cols>
    <col min="1" max="2" width="13.26953125" customWidth="1"/>
    <col min="3" max="3" width="15.453125" customWidth="1"/>
    <col min="4" max="4" width="20.54296875" customWidth="1"/>
    <col min="5" max="5" width="12.81640625" bestFit="1" customWidth="1"/>
    <col min="6" max="6" width="12.1796875" bestFit="1" customWidth="1"/>
    <col min="7" max="7" width="13.1796875" bestFit="1" customWidth="1"/>
    <col min="8" max="8" width="13.26953125" bestFit="1" customWidth="1"/>
    <col min="9" max="9" width="13.1796875" bestFit="1" customWidth="1"/>
    <col min="10" max="10" width="13" bestFit="1" customWidth="1"/>
    <col min="11" max="11" width="13.81640625" bestFit="1" customWidth="1"/>
    <col min="12" max="12" width="9.81640625" bestFit="1" customWidth="1"/>
    <col min="13" max="13" width="13.26953125" bestFit="1" customWidth="1"/>
    <col min="14" max="14" width="12.81640625" bestFit="1" customWidth="1"/>
    <col min="15" max="15" width="9.1796875" bestFit="1" customWidth="1"/>
    <col min="16" max="16" width="9.81640625" bestFit="1" customWidth="1"/>
    <col min="18" max="19" width="9.81640625" bestFit="1" customWidth="1"/>
  </cols>
  <sheetData>
    <row r="2" spans="2:22" ht="15" customHeight="1">
      <c r="B2" s="280" t="s">
        <v>0</v>
      </c>
      <c r="C2" s="282" t="s">
        <v>126</v>
      </c>
      <c r="D2" s="282"/>
      <c r="E2" s="282"/>
      <c r="F2" s="282"/>
      <c r="G2" s="282"/>
      <c r="H2" s="282"/>
      <c r="I2" s="280" t="s">
        <v>150</v>
      </c>
    </row>
    <row r="3" spans="2:22" ht="18" customHeight="1">
      <c r="B3" s="280"/>
      <c r="C3" s="283" t="s">
        <v>24</v>
      </c>
      <c r="D3" s="283"/>
      <c r="E3" s="283"/>
      <c r="F3" s="283" t="s">
        <v>25</v>
      </c>
      <c r="G3" s="283"/>
      <c r="H3" s="283"/>
      <c r="I3" s="280"/>
    </row>
    <row r="4" spans="2:22" ht="15" customHeight="1">
      <c r="B4" s="280"/>
      <c r="C4" s="194" t="s">
        <v>1</v>
      </c>
      <c r="D4" s="194" t="s">
        <v>2</v>
      </c>
      <c r="E4" s="194" t="s">
        <v>3</v>
      </c>
      <c r="F4" s="194" t="s">
        <v>1</v>
      </c>
      <c r="G4" s="194" t="s">
        <v>2</v>
      </c>
      <c r="H4" s="194" t="s">
        <v>3</v>
      </c>
      <c r="I4" s="280"/>
      <c r="S4">
        <v>2</v>
      </c>
      <c r="T4" t="s">
        <v>169</v>
      </c>
      <c r="U4">
        <v>3</v>
      </c>
      <c r="V4" t="s">
        <v>169</v>
      </c>
    </row>
    <row r="5" spans="2:22">
      <c r="B5" s="193" t="s">
        <v>156</v>
      </c>
      <c r="C5" s="191" t="s">
        <v>26</v>
      </c>
      <c r="D5" s="191" t="s">
        <v>26</v>
      </c>
      <c r="E5" s="193">
        <v>2066</v>
      </c>
      <c r="F5" s="191" t="s">
        <v>26</v>
      </c>
      <c r="G5" s="191" t="s">
        <v>26</v>
      </c>
      <c r="H5" s="193">
        <v>2597</v>
      </c>
      <c r="I5" s="192">
        <v>16</v>
      </c>
    </row>
    <row r="6" spans="2:22">
      <c r="B6" s="193" t="s">
        <v>157</v>
      </c>
      <c r="C6" s="191" t="s">
        <v>26</v>
      </c>
      <c r="D6" s="191" t="s">
        <v>26</v>
      </c>
      <c r="E6" s="193">
        <v>1953</v>
      </c>
      <c r="F6" s="191" t="s">
        <v>26</v>
      </c>
      <c r="G6" s="191" t="s">
        <v>26</v>
      </c>
      <c r="H6" s="193">
        <v>2503</v>
      </c>
      <c r="I6" s="192">
        <v>16</v>
      </c>
    </row>
    <row r="7" spans="2:22">
      <c r="B7" s="193" t="s">
        <v>158</v>
      </c>
      <c r="C7" s="191" t="s">
        <v>26</v>
      </c>
      <c r="D7" s="191" t="s">
        <v>26</v>
      </c>
      <c r="E7" s="193">
        <v>1843</v>
      </c>
      <c r="F7" s="191" t="s">
        <v>26</v>
      </c>
      <c r="G7" s="191" t="s">
        <v>26</v>
      </c>
      <c r="H7" s="193">
        <v>2400</v>
      </c>
      <c r="I7" s="192">
        <v>16</v>
      </c>
    </row>
    <row r="8" spans="2:22">
      <c r="B8" s="193" t="s">
        <v>159</v>
      </c>
      <c r="C8" s="193">
        <v>1918</v>
      </c>
      <c r="D8" s="193">
        <v>2066</v>
      </c>
      <c r="E8" s="191" t="s">
        <v>26</v>
      </c>
      <c r="F8" s="193">
        <v>2982</v>
      </c>
      <c r="G8" s="193">
        <v>2695</v>
      </c>
      <c r="H8" s="191" t="s">
        <v>26</v>
      </c>
      <c r="I8" s="192">
        <v>16</v>
      </c>
    </row>
    <row r="9" spans="2:22">
      <c r="B9" s="193" t="s">
        <v>160</v>
      </c>
      <c r="C9" s="193">
        <v>1821</v>
      </c>
      <c r="D9" s="193">
        <v>1953</v>
      </c>
      <c r="E9" s="191" t="s">
        <v>26</v>
      </c>
      <c r="F9" s="193">
        <v>2903</v>
      </c>
      <c r="G9" s="193">
        <v>2606</v>
      </c>
      <c r="H9" s="191" t="s">
        <v>26</v>
      </c>
      <c r="I9" s="192">
        <v>16</v>
      </c>
    </row>
    <row r="10" spans="2:22">
      <c r="B10" s="193" t="s">
        <v>161</v>
      </c>
      <c r="C10" s="193">
        <v>1733</v>
      </c>
      <c r="D10" s="193">
        <v>1843</v>
      </c>
      <c r="E10" s="191" t="s">
        <v>26</v>
      </c>
      <c r="F10" s="193">
        <v>2810</v>
      </c>
      <c r="G10" s="193">
        <v>2510</v>
      </c>
      <c r="H10" s="191" t="s">
        <v>26</v>
      </c>
      <c r="I10" s="192">
        <v>16</v>
      </c>
    </row>
    <row r="11" spans="2:22">
      <c r="B11" s="193" t="s">
        <v>162</v>
      </c>
      <c r="C11" s="191" t="s">
        <v>26</v>
      </c>
      <c r="D11" s="191" t="s">
        <v>26</v>
      </c>
      <c r="E11" s="193">
        <v>2283</v>
      </c>
      <c r="F11" s="191" t="s">
        <v>26</v>
      </c>
      <c r="G11" s="191" t="s">
        <v>26</v>
      </c>
      <c r="H11" s="193">
        <v>2645</v>
      </c>
      <c r="I11" s="192">
        <v>16</v>
      </c>
    </row>
    <row r="12" spans="2:22">
      <c r="B12" s="193" t="s">
        <v>163</v>
      </c>
      <c r="C12" s="191" t="s">
        <v>26</v>
      </c>
      <c r="D12" s="191" t="s">
        <v>26</v>
      </c>
      <c r="E12" s="193">
        <v>2173</v>
      </c>
      <c r="F12" s="191" t="s">
        <v>26</v>
      </c>
      <c r="G12" s="191" t="s">
        <v>26</v>
      </c>
      <c r="H12" s="193">
        <v>2552</v>
      </c>
      <c r="I12" s="192">
        <v>16</v>
      </c>
    </row>
    <row r="13" spans="2:22">
      <c r="B13" s="193" t="s">
        <v>164</v>
      </c>
      <c r="C13" s="191" t="s">
        <v>26</v>
      </c>
      <c r="D13" s="191" t="s">
        <v>26</v>
      </c>
      <c r="E13" s="193">
        <v>2061</v>
      </c>
      <c r="F13" s="191" t="s">
        <v>26</v>
      </c>
      <c r="G13" s="191" t="s">
        <v>26</v>
      </c>
      <c r="H13" s="193">
        <v>2452</v>
      </c>
      <c r="I13" s="192">
        <v>16</v>
      </c>
    </row>
    <row r="14" spans="2:22">
      <c r="B14" s="193" t="s">
        <v>165</v>
      </c>
      <c r="C14" s="193">
        <v>2089</v>
      </c>
      <c r="D14" s="193">
        <v>2283</v>
      </c>
      <c r="E14" s="191" t="s">
        <v>26</v>
      </c>
      <c r="F14" s="193">
        <v>2858</v>
      </c>
      <c r="G14" s="193">
        <v>2693</v>
      </c>
      <c r="H14" s="191" t="s">
        <v>26</v>
      </c>
      <c r="I14" s="192">
        <v>16</v>
      </c>
    </row>
    <row r="15" spans="2:22">
      <c r="B15" s="193" t="s">
        <v>166</v>
      </c>
      <c r="C15" s="193">
        <v>1996</v>
      </c>
      <c r="D15" s="193">
        <v>2173</v>
      </c>
      <c r="E15" s="191" t="s">
        <v>26</v>
      </c>
      <c r="F15" s="193">
        <v>2780</v>
      </c>
      <c r="G15" s="193">
        <v>2606</v>
      </c>
      <c r="H15" s="191" t="s">
        <v>26</v>
      </c>
      <c r="I15" s="192">
        <v>16</v>
      </c>
    </row>
    <row r="16" spans="2:22">
      <c r="B16" s="193" t="s">
        <v>167</v>
      </c>
      <c r="C16" s="193">
        <v>1898</v>
      </c>
      <c r="D16" s="193">
        <v>2061</v>
      </c>
      <c r="E16" s="191" t="s">
        <v>26</v>
      </c>
      <c r="F16" s="193">
        <v>2689</v>
      </c>
      <c r="G16" s="193">
        <v>2510</v>
      </c>
      <c r="H16" s="191" t="s">
        <v>26</v>
      </c>
      <c r="I16" s="192">
        <v>16</v>
      </c>
    </row>
    <row r="17" spans="1:9">
      <c r="B17" s="190"/>
      <c r="C17" s="190"/>
      <c r="D17" s="190"/>
      <c r="E17" s="190"/>
      <c r="F17" s="190"/>
      <c r="G17" s="190"/>
      <c r="H17" s="190"/>
      <c r="I17" s="190"/>
    </row>
    <row r="18" spans="1:9">
      <c r="B18" s="190"/>
      <c r="C18" s="190"/>
      <c r="D18" s="190"/>
      <c r="E18" s="190"/>
      <c r="F18" s="190"/>
      <c r="G18" s="190"/>
      <c r="H18" s="190"/>
      <c r="I18" s="190"/>
    </row>
    <row r="19" spans="1:9">
      <c r="B19" s="190"/>
      <c r="C19" s="190"/>
      <c r="D19" s="190"/>
      <c r="E19" s="190"/>
      <c r="F19" s="190"/>
      <c r="G19" s="190"/>
      <c r="H19" s="190"/>
      <c r="I19" s="190"/>
    </row>
    <row r="20" spans="1:9">
      <c r="B20" s="190"/>
      <c r="C20" s="190"/>
      <c r="D20" s="190"/>
      <c r="E20" s="190"/>
      <c r="F20" s="190"/>
      <c r="G20" s="190"/>
      <c r="H20" s="190"/>
      <c r="I20" s="190"/>
    </row>
    <row r="21" spans="1:9">
      <c r="B21" s="190"/>
      <c r="C21" s="190"/>
      <c r="D21" s="190"/>
      <c r="E21" s="190"/>
      <c r="F21" s="190"/>
      <c r="G21" s="190"/>
      <c r="H21" s="190"/>
      <c r="I21" s="190"/>
    </row>
    <row r="22" spans="1:9">
      <c r="B22" s="190"/>
      <c r="C22" s="190"/>
      <c r="D22" s="190"/>
      <c r="E22" s="190"/>
      <c r="F22" s="190"/>
      <c r="G22" s="190"/>
      <c r="H22" s="190"/>
      <c r="I22" s="190"/>
    </row>
    <row r="23" spans="1:9">
      <c r="B23" s="190"/>
      <c r="C23" s="190"/>
      <c r="D23" s="190"/>
      <c r="E23" s="190"/>
      <c r="F23" s="190"/>
      <c r="G23" s="190"/>
      <c r="H23" s="190"/>
      <c r="I23" s="190"/>
    </row>
    <row r="24" spans="1:9">
      <c r="B24" s="190"/>
      <c r="C24" s="190"/>
      <c r="D24" s="190"/>
      <c r="E24" s="190"/>
      <c r="F24" s="190"/>
      <c r="G24" s="190"/>
      <c r="H24" s="190"/>
      <c r="I24" s="190"/>
    </row>
    <row r="25" spans="1:9">
      <c r="B25" s="190"/>
      <c r="C25" s="190"/>
      <c r="D25" s="190"/>
      <c r="E25" s="190"/>
      <c r="F25" s="190"/>
      <c r="G25" s="190"/>
      <c r="H25" s="190"/>
      <c r="I25" s="190"/>
    </row>
    <row r="26" spans="1:9">
      <c r="B26" s="190"/>
      <c r="C26" s="190"/>
      <c r="D26" s="190"/>
      <c r="E26" s="190"/>
      <c r="F26" s="190"/>
      <c r="G26" s="190"/>
      <c r="H26" s="190"/>
      <c r="I26" s="190"/>
    </row>
    <row r="27" spans="1:9" ht="15" customHeight="1"/>
    <row r="28" spans="1:9" ht="51" customHeight="1" thickBot="1">
      <c r="A28" s="80"/>
      <c r="B28" s="80"/>
      <c r="C28" s="80"/>
      <c r="D28" s="80"/>
      <c r="E28" s="80"/>
      <c r="F28" s="80"/>
      <c r="G28" s="80"/>
      <c r="H28" s="80"/>
    </row>
    <row r="29" spans="1:9">
      <c r="A29" s="281"/>
      <c r="B29" s="284" t="s">
        <v>143</v>
      </c>
      <c r="C29" s="195" t="s">
        <v>24</v>
      </c>
      <c r="D29" s="196" t="s">
        <v>25</v>
      </c>
      <c r="E29" s="80"/>
    </row>
    <row r="30" spans="1:9" ht="14.25" customHeight="1">
      <c r="A30" s="281"/>
      <c r="B30" s="285"/>
      <c r="C30" s="4">
        <v>16</v>
      </c>
      <c r="D30" s="7">
        <v>16</v>
      </c>
      <c r="E30" s="80"/>
      <c r="F30" s="80"/>
      <c r="G30" s="80"/>
      <c r="H30" s="80"/>
    </row>
    <row r="31" spans="1:9" ht="14.25" customHeight="1">
      <c r="A31" s="3"/>
      <c r="B31" s="189" t="s">
        <v>4</v>
      </c>
      <c r="C31" s="5">
        <v>-1.6508999999999999E-6</v>
      </c>
      <c r="D31" s="76">
        <v>1.3156000000000001E-5</v>
      </c>
      <c r="E31" s="80"/>
    </row>
    <row r="32" spans="1:9" ht="14.25" customHeight="1">
      <c r="A32" s="3"/>
      <c r="B32" s="189" t="s">
        <v>5</v>
      </c>
      <c r="C32" s="5">
        <v>2.1081999999999999E-4</v>
      </c>
      <c r="D32" s="76">
        <v>-9.0030999999999998E-4</v>
      </c>
      <c r="E32" s="80"/>
      <c r="F32" s="80"/>
    </row>
    <row r="33" spans="1:9" ht="15" customHeight="1">
      <c r="A33" s="3"/>
      <c r="B33" s="189" t="s">
        <v>6</v>
      </c>
      <c r="C33" s="5">
        <v>-9.1856000000000004E-3</v>
      </c>
      <c r="D33" s="76">
        <v>2.5717E-2</v>
      </c>
      <c r="E33" s="80"/>
      <c r="F33" s="80"/>
    </row>
    <row r="34" spans="1:9" ht="15" thickBot="1">
      <c r="A34" s="79"/>
      <c r="B34" s="197" t="s">
        <v>170</v>
      </c>
      <c r="C34" s="198">
        <v>1.0724</v>
      </c>
      <c r="D34" s="199">
        <v>0.81969999999999998</v>
      </c>
      <c r="E34" s="80"/>
      <c r="F34" s="80"/>
      <c r="G34" s="77"/>
      <c r="H34" s="77"/>
    </row>
    <row r="35" spans="1:9" ht="15.75" customHeight="1">
      <c r="A35" s="81"/>
      <c r="B35" s="81"/>
      <c r="C35" s="81"/>
      <c r="D35" s="81"/>
      <c r="E35" s="81"/>
      <c r="F35" s="81"/>
      <c r="G35" s="81"/>
      <c r="H35" s="78"/>
    </row>
    <row r="36" spans="1:9" ht="14.25" customHeight="1"/>
    <row r="37" spans="1:9" ht="27" customHeight="1">
      <c r="G37" s="2"/>
      <c r="H37" s="8"/>
      <c r="I37" s="8"/>
    </row>
    <row r="38" spans="1:9" ht="15" thickBot="1">
      <c r="C38" s="61"/>
      <c r="D38" s="2"/>
      <c r="E38" s="2"/>
    </row>
    <row r="39" spans="1:9">
      <c r="B39" s="62" t="s">
        <v>11</v>
      </c>
      <c r="C39" s="63"/>
      <c r="D39" s="9" t="s">
        <v>24</v>
      </c>
      <c r="E39" s="10" t="s">
        <v>25</v>
      </c>
    </row>
    <row r="40" spans="1:9">
      <c r="B40" s="278" t="s">
        <v>8</v>
      </c>
      <c r="C40" s="1" t="s">
        <v>128</v>
      </c>
      <c r="D40" s="69">
        <f>-5.9396*10^(-10)</f>
        <v>-5.9396000000000009E-10</v>
      </c>
      <c r="E40" s="71">
        <f>-2.0099*10^(-9)</f>
        <v>-2.0099000000000003E-9</v>
      </c>
    </row>
    <row r="41" spans="1:9">
      <c r="B41" s="278"/>
      <c r="C41" s="1" t="s">
        <v>129</v>
      </c>
      <c r="D41" s="69">
        <f>-1.3615*10^(-7)</f>
        <v>-1.3614999999999998E-7</v>
      </c>
      <c r="E41" s="71">
        <f>1.123*10^(-7)</f>
        <v>1.1229999999999999E-7</v>
      </c>
    </row>
    <row r="42" spans="1:9">
      <c r="B42" s="278"/>
      <c r="C42" s="1" t="s">
        <v>130</v>
      </c>
      <c r="D42" s="69">
        <f>8.9202*10^(-5)</f>
        <v>8.9202000000000004E-5</v>
      </c>
      <c r="E42" s="71">
        <f>7.021*10^(-5)</f>
        <v>7.0210000000000007E-5</v>
      </c>
    </row>
    <row r="43" spans="1:9">
      <c r="B43" s="278" t="s">
        <v>9</v>
      </c>
      <c r="C43" s="1" t="s">
        <v>131</v>
      </c>
      <c r="D43" s="69">
        <f>-2.5359*10^(-8)</f>
        <v>-2.5358999999999999E-8</v>
      </c>
      <c r="E43" s="71">
        <f>6.8044*10^(-8)</f>
        <v>6.804400000000001E-8</v>
      </c>
    </row>
    <row r="44" spans="1:9">
      <c r="B44" s="278"/>
      <c r="C44" s="1" t="s">
        <v>132</v>
      </c>
      <c r="D44" s="69">
        <f>-4.0841*10^(-5)</f>
        <v>-4.0841000000000004E-5</v>
      </c>
      <c r="E44" s="71">
        <f>-4.9788*10^(-5)</f>
        <v>-4.9787999999999998E-5</v>
      </c>
    </row>
    <row r="45" spans="1:9">
      <c r="B45" s="278"/>
      <c r="C45" s="1" t="s">
        <v>133</v>
      </c>
      <c r="D45" s="69">
        <f>1.2396*10^(-2)</f>
        <v>1.2396000000000001E-2</v>
      </c>
      <c r="E45" s="71">
        <f>1.2676*10^(-2)</f>
        <v>1.2676000000000002E-2</v>
      </c>
    </row>
    <row r="46" spans="1:9">
      <c r="B46" s="278" t="s">
        <v>10</v>
      </c>
      <c r="C46" s="1" t="s">
        <v>134</v>
      </c>
      <c r="D46" s="69">
        <f>-2.0477*10^(-6)</f>
        <v>-2.0476999999999999E-6</v>
      </c>
      <c r="E46" s="71">
        <f>-3.5061*10^(-6)</f>
        <v>-3.5060999999999998E-6</v>
      </c>
    </row>
    <row r="47" spans="1:9">
      <c r="B47" s="278"/>
      <c r="C47" s="1" t="s">
        <v>135</v>
      </c>
      <c r="D47" s="69">
        <f>-2.1093*10^(-3)</f>
        <v>-2.1093000000000002E-3</v>
      </c>
      <c r="E47" s="71">
        <f>-1.8123*10^(-3)</f>
        <v>-1.8123E-3</v>
      </c>
    </row>
    <row r="48" spans="1:9" ht="15" thickBot="1">
      <c r="B48" s="279"/>
      <c r="C48" s="6" t="s">
        <v>136</v>
      </c>
      <c r="D48" s="70">
        <f>6.4294*10^(-1)</f>
        <v>0.64294000000000007</v>
      </c>
      <c r="E48" s="72">
        <f>6.4005*10^(-1)</f>
        <v>0.64005000000000001</v>
      </c>
    </row>
    <row r="55" spans="1:4">
      <c r="A55" s="101"/>
      <c r="B55" s="101"/>
      <c r="C55" s="102"/>
      <c r="D55" s="103"/>
    </row>
    <row r="56" spans="1:4">
      <c r="A56" s="101"/>
      <c r="B56" s="101"/>
      <c r="C56" s="102"/>
      <c r="D56" s="103"/>
    </row>
    <row r="57" spans="1:4">
      <c r="A57" s="78"/>
      <c r="B57" s="78"/>
      <c r="C57" s="78"/>
      <c r="D57" s="78"/>
    </row>
  </sheetData>
  <sheetProtection selectLockedCells="1"/>
  <mergeCells count="10">
    <mergeCell ref="B40:B42"/>
    <mergeCell ref="B43:B45"/>
    <mergeCell ref="B46:B48"/>
    <mergeCell ref="I2:I4"/>
    <mergeCell ref="A29:A30"/>
    <mergeCell ref="B2:B4"/>
    <mergeCell ref="C2:H2"/>
    <mergeCell ref="C3:E3"/>
    <mergeCell ref="F3:H3"/>
    <mergeCell ref="B29:B30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19XR6 FrB cooler  Check</vt:lpstr>
      <vt:lpstr>Category</vt:lpstr>
      <vt:lpstr>19XR6 Fr B_Evap</vt:lpstr>
      <vt:lpstr>19XR7_Econ</vt:lpstr>
      <vt:lpstr>EDR Database-Fr B cooler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Rui</dc:creator>
  <cp:lastModifiedBy>Wang, Mingyu</cp:lastModifiedBy>
  <dcterms:created xsi:type="dcterms:W3CDTF">2015-06-05T18:17:20Z</dcterms:created>
  <dcterms:modified xsi:type="dcterms:W3CDTF">2023-04-10T02:01:20Z</dcterms:modified>
</cp:coreProperties>
</file>