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xr:revisionPtr revIDLastSave="0" documentId="8_{E41862B6-6F87-4855-BCBD-AB01CCE2339D}" xr6:coauthVersionLast="47" xr6:coauthVersionMax="47" xr10:uidLastSave="{00000000-0000-0000-0000-000000000000}"/>
  <bookViews>
    <workbookView xWindow="380" yWindow="380" windowWidth="20200" windowHeight="16460" tabRatio="601" xr2:uid="{00000000-000D-0000-FFFF-FFFF00000000}"/>
  </bookViews>
  <sheets>
    <sheet name="19XRC Low Lift Eco&amp;Cooler Check" sheetId="5" r:id="rId1"/>
    <sheet name="Category" sheetId="12" r:id="rId2"/>
    <sheet name="19XRC_Evap" sheetId="2" r:id="rId3"/>
    <sheet name="19XRC_Econ" sheetId="11" r:id="rId4"/>
    <sheet name="EDR Database-XRC" sheetId="10" r:id="rId5"/>
  </sheets>
  <externalReferences>
    <externalReference r:id="rId6"/>
    <externalReference r:id="rId7"/>
    <externalReference r:id="rId8"/>
  </externalReferences>
  <definedNames>
    <definedName name="_Hlk486942333" localSheetId="4">'EDR Database-XRC'!#REF!</definedName>
    <definedName name="anscount" hidden="1">3</definedName>
    <definedName name="category">#REF!</definedName>
    <definedName name="LASTX">OFFSET('[1]VS PL Map (2D-interplation)'!XEV3,,COUNT('[1]VS PL Map (2D-interplation)'!XEW3:XEU3))</definedName>
    <definedName name="LASTY">OFFSET('[1]VS PL Map (2D-interplation)'!XEV3,COUNT('[1]VS PL Map (2D-interplation)'!XEV4:XEV1048572),)</definedName>
    <definedName name="Priority">#REF!</definedName>
    <definedName name="Project">[2]PDCA!$N$2:$N$5</definedName>
    <definedName name="Status">#REF!</definedName>
    <definedName name="Unit">[2]PDCA!$O$2:$O$14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2" i="10" l="1"/>
  <c r="H62" i="10"/>
  <c r="I61" i="10"/>
  <c r="H61" i="10"/>
  <c r="I60" i="10"/>
  <c r="D23" i="2" s="1"/>
  <c r="D26" i="2" s="1"/>
  <c r="H60" i="10"/>
  <c r="I59" i="10"/>
  <c r="H59" i="10"/>
  <c r="I58" i="10"/>
  <c r="H58" i="10"/>
  <c r="I57" i="10"/>
  <c r="H57" i="10"/>
  <c r="I56" i="10"/>
  <c r="H56" i="10"/>
  <c r="I55" i="10"/>
  <c r="H55" i="10"/>
  <c r="I54" i="10"/>
  <c r="H54" i="10"/>
  <c r="N51" i="10"/>
  <c r="M51" i="10"/>
  <c r="K51" i="10"/>
  <c r="G51" i="10"/>
  <c r="N50" i="10"/>
  <c r="M50" i="10"/>
  <c r="K50" i="10"/>
  <c r="J50" i="10"/>
  <c r="H50" i="10"/>
  <c r="G50" i="10"/>
  <c r="H33" i="10"/>
  <c r="G33" i="10"/>
  <c r="F33" i="10"/>
  <c r="E33" i="10"/>
  <c r="D33" i="10"/>
  <c r="C33" i="10"/>
  <c r="H32" i="10"/>
  <c r="G32" i="10"/>
  <c r="F32" i="10"/>
  <c r="E32" i="10"/>
  <c r="D32" i="10"/>
  <c r="C32" i="10"/>
  <c r="H31" i="10"/>
  <c r="G31" i="10"/>
  <c r="F31" i="10"/>
  <c r="E31" i="10"/>
  <c r="D31" i="10"/>
  <c r="C31" i="10"/>
  <c r="D43" i="11"/>
  <c r="D42" i="11"/>
  <c r="D33" i="11"/>
  <c r="D40" i="11" s="1"/>
  <c r="D24" i="11" a="1"/>
  <c r="D24" i="11" s="1"/>
  <c r="D23" i="11" a="1"/>
  <c r="D23" i="11" s="1"/>
  <c r="D20" i="11" a="1"/>
  <c r="D20" i="11" s="1"/>
  <c r="D19" i="11" a="1"/>
  <c r="D19" i="11" s="1"/>
  <c r="D18" i="11" a="1"/>
  <c r="D18" i="11" s="1"/>
  <c r="D17" i="11" a="1"/>
  <c r="D17" i="11" s="1"/>
  <c r="D16" i="11" a="1"/>
  <c r="D16" i="11" s="1"/>
  <c r="D14" i="11"/>
  <c r="D12" i="11"/>
  <c r="D11" i="11"/>
  <c r="D10" i="11"/>
  <c r="D9" i="11"/>
  <c r="D8" i="11"/>
  <c r="D7" i="11"/>
  <c r="D6" i="11"/>
  <c r="D5" i="11"/>
  <c r="D25" i="2"/>
  <c r="D24" i="2"/>
  <c r="D21" i="2"/>
  <c r="D19" i="2"/>
  <c r="D17" i="2"/>
  <c r="D16" i="2"/>
  <c r="D15" i="2"/>
  <c r="D18" i="2" s="1"/>
  <c r="D11" i="2"/>
  <c r="D10" i="2"/>
  <c r="D9" i="2"/>
  <c r="D8" i="2"/>
  <c r="D12" i="2" s="1"/>
  <c r="D7" i="2"/>
  <c r="D20" i="2" s="1"/>
  <c r="D22" i="2" s="1"/>
  <c r="D6" i="2"/>
  <c r="D14" i="2" s="1"/>
  <c r="D4" i="2"/>
  <c r="D5" i="2" s="1"/>
  <c r="D3" i="2"/>
  <c r="C19" i="5"/>
  <c r="C16" i="5"/>
  <c r="D26" i="11" l="1"/>
  <c r="D48" i="11" s="1"/>
  <c r="C27" i="5" s="1"/>
  <c r="D28" i="11"/>
  <c r="D30" i="11" s="1"/>
  <c r="D27" i="2"/>
  <c r="D28" i="2"/>
  <c r="D29" i="2"/>
  <c r="D21" i="11"/>
  <c r="D27" i="11" s="1"/>
  <c r="D29" i="11" s="1"/>
  <c r="D22" i="11"/>
  <c r="D25" i="11" s="1"/>
  <c r="D30" i="2"/>
  <c r="D51" i="11" l="1"/>
  <c r="D52" i="11" s="1"/>
  <c r="C26" i="5"/>
  <c r="C28" i="5" s="1"/>
  <c r="D50" i="11"/>
  <c r="D46" i="11"/>
  <c r="D31" i="2"/>
  <c r="D32" i="2" s="1"/>
  <c r="C22" i="5" s="1"/>
  <c r="C30" i="5" s="1"/>
  <c r="D49" i="11"/>
  <c r="D47" i="11"/>
  <c r="D57" i="11" l="1"/>
  <c r="C21" i="5" s="1"/>
  <c r="D56" i="11"/>
  <c r="C20" i="5" s="1"/>
  <c r="C29" i="5" s="1"/>
  <c r="C31" i="5" s="1"/>
  <c r="C3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<sst xmlns="http://schemas.openxmlformats.org/spreadsheetml/2006/main" count="388" uniqueCount="207">
  <si>
    <t>Cooler Frame</t>
  </si>
  <si>
    <t>1 pass</t>
  </si>
  <si>
    <t>2 pass</t>
  </si>
  <si>
    <t>3 pass</t>
  </si>
  <si>
    <t>A1</t>
  </si>
  <si>
    <t>A2</t>
  </si>
  <si>
    <t>A3</t>
  </si>
  <si>
    <t>Baseline Capacity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</si>
  <si>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</si>
  <si>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</si>
  <si>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</si>
  <si>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Lift Multiplier</t>
    <phoneticPr fontId="1" type="noConversion"/>
  </si>
  <si>
    <t>Case Name</t>
    <phoneticPr fontId="1" type="noConversion"/>
  </si>
  <si>
    <t>Cooler Size</t>
    <phoneticPr fontId="1" type="noConversion"/>
  </si>
  <si>
    <t>Cooler Passes</t>
    <phoneticPr fontId="1" type="noConversion"/>
  </si>
  <si>
    <t>Cooler Nozzle Arrangement</t>
    <phoneticPr fontId="1" type="noConversion"/>
  </si>
  <si>
    <t>F</t>
  </si>
  <si>
    <t>Cooler Entering Temperature</t>
    <phoneticPr fontId="1" type="noConversion"/>
  </si>
  <si>
    <t>F</t>
    <phoneticPr fontId="1" type="noConversion"/>
  </si>
  <si>
    <t>Rise Multiplier</t>
    <phoneticPr fontId="1" type="noConversion"/>
  </si>
  <si>
    <r>
      <t>Cooler Saturation Temperature(</t>
    </r>
    <r>
      <rPr>
        <i/>
        <sz val="10"/>
        <color theme="1"/>
        <rFont val="Arial Unicode MS"/>
        <family val="2"/>
        <charset val="134"/>
      </rPr>
      <t>T</t>
    </r>
    <r>
      <rPr>
        <i/>
        <vertAlign val="subscript"/>
        <sz val="10"/>
        <color theme="1"/>
        <rFont val="Arial Unicode MS"/>
        <family val="2"/>
        <charset val="134"/>
      </rPr>
      <t>sat,clr</t>
    </r>
    <r>
      <rPr>
        <sz val="10"/>
        <color theme="1"/>
        <rFont val="Arial Unicode MS"/>
        <family val="2"/>
        <charset val="134"/>
      </rPr>
      <t>)</t>
    </r>
    <phoneticPr fontId="1" type="noConversion"/>
  </si>
  <si>
    <r>
      <t>Economizer Saturation Temperature(</t>
    </r>
    <r>
      <rPr>
        <i/>
        <sz val="10"/>
        <color theme="1"/>
        <rFont val="Arial Unicode MS"/>
        <family val="2"/>
        <charset val="134"/>
      </rPr>
      <t>T</t>
    </r>
    <r>
      <rPr>
        <i/>
        <vertAlign val="subscript"/>
        <sz val="10"/>
        <color theme="1"/>
        <rFont val="Arial Unicode MS"/>
        <family val="2"/>
        <charset val="134"/>
      </rPr>
      <t>sat,eco</t>
    </r>
    <r>
      <rPr>
        <sz val="10"/>
        <color theme="1"/>
        <rFont val="Arial Unicode MS"/>
        <family val="2"/>
        <charset val="134"/>
      </rPr>
      <t>)</t>
    </r>
    <phoneticPr fontId="1" type="noConversion"/>
  </si>
  <si>
    <t>Chiller Capacity</t>
    <phoneticPr fontId="1" type="noConversion"/>
  </si>
  <si>
    <t>Ton</t>
  </si>
  <si>
    <t>Compressor End</t>
    <phoneticPr fontId="1" type="noConversion"/>
  </si>
  <si>
    <t>Drive End</t>
    <phoneticPr fontId="1" type="noConversion"/>
  </si>
  <si>
    <t>N/A</t>
    <phoneticPr fontId="1" type="noConversion"/>
  </si>
  <si>
    <t>Ton</t>
    <phoneticPr fontId="1" type="noConversion"/>
  </si>
  <si>
    <t>Input_E-cat report</t>
    <phoneticPr fontId="1" type="noConversion"/>
  </si>
  <si>
    <t>18inch Economizer</t>
    <phoneticPr fontId="9" type="noConversion"/>
  </si>
  <si>
    <t>PARAMETER</t>
  </si>
  <si>
    <t>Cooler:14/20
Condenser: 32/37</t>
    <phoneticPr fontId="9" type="noConversion"/>
  </si>
  <si>
    <t>INPUT</t>
    <phoneticPr fontId="9" type="noConversion"/>
  </si>
  <si>
    <t>Refrigerant</t>
    <phoneticPr fontId="9" type="noConversion"/>
  </si>
  <si>
    <t>R134a</t>
  </si>
  <si>
    <t>Capacity</t>
    <phoneticPr fontId="9" type="noConversion"/>
  </si>
  <si>
    <t>tons</t>
    <phoneticPr fontId="9" type="noConversion"/>
  </si>
  <si>
    <t>Flasc SaturationTemperature</t>
    <phoneticPr fontId="9" type="noConversion"/>
  </si>
  <si>
    <t>F</t>
    <phoneticPr fontId="9" type="noConversion"/>
  </si>
  <si>
    <t>Economizer Saturation Temperature</t>
    <phoneticPr fontId="9" type="noConversion"/>
  </si>
  <si>
    <t>Cooler Saturation Temperature</t>
    <phoneticPr fontId="9" type="noConversion"/>
  </si>
  <si>
    <t>Condenser Saturation Temperature</t>
  </si>
  <si>
    <t>Discharge Super Heat</t>
  </si>
  <si>
    <t>R</t>
  </si>
  <si>
    <t>Evaporator LTD</t>
  </si>
  <si>
    <t>System Lift</t>
  </si>
  <si>
    <t>Constant</t>
  </si>
  <si>
    <t>Acceleration of Gravity</t>
  </si>
  <si>
    <t>ft/sec^2</t>
    <phoneticPr fontId="9" type="noConversion"/>
  </si>
  <si>
    <t>OUTPUT</t>
  </si>
  <si>
    <t>Cooler Saturation vapor Enthalpy h</t>
  </si>
  <si>
    <t>Btu/lbm</t>
    <phoneticPr fontId="9" type="noConversion"/>
  </si>
  <si>
    <t>Cooler SaturationLiquid Enthalpy h</t>
  </si>
  <si>
    <t>Flasc Saturation Liquid Enthalpy  h5</t>
    <phoneticPr fontId="9" type="noConversion"/>
  </si>
  <si>
    <t>Economizer Saturation Liquid Enthalpy h6</t>
  </si>
  <si>
    <t>Economizer Saturation Vapor Enthalpy h7</t>
    <phoneticPr fontId="9" type="noConversion"/>
  </si>
  <si>
    <t>Economizer Vapor quality</t>
  </si>
  <si>
    <t>Economizer Saturation Liquid Density</t>
    <phoneticPr fontId="9" type="noConversion"/>
  </si>
  <si>
    <t>lbm/ft^3</t>
    <phoneticPr fontId="9" type="noConversion"/>
  </si>
  <si>
    <t>Economizer Saturation Vapor Density</t>
    <phoneticPr fontId="9" type="noConversion"/>
  </si>
  <si>
    <t>Economizer Mixture Density</t>
  </si>
  <si>
    <t>1st stage Mass Flow Rate</t>
  </si>
  <si>
    <t>lb/min</t>
    <phoneticPr fontId="9" type="noConversion"/>
  </si>
  <si>
    <t>Econ Vapor Mass Flow Rate</t>
  </si>
  <si>
    <t>Econ Liquid Mass Flow Rate</t>
  </si>
  <si>
    <t>Economizer Vapor Volume Flow Rate</t>
  </si>
  <si>
    <t>ft^3/min</t>
  </si>
  <si>
    <t>Economizer Liquid Volume Flow Rate</t>
  </si>
  <si>
    <t>ft^3/min</t>
    <phoneticPr fontId="9" type="noConversion"/>
  </si>
  <si>
    <t>Assume</t>
  </si>
  <si>
    <t xml:space="preserve">Shell ID </t>
    <phoneticPr fontId="9" type="noConversion"/>
  </si>
  <si>
    <t>in</t>
    <phoneticPr fontId="9" type="noConversion"/>
  </si>
  <si>
    <t xml:space="preserve">Shell Length </t>
    <phoneticPr fontId="9" type="noConversion"/>
  </si>
  <si>
    <t xml:space="preserve">d_ 2nd stg Vapor </t>
    <phoneticPr fontId="9" type="noConversion"/>
  </si>
  <si>
    <t xml:space="preserve">d_ Econ. Liquid </t>
    <phoneticPr fontId="9" type="noConversion"/>
  </si>
  <si>
    <t xml:space="preserve">A_EyeHole </t>
    <phoneticPr fontId="9" type="noConversion"/>
  </si>
  <si>
    <t>ft^2</t>
  </si>
  <si>
    <t>Calculation</t>
  </si>
  <si>
    <t xml:space="preserve">A_ 2nd stg Vapor </t>
    <phoneticPr fontId="9" type="noConversion"/>
  </si>
  <si>
    <t>ft^2</t>
    <phoneticPr fontId="9" type="noConversion"/>
  </si>
  <si>
    <t xml:space="preserve">A_ Econ. Liquid </t>
    <phoneticPr fontId="11" type="noConversion"/>
  </si>
  <si>
    <t>Check</t>
  </si>
  <si>
    <t>V_ 2nd stg Vapor</t>
    <phoneticPr fontId="9" type="noConversion"/>
  </si>
  <si>
    <t>ft/s</t>
  </si>
  <si>
    <t xml:space="preserve">V_ Econ. Liquid </t>
    <phoneticPr fontId="9" type="noConversion"/>
  </si>
  <si>
    <t>V_EyeHole.Liquid   m1st</t>
    <phoneticPr fontId="9" type="noConversion"/>
  </si>
  <si>
    <t>ft/s</t>
    <phoneticPr fontId="9" type="noConversion"/>
  </si>
  <si>
    <t xml:space="preserve">V_Liquid_Econ_H </t>
    <phoneticPr fontId="9" type="noConversion"/>
  </si>
  <si>
    <t xml:space="preserve">V_Vapor_Econ_H </t>
    <phoneticPr fontId="9" type="noConversion"/>
  </si>
  <si>
    <t xml:space="preserve">V_Vapor_Econ_V </t>
    <phoneticPr fontId="9" type="noConversion"/>
  </si>
  <si>
    <t>ρv^2 (Vapor)&lt;***</t>
    <phoneticPr fontId="9" type="noConversion"/>
  </si>
  <si>
    <t>Lliquid carry over</t>
  </si>
  <si>
    <t>%</t>
  </si>
  <si>
    <t>Vapor Limit(EDR)</t>
    <phoneticPr fontId="9" type="noConversion"/>
  </si>
  <si>
    <t>ft/s</t>
    <phoneticPr fontId="1" type="noConversion"/>
  </si>
  <si>
    <t>Output_Cooler Limit Tons</t>
    <phoneticPr fontId="1" type="noConversion"/>
  </si>
  <si>
    <t>Cooler Limit Tons</t>
    <phoneticPr fontId="1" type="noConversion"/>
  </si>
  <si>
    <t>Comments:</t>
    <phoneticPr fontId="1" type="noConversion"/>
  </si>
  <si>
    <t>Cooler Leaving Temperature</t>
    <phoneticPr fontId="1" type="noConversion"/>
  </si>
  <si>
    <t>Pass</t>
    <phoneticPr fontId="1" type="noConversion"/>
  </si>
  <si>
    <t>ETO Economizer Float Valve Size</t>
    <phoneticPr fontId="1" type="noConversion"/>
  </si>
  <si>
    <t xml:space="preserve">EDR Limit </t>
    <phoneticPr fontId="9" type="noConversion"/>
  </si>
  <si>
    <t>Check</t>
    <phoneticPr fontId="9" type="noConversion"/>
  </si>
  <si>
    <r>
      <t>V_EyeHole.Liquid   m</t>
    </r>
    <r>
      <rPr>
        <vertAlign val="subscript"/>
        <sz val="10"/>
        <rFont val="Arial"/>
        <family val="2"/>
      </rPr>
      <t>1st</t>
    </r>
    <phoneticPr fontId="9" type="noConversion"/>
  </si>
  <si>
    <t>Liquid Limit(EDR)</t>
    <phoneticPr fontId="9" type="noConversion"/>
  </si>
  <si>
    <t>Cooler Limit check</t>
    <phoneticPr fontId="1" type="noConversion"/>
  </si>
  <si>
    <t>Result</t>
    <phoneticPr fontId="1" type="noConversion"/>
  </si>
  <si>
    <t>Failed</t>
    <phoneticPr fontId="1" type="noConversion"/>
  </si>
  <si>
    <t>OK</t>
    <phoneticPr fontId="1" type="noConversion"/>
  </si>
  <si>
    <t>NO</t>
    <phoneticPr fontId="1" type="noConversion"/>
  </si>
  <si>
    <t>Refrigerator Dryness</t>
    <phoneticPr fontId="1" type="noConversion"/>
  </si>
  <si>
    <t>该区域值来自E-Cat报告（Ignore LCO)</t>
    <phoneticPr fontId="1" type="noConversion"/>
  </si>
  <si>
    <t>注释</t>
    <phoneticPr fontId="1" type="noConversion"/>
  </si>
  <si>
    <t>结论:</t>
    <phoneticPr fontId="9" type="noConversion"/>
  </si>
  <si>
    <t>#此值根据E-Cat报告进行输入</t>
    <phoneticPr fontId="9" type="noConversion"/>
  </si>
  <si>
    <t>#此值根据E-Cat报告进行选择</t>
    <phoneticPr fontId="9" type="noConversion"/>
  </si>
  <si>
    <t>#此值根据ETO选型进行选择,代号含义见Comments</t>
    <phoneticPr fontId="9" type="noConversion"/>
  </si>
  <si>
    <t>#EDR中经济器气体体积流量限制值</t>
    <phoneticPr fontId="9" type="noConversion"/>
  </si>
  <si>
    <t>#EDR中经济器眼睛口液体流速限制值</t>
    <phoneticPr fontId="9" type="noConversion"/>
  </si>
  <si>
    <t>#E-Cat选型中，经济器气体体积流量</t>
    <phoneticPr fontId="9" type="noConversion"/>
  </si>
  <si>
    <t>#E-Cat选型中，经济器眼睛口液体流速</t>
    <phoneticPr fontId="9" type="noConversion"/>
  </si>
  <si>
    <t>E-Cat 选型符合EDR的限制</t>
    <phoneticPr fontId="1" type="noConversion"/>
  </si>
  <si>
    <t>#判断E-Cat选型中经济器的气体体积流量是否满足EDR限制</t>
    <phoneticPr fontId="9" type="noConversion"/>
  </si>
  <si>
    <t>#判断E-Cat选型中蒸发器的Limit Tons是否满足EDR限制</t>
    <phoneticPr fontId="9" type="noConversion"/>
  </si>
  <si>
    <t>#判断E-Cat选型中经济器和蒸发器的Limit Tons是否均满足EDR限制</t>
    <phoneticPr fontId="9" type="noConversion"/>
  </si>
  <si>
    <t>E-Cat 选型工况同时满足EDR中经济器和蒸发器的限制</t>
    <phoneticPr fontId="1" type="noConversion"/>
  </si>
  <si>
    <t>E-Cat 选型工况不满足EDR中经济器和蒸发器的限制中的任一项</t>
    <phoneticPr fontId="1" type="noConversion"/>
  </si>
  <si>
    <t>Drive End</t>
  </si>
  <si>
    <t>Baseline Capacity (Ton)</t>
  </si>
  <si>
    <t>7K</t>
  </si>
  <si>
    <t>7L</t>
  </si>
  <si>
    <t>7M</t>
  </si>
  <si>
    <t>7P</t>
  </si>
  <si>
    <t>7Q</t>
  </si>
  <si>
    <t>7R</t>
  </si>
  <si>
    <t>7T</t>
  </si>
  <si>
    <t>7U</t>
  </si>
  <si>
    <t>7V</t>
  </si>
  <si>
    <t>7X</t>
  </si>
  <si>
    <t>7Y</t>
  </si>
  <si>
    <t>7Z</t>
  </si>
  <si>
    <t>D</t>
  </si>
  <si>
    <t>Lift Multiplier</t>
    <phoneticPr fontId="1" type="noConversion"/>
  </si>
  <si>
    <t>C1</t>
    <phoneticPr fontId="1" type="noConversion"/>
  </si>
  <si>
    <t>1.3245*10^(-2)</t>
  </si>
  <si>
    <t>C2</t>
    <phoneticPr fontId="1" type="noConversion"/>
  </si>
  <si>
    <t>6.8701*10^(-1)</t>
  </si>
  <si>
    <t>7.2381*10^(-8)</t>
  </si>
  <si>
    <t>1.3459*10^(-2)</t>
  </si>
  <si>
    <t>6.7948*10^(-1)</t>
  </si>
  <si>
    <t>C3</t>
    <phoneticPr fontId="1" type="noConversion"/>
  </si>
  <si>
    <t>7.4529*10^(-5)</t>
    <phoneticPr fontId="1" type="noConversion"/>
  </si>
  <si>
    <t>9.5348*10^(-5)</t>
    <phoneticPr fontId="1" type="noConversion"/>
  </si>
  <si>
    <t>1.1951*10^(-7)</t>
    <phoneticPr fontId="1" type="noConversion"/>
  </si>
  <si>
    <t>Case 1</t>
    <phoneticPr fontId="1" type="noConversion"/>
  </si>
  <si>
    <t>X1</t>
    <phoneticPr fontId="1" type="noConversion"/>
  </si>
  <si>
    <t>X2</t>
  </si>
  <si>
    <t>X3</t>
  </si>
  <si>
    <t>Y1</t>
    <phoneticPr fontId="1" type="noConversion"/>
  </si>
  <si>
    <t>Y2</t>
  </si>
  <si>
    <t>Y3</t>
  </si>
  <si>
    <t>Z1</t>
    <phoneticPr fontId="1" type="noConversion"/>
  </si>
  <si>
    <t>Z2</t>
  </si>
  <si>
    <t>Z3</t>
  </si>
  <si>
    <t>A1</t>
    <phoneticPr fontId="1" type="noConversion"/>
  </si>
  <si>
    <t>A2</t>
    <phoneticPr fontId="1" type="noConversion"/>
  </si>
  <si>
    <t>A3</t>
    <phoneticPr fontId="1" type="noConversion"/>
  </si>
  <si>
    <t>Cooler Length</t>
    <phoneticPr fontId="1" type="noConversion"/>
  </si>
  <si>
    <t>The cooler Temp rise</t>
    <phoneticPr fontId="1" type="noConversion"/>
  </si>
  <si>
    <t>ft</t>
    <phoneticPr fontId="1" type="noConversion"/>
  </si>
  <si>
    <t>Cooler Length / ft</t>
    <phoneticPr fontId="1" type="noConversion"/>
  </si>
  <si>
    <t>Pass or not</t>
    <phoneticPr fontId="1" type="noConversion"/>
  </si>
  <si>
    <t>只能单独一列检查</t>
    <phoneticPr fontId="1" type="noConversion"/>
  </si>
  <si>
    <t>PASS</t>
  </si>
  <si>
    <t>Compressor End</t>
  </si>
  <si>
    <t>Cooler Size</t>
  </si>
  <si>
    <t>A_Econ Shell_H</t>
  </si>
  <si>
    <t>A_Econ Shell_V</t>
  </si>
  <si>
    <t>19XRC 经济器浮球阀代号</t>
    <phoneticPr fontId="1" type="noConversion"/>
  </si>
  <si>
    <t>D</t>
    <phoneticPr fontId="1" type="noConversion"/>
  </si>
  <si>
    <t>Cooler Length</t>
    <phoneticPr fontId="1" type="noConversion"/>
  </si>
  <si>
    <t>自动链接
无需填写</t>
    <phoneticPr fontId="1" type="noConversion"/>
  </si>
  <si>
    <t>不同经济器的参数不同，ETO经济器可能修改</t>
    <phoneticPr fontId="1" type="noConversion"/>
  </si>
  <si>
    <t>也可以用ECAT输出报告中的Suction Mass Flow</t>
    <phoneticPr fontId="1" type="noConversion"/>
  </si>
  <si>
    <t>也可以用ECAT输出报告中的Suction Mass Flow与Discharge Mass Flow的差值</t>
    <phoneticPr fontId="1" type="noConversion"/>
  </si>
  <si>
    <t>ρv^2 (Vapor)</t>
  </si>
  <si>
    <t>Liquid Limit(EDR)</t>
  </si>
  <si>
    <t>800-1500</t>
    <phoneticPr fontId="1" type="noConversion"/>
  </si>
  <si>
    <t>1500-3021</t>
    <phoneticPr fontId="1" type="noConversion"/>
  </si>
  <si>
    <t>y=1.87-(1.87-1.76)*(D52-1500)/(3021-1500)</t>
    <phoneticPr fontId="1" type="noConversion"/>
  </si>
  <si>
    <t>y=2.1-((2.1-1.87)/(1500-800))*(D52-800)</t>
    <phoneticPr fontId="1" type="noConversion"/>
  </si>
  <si>
    <t>3021-8900</t>
    <phoneticPr fontId="1" type="noConversion"/>
  </si>
  <si>
    <t>y=1.76-(1.76-1.6)*(D52-3021)/(8900-3021)</t>
    <phoneticPr fontId="1" type="noConversion"/>
  </si>
  <si>
    <t>0-800</t>
    <phoneticPr fontId="1" type="noConversion"/>
  </si>
  <si>
    <t>y=2.1</t>
    <phoneticPr fontId="1" type="noConversion"/>
  </si>
  <si>
    <t>Liquid Limit(ETO)</t>
    <phoneticPr fontId="9" type="noConversion"/>
  </si>
  <si>
    <t>Liquid Limit(ETO Economizer)</t>
    <phoneticPr fontId="9" type="noConversion"/>
  </si>
  <si>
    <t>1400T ETO Economizer limit curve</t>
    <phoneticPr fontId="1" type="noConversion"/>
  </si>
  <si>
    <t>XRC Standard Economizer limit curve</t>
    <phoneticPr fontId="1" type="noConversion"/>
  </si>
  <si>
    <t>0-1500</t>
    <phoneticPr fontId="1" type="noConversion"/>
  </si>
  <si>
    <t>y=1.87</t>
    <phoneticPr fontId="1" type="noConversion"/>
  </si>
  <si>
    <t>E-Cat 选型不符合EDR的限制,也不满足ETO特殊设计</t>
    <phoneticPr fontId="1" type="noConversion"/>
  </si>
  <si>
    <t xml:space="preserve">D </t>
    <phoneticPr fontId="1" type="noConversion"/>
  </si>
  <si>
    <t>不同经济器的参数不同，ETO经济器可能修改</t>
  </si>
  <si>
    <t>此Tool仅应用于19XRC数据中心中温工况ETO订单中，采用XRC Fr 7经济器 Igonre Carryover的选型进行校核。
首台订单应用必须进行5天性能测试。</t>
  </si>
  <si>
    <t>#判断E-Cat选型中经济器的液体流速是否满足EDR或ETO限制</t>
  </si>
  <si>
    <t>#ETO中经济器眼睛口液体流速限制值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</si>
</sst>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E+00"/>
    <numFmt numFmtId="165" formatCode="0.000"/>
    <numFmt numFmtId="166" formatCode="0.00_);[Red]\(0.00\)"/>
    <numFmt numFmtId="167" formatCode="0.00_ "/>
    <numFmt numFmtId="168" formatCode="0.0000_ "/>
    <numFmt numFmtId="169" formatCode="0.0"/>
    <numFmt numFmtId="170" formatCode="0.000_ "/>
    <numFmt numFmtId="171" formatCode="0.000000000_);[Red]\(0.000000000\)"/>
    <numFmt numFmtId="172" formatCode="0.0_ "/>
    <numFmt numFmtId="173" formatCode="0.00000E+00"/>
    <numFmt numFmtId="174" formatCode="0.00000"/>
  </numFmts>
  <fonts count="4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Arial Unicode MS"/>
      <family val="2"/>
      <charset val="134"/>
    </font>
    <font>
      <i/>
      <sz val="10"/>
      <color theme="1"/>
      <name val="Arial Unicode MS"/>
      <family val="2"/>
      <charset val="134"/>
    </font>
    <font>
      <i/>
      <vertAlign val="subscript"/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sz val="9"/>
      <name val="Calibri"/>
      <family val="2"/>
      <charset val="134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i/>
      <sz val="10"/>
      <color rgb="FFFF0000"/>
      <name val="Arial Unicode MS"/>
      <family val="2"/>
      <charset val="134"/>
    </font>
    <font>
      <vertAlign val="subscript"/>
      <sz val="10"/>
      <name val="Arial"/>
      <family val="2"/>
    </font>
    <font>
      <i/>
      <sz val="11"/>
      <color theme="1"/>
      <name val="Arial Unicode MS"/>
      <family val="2"/>
      <charset val="134"/>
    </font>
    <font>
      <b/>
      <i/>
      <sz val="11"/>
      <color theme="1"/>
      <name val="Arial Unicode MS"/>
      <family val="2"/>
      <charset val="134"/>
    </font>
    <font>
      <sz val="10"/>
      <name val="Arial Unicode MS"/>
      <family val="2"/>
      <charset val="134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i/>
      <sz val="10"/>
      <color theme="1"/>
      <name val="Arial"/>
      <family val="2"/>
    </font>
    <font>
      <i/>
      <sz val="10"/>
      <color theme="1"/>
      <name val="Arial"/>
      <family val="2"/>
      <charset val="134"/>
    </font>
    <font>
      <i/>
      <sz val="10"/>
      <color theme="1"/>
      <name val="宋体"/>
      <family val="3"/>
      <charset val="134"/>
    </font>
    <font>
      <i/>
      <sz val="10"/>
      <color theme="1"/>
      <name val="宋体"/>
      <family val="2"/>
      <charset val="134"/>
    </font>
    <font>
      <sz val="11"/>
      <color theme="1"/>
      <name val="Arial Unicode MS"/>
      <family val="2"/>
      <charset val="134"/>
    </font>
    <font>
      <i/>
      <sz val="11"/>
      <color rgb="FF00B0F0"/>
      <name val="Calibri"/>
      <family val="3"/>
      <charset val="134"/>
      <scheme val="minor"/>
    </font>
    <font>
      <b/>
      <i/>
      <sz val="14"/>
      <color rgb="FF00B0F0"/>
      <name val="Calibri"/>
      <family val="3"/>
      <charset val="134"/>
      <scheme val="minor"/>
    </font>
    <font>
      <b/>
      <i/>
      <sz val="12"/>
      <color rgb="FF00B0F0"/>
      <name val="Calibri"/>
      <family val="3"/>
      <charset val="134"/>
      <scheme val="minor"/>
    </font>
    <font>
      <sz val="7.5"/>
      <color theme="1"/>
      <name val="Arial"/>
      <family val="2"/>
    </font>
    <font>
      <b/>
      <i/>
      <sz val="10"/>
      <color theme="1"/>
      <name val="Arial Unicode MS"/>
      <family val="2"/>
      <charset val="134"/>
    </font>
    <font>
      <b/>
      <sz val="12"/>
      <color rgb="FFFF0000"/>
      <name val="Arial Unicode MS"/>
      <family val="2"/>
      <charset val="134"/>
    </font>
    <font>
      <sz val="10"/>
      <color theme="0"/>
      <name val="Arial"/>
      <family val="2"/>
    </font>
    <font>
      <sz val="12"/>
      <color theme="1"/>
      <name val="Arial Unicode MS"/>
      <family val="2"/>
      <charset val="134"/>
    </font>
    <font>
      <sz val="9"/>
      <color theme="1"/>
      <name val="Calibri"/>
      <family val="3"/>
      <charset val="134"/>
      <scheme val="minor"/>
    </font>
    <font>
      <b/>
      <sz val="10"/>
      <color rgb="FFFF0000"/>
      <name val="Arial Unicode MS"/>
      <family val="2"/>
      <charset val="134"/>
    </font>
    <font>
      <b/>
      <i/>
      <sz val="10"/>
      <color rgb="FFFF0000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>
      <alignment vertical="center"/>
    </xf>
    <xf numFmtId="9" fontId="7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</cellStyleXfs>
  <cellXfs count="322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5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8" fillId="0" borderId="0" xfId="1" applyFont="1">
      <alignment vertical="center"/>
    </xf>
    <xf numFmtId="0" fontId="7" fillId="0" borderId="0" xfId="1">
      <alignment vertical="center"/>
    </xf>
    <xf numFmtId="0" fontId="8" fillId="0" borderId="0" xfId="1" applyFont="1" applyAlignment="1">
      <alignment horizontal="left" vertical="center"/>
    </xf>
    <xf numFmtId="0" fontId="11" fillId="2" borderId="10" xfId="1" applyFont="1" applyFill="1" applyBorder="1">
      <alignment vertical="center"/>
    </xf>
    <xf numFmtId="0" fontId="8" fillId="0" borderId="8" xfId="1" applyFont="1" applyBorder="1">
      <alignment vertical="center"/>
    </xf>
    <xf numFmtId="0" fontId="11" fillId="0" borderId="8" xfId="1" applyFont="1" applyBorder="1">
      <alignment vertical="center"/>
    </xf>
    <xf numFmtId="0" fontId="14" fillId="0" borderId="8" xfId="1" applyFont="1" applyBorder="1">
      <alignment vertical="center"/>
    </xf>
    <xf numFmtId="0" fontId="8" fillId="0" borderId="15" xfId="1" applyFont="1" applyBorder="1">
      <alignment vertical="center"/>
    </xf>
    <xf numFmtId="169" fontId="8" fillId="0" borderId="8" xfId="0" applyNumberFormat="1" applyFont="1" applyBorder="1" applyAlignment="1">
      <alignment horizontal="left" vertical="center"/>
    </xf>
    <xf numFmtId="0" fontId="8" fillId="0" borderId="0" xfId="1" applyFont="1" applyAlignment="1" applyProtection="1">
      <alignment horizontal="left" vertical="center" wrapText="1"/>
      <protection locked="0"/>
    </xf>
    <xf numFmtId="0" fontId="7" fillId="0" borderId="0" xfId="1" applyProtection="1">
      <alignment vertical="center"/>
      <protection locked="0"/>
    </xf>
    <xf numFmtId="0" fontId="8" fillId="0" borderId="0" xfId="1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166" fontId="8" fillId="0" borderId="13" xfId="1" applyNumberFormat="1" applyFont="1" applyBorder="1" applyAlignment="1" applyProtection="1">
      <alignment horizontal="left" vertical="center"/>
      <protection locked="0"/>
    </xf>
    <xf numFmtId="2" fontId="20" fillId="2" borderId="13" xfId="1" applyNumberFormat="1" applyFont="1" applyFill="1" applyBorder="1" applyAlignment="1" applyProtection="1">
      <alignment horizontal="left" vertical="center"/>
      <protection locked="0"/>
    </xf>
    <xf numFmtId="0" fontId="25" fillId="0" borderId="14" xfId="0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0" fillId="0" borderId="23" xfId="1" applyFont="1" applyFill="1" applyBorder="1" applyProtection="1">
      <alignment vertical="center"/>
      <protection locked="0"/>
    </xf>
    <xf numFmtId="0" fontId="19" fillId="0" borderId="24" xfId="1" applyFont="1" applyFill="1" applyBorder="1" applyAlignment="1" applyProtection="1">
      <alignment horizontal="left" vertical="center"/>
      <protection locked="0"/>
    </xf>
    <xf numFmtId="2" fontId="20" fillId="0" borderId="25" xfId="1" applyNumberFormat="1" applyFont="1" applyFill="1" applyBorder="1" applyAlignment="1" applyProtection="1">
      <alignment horizontal="left" vertical="center"/>
      <protection locked="0"/>
    </xf>
    <xf numFmtId="0" fontId="11" fillId="0" borderId="9" xfId="1" applyFont="1" applyFill="1" applyBorder="1" applyProtection="1">
      <alignment vertical="center"/>
      <protection locked="0"/>
    </xf>
    <xf numFmtId="0" fontId="17" fillId="0" borderId="10" xfId="1" applyFont="1" applyFill="1" applyBorder="1" applyAlignment="1" applyProtection="1">
      <alignment horizontal="left" vertical="center"/>
      <protection locked="0"/>
    </xf>
    <xf numFmtId="0" fontId="11" fillId="0" borderId="11" xfId="1" applyFont="1" applyFill="1" applyBorder="1" applyAlignment="1" applyProtection="1">
      <alignment horizontal="left" vertical="center"/>
      <protection locked="0"/>
    </xf>
    <xf numFmtId="0" fontId="23" fillId="0" borderId="0" xfId="1" applyFont="1" applyAlignment="1" applyProtection="1">
      <alignment vertical="center" wrapText="1"/>
      <protection locked="0"/>
    </xf>
    <xf numFmtId="0" fontId="19" fillId="0" borderId="0" xfId="1" applyFont="1" applyFill="1" applyBorder="1" applyAlignment="1" applyProtection="1">
      <alignment horizontal="left" vertical="center"/>
      <protection locked="0"/>
    </xf>
    <xf numFmtId="2" fontId="20" fillId="5" borderId="0" xfId="0" applyNumberFormat="1" applyFont="1" applyFill="1" applyBorder="1" applyAlignment="1" applyProtection="1">
      <alignment horizontal="left"/>
      <protection locked="0"/>
    </xf>
    <xf numFmtId="2" fontId="21" fillId="0" borderId="0" xfId="0" applyNumberFormat="1" applyFont="1" applyBorder="1" applyAlignment="1" applyProtection="1">
      <alignment horizontal="left"/>
      <protection locked="0"/>
    </xf>
    <xf numFmtId="0" fontId="7" fillId="0" borderId="0" xfId="1" applyBorder="1" applyProtection="1">
      <alignment vertical="center"/>
      <protection locked="0"/>
    </xf>
    <xf numFmtId="0" fontId="19" fillId="0" borderId="10" xfId="1" applyFont="1" applyFill="1" applyBorder="1" applyAlignment="1" applyProtection="1">
      <alignment horizontal="left" vertical="center"/>
      <protection locked="0"/>
    </xf>
    <xf numFmtId="0" fontId="22" fillId="0" borderId="12" xfId="1" applyFont="1" applyFill="1" applyBorder="1" applyAlignment="1" applyProtection="1">
      <alignment horizontal="left" vertical="center" wrapText="1"/>
      <protection locked="0"/>
    </xf>
    <xf numFmtId="0" fontId="22" fillId="0" borderId="8" xfId="1" applyFont="1" applyFill="1" applyBorder="1" applyAlignment="1" applyProtection="1">
      <alignment horizontal="left" vertical="center"/>
      <protection locked="0"/>
    </xf>
    <xf numFmtId="170" fontId="22" fillId="0" borderId="13" xfId="1" applyNumberFormat="1" applyFont="1" applyFill="1" applyBorder="1" applyAlignment="1" applyProtection="1">
      <alignment horizontal="left" vertical="center"/>
      <protection locked="0"/>
    </xf>
    <xf numFmtId="0" fontId="19" fillId="0" borderId="8" xfId="1" applyFont="1" applyFill="1" applyBorder="1" applyAlignment="1" applyProtection="1">
      <alignment horizontal="left" vertical="center"/>
      <protection locked="0"/>
    </xf>
    <xf numFmtId="0" fontId="3" fillId="0" borderId="0" xfId="0" applyFont="1" applyProtection="1">
      <protection locked="0"/>
    </xf>
    <xf numFmtId="0" fontId="3" fillId="0" borderId="8" xfId="0" applyFont="1" applyBorder="1" applyProtection="1">
      <protection locked="0"/>
    </xf>
    <xf numFmtId="0" fontId="3" fillId="2" borderId="8" xfId="0" applyFont="1" applyFill="1" applyBorder="1" applyProtection="1"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3" fillId="2" borderId="8" xfId="0" applyFon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6" fillId="0" borderId="8" xfId="0" applyFont="1" applyFill="1" applyBorder="1" applyAlignment="1" applyProtection="1">
      <alignment vertical="center"/>
      <protection locked="0"/>
    </xf>
    <xf numFmtId="0" fontId="3" fillId="0" borderId="8" xfId="0" applyFont="1" applyFill="1" applyBorder="1" applyProtection="1">
      <protection locked="0"/>
    </xf>
    <xf numFmtId="0" fontId="4" fillId="0" borderId="8" xfId="0" applyFont="1" applyFill="1" applyBorder="1" applyAlignment="1" applyProtection="1">
      <alignment horizontal="center"/>
      <protection locked="0"/>
    </xf>
    <xf numFmtId="0" fontId="3" fillId="0" borderId="8" xfId="0" applyFont="1" applyFill="1" applyBorder="1" applyAlignment="1" applyProtection="1">
      <alignment horizontal="left"/>
      <protection locked="0"/>
    </xf>
    <xf numFmtId="0" fontId="3" fillId="0" borderId="8" xfId="0" quotePrefix="1" applyFon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19" fillId="0" borderId="27" xfId="1" applyFont="1" applyFill="1" applyBorder="1" applyAlignment="1" applyProtection="1">
      <alignment horizontal="left" vertical="center"/>
      <protection locked="0"/>
    </xf>
    <xf numFmtId="2" fontId="20" fillId="0" borderId="28" xfId="0" applyNumberFormat="1" applyFont="1" applyBorder="1" applyAlignment="1" applyProtection="1">
      <alignment horizontal="left"/>
      <protection locked="0"/>
    </xf>
    <xf numFmtId="0" fontId="25" fillId="0" borderId="12" xfId="0" applyFont="1" applyBorder="1" applyAlignment="1" applyProtection="1">
      <alignment horizontal="left" vertical="center"/>
      <protection locked="0"/>
    </xf>
    <xf numFmtId="0" fontId="25" fillId="0" borderId="13" xfId="0" applyFont="1" applyBorder="1" applyAlignment="1" applyProtection="1">
      <alignment horizontal="left" wrapText="1"/>
      <protection locked="0"/>
    </xf>
    <xf numFmtId="169" fontId="20" fillId="0" borderId="12" xfId="1" applyNumberFormat="1" applyFont="1" applyFill="1" applyBorder="1" applyAlignment="1" applyProtection="1">
      <alignment horizontal="left" vertical="center"/>
      <protection locked="0"/>
    </xf>
    <xf numFmtId="169" fontId="20" fillId="0" borderId="8" xfId="1" applyNumberFormat="1" applyFont="1" applyFill="1" applyBorder="1" applyAlignment="1" applyProtection="1">
      <alignment horizontal="left" vertical="center"/>
      <protection locked="0"/>
    </xf>
    <xf numFmtId="169" fontId="20" fillId="0" borderId="13" xfId="1" applyNumberFormat="1" applyFont="1" applyFill="1" applyBorder="1" applyAlignment="1" applyProtection="1">
      <alignment horizontal="left" vertical="center"/>
      <protection locked="0"/>
    </xf>
    <xf numFmtId="169" fontId="3" fillId="5" borderId="22" xfId="1" applyNumberFormat="1" applyFont="1" applyFill="1" applyBorder="1" applyAlignment="1" applyProtection="1">
      <alignment horizontal="left" vertical="center"/>
      <protection locked="0"/>
    </xf>
    <xf numFmtId="165" fontId="3" fillId="5" borderId="16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Alignment="1" applyProtection="1">
      <alignment vertical="center"/>
      <protection locked="0"/>
    </xf>
    <xf numFmtId="0" fontId="25" fillId="0" borderId="16" xfId="0" applyFont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165" fontId="20" fillId="0" borderId="13" xfId="1" applyNumberFormat="1" applyFont="1" applyFill="1" applyBorder="1" applyAlignment="1" applyProtection="1">
      <alignment horizontal="left" vertical="center"/>
      <protection locked="0"/>
    </xf>
    <xf numFmtId="0" fontId="29" fillId="0" borderId="0" xfId="1" applyFont="1" applyProtection="1">
      <alignment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vertical="center"/>
      <protection locked="0"/>
    </xf>
    <xf numFmtId="0" fontId="26" fillId="0" borderId="9" xfId="0" applyFont="1" applyBorder="1" applyAlignment="1" applyProtection="1">
      <alignment vertical="center"/>
      <protection locked="0"/>
    </xf>
    <xf numFmtId="0" fontId="10" fillId="0" borderId="0" xfId="1" applyFont="1" applyFill="1" applyAlignment="1" applyProtection="1">
      <alignment horizontal="left" vertical="center"/>
      <protection locked="0"/>
    </xf>
    <xf numFmtId="0" fontId="8" fillId="0" borderId="12" xfId="1" applyFont="1" applyFill="1" applyBorder="1" applyAlignment="1" applyProtection="1">
      <alignment vertical="center"/>
      <protection locked="0"/>
    </xf>
    <xf numFmtId="0" fontId="3" fillId="0" borderId="12" xfId="0" applyFont="1" applyFill="1" applyBorder="1" applyProtection="1">
      <protection locked="0"/>
    </xf>
    <xf numFmtId="0" fontId="3" fillId="0" borderId="12" xfId="0" applyFont="1" applyFill="1" applyBorder="1" applyAlignment="1" applyProtection="1">
      <alignment vertical="center"/>
      <protection locked="0"/>
    </xf>
    <xf numFmtId="0" fontId="20" fillId="0" borderId="12" xfId="1" applyFont="1" applyFill="1" applyBorder="1" applyProtection="1">
      <alignment vertical="center"/>
      <protection locked="0"/>
    </xf>
    <xf numFmtId="0" fontId="3" fillId="0" borderId="12" xfId="0" applyFont="1" applyFill="1" applyBorder="1" applyAlignment="1" applyProtection="1">
      <alignment vertical="center" wrapText="1"/>
      <protection locked="0"/>
    </xf>
    <xf numFmtId="0" fontId="20" fillId="0" borderId="14" xfId="1" applyFont="1" applyFill="1" applyBorder="1" applyProtection="1">
      <alignment vertical="center"/>
      <protection locked="0"/>
    </xf>
    <xf numFmtId="0" fontId="3" fillId="0" borderId="20" xfId="1" applyFont="1" applyFill="1" applyBorder="1" applyProtection="1">
      <alignment vertical="center"/>
      <protection locked="0"/>
    </xf>
    <xf numFmtId="0" fontId="3" fillId="0" borderId="14" xfId="1" applyFont="1" applyFill="1" applyBorder="1" applyProtection="1">
      <alignment vertical="center"/>
      <protection locked="0"/>
    </xf>
    <xf numFmtId="0" fontId="20" fillId="0" borderId="26" xfId="1" applyFont="1" applyFill="1" applyBorder="1" applyProtection="1">
      <alignment vertical="center"/>
      <protection locked="0"/>
    </xf>
    <xf numFmtId="0" fontId="20" fillId="0" borderId="0" xfId="1" applyFont="1" applyFill="1" applyBorder="1" applyProtection="1">
      <alignment vertical="center"/>
      <protection locked="0"/>
    </xf>
    <xf numFmtId="0" fontId="30" fillId="0" borderId="14" xfId="0" applyFont="1" applyFill="1" applyBorder="1" applyAlignment="1" applyProtection="1">
      <alignment vertical="center"/>
      <protection locked="0"/>
    </xf>
    <xf numFmtId="0" fontId="0" fillId="0" borderId="0" xfId="0" applyFill="1" applyProtection="1">
      <protection locked="0"/>
    </xf>
    <xf numFmtId="0" fontId="16" fillId="0" borderId="0" xfId="1" applyFont="1" applyFill="1" applyAlignment="1" applyProtection="1">
      <alignment horizontal="left" vertical="center"/>
      <protection locked="0"/>
    </xf>
    <xf numFmtId="0" fontId="16" fillId="0" borderId="8" xfId="1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/>
      <protection locked="0"/>
    </xf>
    <xf numFmtId="0" fontId="4" fillId="0" borderId="8" xfId="0" applyFont="1" applyFill="1" applyBorder="1" applyAlignment="1" applyProtection="1">
      <alignment horizontal="left" vertical="center"/>
      <protection locked="0"/>
    </xf>
    <xf numFmtId="0" fontId="19" fillId="0" borderId="15" xfId="1" applyFont="1" applyFill="1" applyBorder="1" applyAlignment="1" applyProtection="1">
      <alignment horizontal="left" vertical="center"/>
      <protection locked="0"/>
    </xf>
    <xf numFmtId="169" fontId="3" fillId="0" borderId="21" xfId="0" applyNumberFormat="1" applyFont="1" applyFill="1" applyBorder="1" applyAlignment="1" applyProtection="1">
      <alignment horizontal="left" vertical="center"/>
      <protection locked="0"/>
    </xf>
    <xf numFmtId="0" fontId="27" fillId="0" borderId="15" xfId="1" applyFont="1" applyFill="1" applyBorder="1" applyProtection="1">
      <alignment vertical="center"/>
      <protection locked="0"/>
    </xf>
    <xf numFmtId="0" fontId="28" fillId="0" borderId="15" xfId="0" applyFont="1" applyFill="1" applyBorder="1" applyAlignment="1" applyProtection="1">
      <alignment horizontal="left" vertical="center"/>
      <protection locked="0"/>
    </xf>
    <xf numFmtId="0" fontId="18" fillId="0" borderId="0" xfId="0" applyFont="1" applyFill="1" applyAlignment="1" applyProtection="1">
      <alignment horizontal="left"/>
      <protection locked="0"/>
    </xf>
    <xf numFmtId="2" fontId="21" fillId="0" borderId="11" xfId="0" applyNumberFormat="1" applyFont="1" applyFill="1" applyBorder="1" applyAlignment="1" applyProtection="1">
      <alignment horizontal="left"/>
      <protection locked="0"/>
    </xf>
    <xf numFmtId="2" fontId="19" fillId="0" borderId="25" xfId="1" applyNumberFormat="1" applyFont="1" applyFill="1" applyBorder="1" applyAlignment="1" applyProtection="1">
      <alignment horizontal="left" vertical="center"/>
      <protection locked="0"/>
    </xf>
    <xf numFmtId="2" fontId="19" fillId="0" borderId="28" xfId="0" applyNumberFormat="1" applyFont="1" applyFill="1" applyBorder="1" applyAlignment="1" applyProtection="1">
      <alignment horizontal="left"/>
      <protection locked="0"/>
    </xf>
    <xf numFmtId="2" fontId="19" fillId="0" borderId="0" xfId="0" applyNumberFormat="1" applyFont="1" applyFill="1" applyBorder="1" applyAlignment="1" applyProtection="1">
      <alignment horizontal="left"/>
      <protection locked="0"/>
    </xf>
    <xf numFmtId="0" fontId="31" fillId="0" borderId="11" xfId="1" applyFont="1" applyFill="1" applyBorder="1" applyAlignment="1" applyProtection="1">
      <alignment horizontal="left" vertical="center"/>
      <protection locked="0"/>
    </xf>
    <xf numFmtId="0" fontId="19" fillId="0" borderId="0" xfId="1" applyFont="1" applyFill="1" applyAlignment="1" applyProtection="1">
      <alignment horizontal="left" vertical="center" wrapText="1"/>
      <protection locked="0"/>
    </xf>
    <xf numFmtId="166" fontId="19" fillId="0" borderId="13" xfId="1" applyNumberFormat="1" applyFont="1" applyFill="1" applyBorder="1" applyAlignment="1" applyProtection="1">
      <alignment horizontal="left" vertical="center"/>
      <protection locked="0"/>
    </xf>
    <xf numFmtId="2" fontId="19" fillId="0" borderId="11" xfId="0" applyNumberFormat="1" applyFont="1" applyFill="1" applyBorder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left"/>
      <protection locked="0"/>
    </xf>
    <xf numFmtId="0" fontId="28" fillId="0" borderId="0" xfId="0" applyFont="1" applyFill="1" applyBorder="1" applyAlignment="1" applyProtection="1">
      <alignment horizontal="left" vertical="center"/>
      <protection locked="0"/>
    </xf>
    <xf numFmtId="0" fontId="32" fillId="0" borderId="0" xfId="0" applyFont="1" applyFill="1" applyBorder="1" applyAlignment="1" applyProtection="1">
      <alignment horizontal="left" vertical="center"/>
      <protection locked="0"/>
    </xf>
    <xf numFmtId="0" fontId="30" fillId="0" borderId="29" xfId="0" applyFont="1" applyFill="1" applyBorder="1" applyAlignment="1" applyProtection="1">
      <alignment vertical="center"/>
      <protection locked="0"/>
    </xf>
    <xf numFmtId="0" fontId="20" fillId="2" borderId="13" xfId="0" applyFont="1" applyFill="1" applyBorder="1" applyAlignment="1" applyProtection="1">
      <alignment horizontal="left"/>
      <protection locked="0"/>
    </xf>
    <xf numFmtId="2" fontId="33" fillId="0" borderId="13" xfId="1" applyNumberFormat="1" applyFont="1" applyFill="1" applyBorder="1" applyAlignment="1" applyProtection="1">
      <alignment horizontal="left" vertical="center"/>
      <protection locked="0"/>
    </xf>
    <xf numFmtId="0" fontId="33" fillId="0" borderId="13" xfId="0" applyFont="1" applyFill="1" applyBorder="1" applyAlignment="1" applyProtection="1">
      <alignment horizontal="left"/>
      <protection locked="0"/>
    </xf>
    <xf numFmtId="2" fontId="33" fillId="0" borderId="16" xfId="1" applyNumberFormat="1" applyFont="1" applyFill="1" applyBorder="1" applyAlignment="1" applyProtection="1">
      <alignment horizontal="left" vertical="center"/>
      <protection locked="0"/>
    </xf>
    <xf numFmtId="169" fontId="33" fillId="0" borderId="22" xfId="1" applyNumberFormat="1" applyFont="1" applyFill="1" applyBorder="1" applyAlignment="1" applyProtection="1">
      <alignment horizontal="left" vertical="center"/>
      <protection locked="0"/>
    </xf>
    <xf numFmtId="165" fontId="33" fillId="0" borderId="16" xfId="1" applyNumberFormat="1" applyFont="1" applyFill="1" applyBorder="1" applyAlignment="1" applyProtection="1">
      <alignment horizontal="left" vertical="center"/>
      <protection locked="0"/>
    </xf>
    <xf numFmtId="169" fontId="33" fillId="0" borderId="13" xfId="1" applyNumberFormat="1" applyFont="1" applyFill="1" applyBorder="1" applyAlignment="1" applyProtection="1">
      <alignment horizontal="left" vertical="center"/>
      <protection locked="0"/>
    </xf>
    <xf numFmtId="165" fontId="33" fillId="0" borderId="13" xfId="1" applyNumberFormat="1" applyFont="1" applyFill="1" applyBorder="1" applyAlignment="1" applyProtection="1">
      <alignment horizontal="left" vertical="center"/>
      <protection locked="0"/>
    </xf>
    <xf numFmtId="0" fontId="35" fillId="0" borderId="0" xfId="1" applyFont="1" applyAlignment="1" applyProtection="1">
      <alignment vertical="center"/>
      <protection locked="0"/>
    </xf>
    <xf numFmtId="0" fontId="35" fillId="2" borderId="29" xfId="1" applyFont="1" applyFill="1" applyBorder="1" applyProtection="1">
      <alignment vertical="center"/>
      <protection locked="0"/>
    </xf>
    <xf numFmtId="0" fontId="36" fillId="0" borderId="3" xfId="0" applyFont="1" applyFill="1" applyBorder="1" applyAlignment="1" applyProtection="1">
      <alignment horizontal="left" vertical="center"/>
      <protection locked="0"/>
    </xf>
    <xf numFmtId="0" fontId="37" fillId="0" borderId="2" xfId="0" applyFont="1" applyFill="1" applyBorder="1" applyAlignment="1" applyProtection="1">
      <alignment horizontal="left" vertical="center"/>
      <protection locked="0"/>
    </xf>
    <xf numFmtId="0" fontId="37" fillId="0" borderId="4" xfId="0" applyFont="1" applyBorder="1" applyAlignment="1" applyProtection="1">
      <alignment vertical="center" wrapText="1"/>
      <protection locked="0"/>
    </xf>
    <xf numFmtId="0" fontId="38" fillId="0" borderId="3" xfId="0" applyFont="1" applyBorder="1" applyAlignment="1" applyProtection="1">
      <alignment vertical="center" wrapText="1"/>
      <protection locked="0"/>
    </xf>
    <xf numFmtId="0" fontId="2" fillId="0" borderId="6" xfId="0" applyFont="1" applyFill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8" xfId="0" applyFont="1" applyFill="1" applyBorder="1" applyProtection="1">
      <protection locked="0"/>
    </xf>
    <xf numFmtId="0" fontId="4" fillId="6" borderId="8" xfId="0" applyFont="1" applyFill="1" applyBorder="1" applyAlignment="1" applyProtection="1">
      <alignment horizontal="center"/>
      <protection locked="0"/>
    </xf>
    <xf numFmtId="2" fontId="3" fillId="6" borderId="8" xfId="0" applyNumberFormat="1" applyFont="1" applyFill="1" applyBorder="1" applyAlignment="1" applyProtection="1">
      <alignment horizontal="left"/>
      <protection locked="0"/>
    </xf>
    <xf numFmtId="0" fontId="20" fillId="6" borderId="14" xfId="1" applyFont="1" applyFill="1" applyBorder="1" applyProtection="1">
      <alignment vertical="center"/>
      <protection locked="0"/>
    </xf>
    <xf numFmtId="171" fontId="3" fillId="0" borderId="8" xfId="0" quotePrefix="1" applyNumberFormat="1" applyFont="1" applyFill="1" applyBorder="1" applyAlignment="1" applyProtection="1">
      <alignment horizontal="left"/>
      <protection locked="0"/>
    </xf>
    <xf numFmtId="0" fontId="0" fillId="0" borderId="8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29" xfId="0" applyBorder="1"/>
    <xf numFmtId="0" fontId="0" fillId="0" borderId="33" xfId="0" applyBorder="1" applyAlignment="1">
      <alignment horizontal="center" vertical="center"/>
    </xf>
    <xf numFmtId="0" fontId="3" fillId="0" borderId="0" xfId="0" applyFont="1" applyFill="1" applyBorder="1" applyAlignment="1" applyProtection="1">
      <alignment vertical="center" wrapText="1"/>
      <protection locked="0"/>
    </xf>
    <xf numFmtId="0" fontId="40" fillId="0" borderId="8" xfId="0" applyFont="1" applyFill="1" applyBorder="1" applyAlignment="1" applyProtection="1">
      <alignment horizontal="center"/>
      <protection locked="0"/>
    </xf>
    <xf numFmtId="0" fontId="4" fillId="0" borderId="8" xfId="0" applyFont="1" applyFill="1" applyBorder="1" applyAlignment="1" applyProtection="1">
      <alignment horizontal="center" vertical="center"/>
      <protection locked="0"/>
    </xf>
    <xf numFmtId="172" fontId="3" fillId="0" borderId="35" xfId="0" applyNumberFormat="1" applyFont="1" applyBorder="1" applyAlignment="1" applyProtection="1">
      <alignment horizontal="left"/>
      <protection locked="0"/>
    </xf>
    <xf numFmtId="173" fontId="0" fillId="0" borderId="8" xfId="0" applyNumberFormat="1" applyFont="1" applyBorder="1" applyAlignment="1">
      <alignment horizontal="center" vertical="center"/>
    </xf>
    <xf numFmtId="173" fontId="0" fillId="0" borderId="13" xfId="0" applyNumberFormat="1" applyFont="1" applyBorder="1" applyAlignment="1">
      <alignment horizontal="center" vertical="center"/>
    </xf>
    <xf numFmtId="173" fontId="0" fillId="0" borderId="15" xfId="0" applyNumberFormat="1" applyFont="1" applyBorder="1" applyAlignment="1">
      <alignment horizontal="center" vertical="center"/>
    </xf>
    <xf numFmtId="173" fontId="0" fillId="0" borderId="16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3" fillId="0" borderId="8" xfId="0" applyNumberFormat="1" applyFont="1" applyFill="1" applyBorder="1" applyAlignment="1" applyProtection="1">
      <alignment horizontal="left"/>
      <protection locked="0"/>
    </xf>
    <xf numFmtId="0" fontId="4" fillId="0" borderId="8" xfId="0" applyFont="1" applyFill="1" applyBorder="1" applyProtection="1">
      <protection locked="0"/>
    </xf>
    <xf numFmtId="0" fontId="6" fillId="0" borderId="8" xfId="0" applyFont="1" applyFill="1" applyBorder="1" applyAlignment="1" applyProtection="1">
      <alignment horizontal="left"/>
      <protection locked="0"/>
    </xf>
    <xf numFmtId="0" fontId="40" fillId="0" borderId="21" xfId="0" applyFont="1" applyFill="1" applyBorder="1" applyAlignment="1" applyProtection="1">
      <alignment horizontal="center"/>
      <protection locked="0"/>
    </xf>
    <xf numFmtId="165" fontId="6" fillId="0" borderId="21" xfId="0" applyNumberFormat="1" applyFont="1" applyFill="1" applyBorder="1" applyAlignment="1" applyProtection="1">
      <alignment horizontal="left"/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2" fontId="3" fillId="0" borderId="0" xfId="0" applyNumberFormat="1" applyFont="1" applyFill="1" applyBorder="1" applyAlignment="1" applyProtection="1">
      <alignment horizontal="left"/>
      <protection locked="0"/>
    </xf>
    <xf numFmtId="0" fontId="6" fillId="6" borderId="8" xfId="0" applyFont="1" applyFill="1" applyBorder="1" applyAlignment="1" applyProtection="1">
      <alignment vertical="center"/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Fill="1" applyBorder="1" applyAlignment="1" applyProtection="1">
      <alignment horizontal="left"/>
      <protection locked="0" hidden="1"/>
    </xf>
    <xf numFmtId="0" fontId="2" fillId="0" borderId="0" xfId="0" applyFont="1" applyFill="1" applyBorder="1" applyAlignment="1" applyProtection="1">
      <alignment horizontal="left" vertical="center" wrapText="1"/>
      <protection locked="0" hidden="1"/>
    </xf>
    <xf numFmtId="0" fontId="3" fillId="0" borderId="0" xfId="0" applyFont="1" applyFill="1" applyBorder="1" applyAlignment="1" applyProtection="1">
      <alignment horizontal="center"/>
      <protection locked="0" hidden="1"/>
    </xf>
    <xf numFmtId="0" fontId="3" fillId="0" borderId="0" xfId="0" applyFont="1" applyFill="1" applyBorder="1" applyProtection="1">
      <protection locked="0" hidden="1"/>
    </xf>
    <xf numFmtId="0" fontId="6" fillId="0" borderId="36" xfId="0" applyFont="1" applyFill="1" applyBorder="1" applyProtection="1">
      <protection locked="0"/>
    </xf>
    <xf numFmtId="0" fontId="3" fillId="0" borderId="21" xfId="0" applyFont="1" applyBorder="1" applyProtection="1">
      <protection locked="0"/>
    </xf>
    <xf numFmtId="0" fontId="2" fillId="3" borderId="37" xfId="0" applyFont="1" applyFill="1" applyBorder="1" applyAlignment="1" applyProtection="1">
      <alignment horizontal="left" vertical="center" wrapText="1"/>
      <protection locked="0" hidden="1"/>
    </xf>
    <xf numFmtId="0" fontId="2" fillId="3" borderId="38" xfId="0" applyFont="1" applyFill="1" applyBorder="1" applyAlignment="1" applyProtection="1">
      <alignment horizontal="left" vertical="center" wrapText="1"/>
      <protection locked="0" hidden="1"/>
    </xf>
    <xf numFmtId="0" fontId="2" fillId="0" borderId="6" xfId="0" applyFont="1" applyFill="1" applyBorder="1" applyAlignment="1">
      <alignment horizontal="center" vertical="center" wrapText="1"/>
    </xf>
    <xf numFmtId="0" fontId="3" fillId="7" borderId="0" xfId="0" applyFont="1" applyFill="1" applyProtection="1">
      <protection locked="0"/>
    </xf>
    <xf numFmtId="0" fontId="3" fillId="7" borderId="8" xfId="0" applyFont="1" applyFill="1" applyBorder="1" applyAlignment="1" applyProtection="1">
      <alignment horizontal="left"/>
      <protection locked="0"/>
    </xf>
    <xf numFmtId="0" fontId="3" fillId="7" borderId="0" xfId="0" applyFont="1" applyFill="1" applyAlignment="1" applyProtection="1">
      <alignment vertical="center"/>
      <protection locked="0"/>
    </xf>
    <xf numFmtId="0" fontId="8" fillId="0" borderId="0" xfId="1" applyFont="1" applyFill="1" applyBorder="1">
      <alignment vertical="center"/>
    </xf>
    <xf numFmtId="2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2" fillId="0" borderId="0" xfId="0" applyFont="1" applyFill="1" applyBorder="1" applyAlignment="1" applyProtection="1">
      <alignment horizontal="left" vertical="center" wrapText="1"/>
      <protection locked="0"/>
    </xf>
    <xf numFmtId="0" fontId="34" fillId="0" borderId="0" xfId="0" applyFont="1" applyFill="1" applyBorder="1" applyAlignment="1" applyProtection="1">
      <alignment horizontal="left" vertical="center" wrapText="1"/>
      <protection locked="0"/>
    </xf>
    <xf numFmtId="0" fontId="42" fillId="8" borderId="0" xfId="4" applyFont="1" applyFill="1" applyAlignment="1">
      <alignment horizontal="center" vertical="center" wrapText="1"/>
    </xf>
    <xf numFmtId="0" fontId="20" fillId="0" borderId="0" xfId="4" applyFont="1" applyAlignment="1">
      <alignment horizontal="center" vertical="center"/>
    </xf>
    <xf numFmtId="0" fontId="0" fillId="0" borderId="0" xfId="0" applyAlignment="1">
      <alignment horizontal="center"/>
    </xf>
    <xf numFmtId="2" fontId="22" fillId="2" borderId="13" xfId="1" applyNumberFormat="1" applyFont="1" applyFill="1" applyBorder="1" applyAlignment="1" applyProtection="1">
      <alignment horizontal="left" vertical="center"/>
      <protection locked="0"/>
    </xf>
    <xf numFmtId="0" fontId="22" fillId="2" borderId="13" xfId="0" applyFont="1" applyFill="1" applyBorder="1" applyAlignment="1" applyProtection="1">
      <alignment horizontal="left"/>
      <protection locked="0"/>
    </xf>
    <xf numFmtId="0" fontId="22" fillId="2" borderId="13" xfId="0" applyFont="1" applyFill="1" applyBorder="1" applyAlignment="1" applyProtection="1">
      <alignment horizontal="left" vertical="center"/>
      <protection locked="0"/>
    </xf>
    <xf numFmtId="2" fontId="22" fillId="2" borderId="16" xfId="1" applyNumberFormat="1" applyFont="1" applyFill="1" applyBorder="1" applyAlignment="1" applyProtection="1">
      <alignment horizontal="left" vertical="center"/>
      <protection locked="0"/>
    </xf>
    <xf numFmtId="0" fontId="27" fillId="0" borderId="12" xfId="0" applyFont="1" applyFill="1" applyBorder="1" applyProtection="1">
      <protection locked="0"/>
    </xf>
    <xf numFmtId="0" fontId="0" fillId="0" borderId="35" xfId="0" applyFont="1" applyBorder="1" applyAlignment="1">
      <alignment horizontal="center" vertical="center"/>
    </xf>
    <xf numFmtId="164" fontId="0" fillId="0" borderId="35" xfId="0" applyNumberFormat="1" applyFont="1" applyBorder="1" applyAlignment="1">
      <alignment horizontal="center" vertical="center"/>
    </xf>
    <xf numFmtId="164" fontId="0" fillId="0" borderId="40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9" borderId="8" xfId="0" applyFont="1" applyFill="1" applyBorder="1" applyProtection="1">
      <protection locked="0"/>
    </xf>
    <xf numFmtId="0" fontId="4" fillId="9" borderId="8" xfId="0" applyFont="1" applyFill="1" applyBorder="1" applyAlignment="1" applyProtection="1">
      <alignment horizontal="center"/>
      <protection locked="0"/>
    </xf>
    <xf numFmtId="2" fontId="3" fillId="9" borderId="8" xfId="0" applyNumberFormat="1" applyFont="1" applyFill="1" applyBorder="1" applyAlignment="1" applyProtection="1">
      <alignment horizontal="left"/>
      <protection locked="0"/>
    </xf>
    <xf numFmtId="0" fontId="3" fillId="9" borderId="8" xfId="0" applyFont="1" applyFill="1" applyBorder="1" applyAlignment="1" applyProtection="1">
      <alignment horizontal="left"/>
      <protection locked="0"/>
    </xf>
    <xf numFmtId="169" fontId="3" fillId="9" borderId="8" xfId="0" applyNumberFormat="1" applyFont="1" applyFill="1" applyBorder="1" applyAlignment="1" applyProtection="1">
      <alignment horizontal="left"/>
      <protection locked="0"/>
    </xf>
    <xf numFmtId="0" fontId="3" fillId="9" borderId="8" xfId="0" applyFont="1" applyFill="1" applyBorder="1" applyAlignment="1" applyProtection="1">
      <alignment vertical="center" wrapText="1"/>
      <protection locked="0"/>
    </xf>
    <xf numFmtId="0" fontId="4" fillId="9" borderId="8" xfId="0" applyFont="1" applyFill="1" applyBorder="1" applyAlignment="1" applyProtection="1">
      <alignment horizontal="center" vertical="center"/>
      <protection locked="0"/>
    </xf>
    <xf numFmtId="169" fontId="3" fillId="9" borderId="8" xfId="0" applyNumberFormat="1" applyFont="1" applyFill="1" applyBorder="1" applyAlignment="1" applyProtection="1">
      <alignment horizontal="left" vertical="center"/>
      <protection locked="0"/>
    </xf>
    <xf numFmtId="0" fontId="8" fillId="0" borderId="0" xfId="1" applyFont="1" applyFill="1">
      <alignment vertical="center"/>
    </xf>
    <xf numFmtId="0" fontId="7" fillId="0" borderId="0" xfId="1" applyFill="1">
      <alignment vertical="center"/>
    </xf>
    <xf numFmtId="0" fontId="8" fillId="10" borderId="8" xfId="1" applyFont="1" applyFill="1" applyBorder="1">
      <alignment vertical="center"/>
    </xf>
    <xf numFmtId="0" fontId="7" fillId="0" borderId="0" xfId="1" applyBorder="1">
      <alignment vertical="center"/>
    </xf>
    <xf numFmtId="0" fontId="43" fillId="0" borderId="0" xfId="0" applyFont="1" applyBorder="1" applyAlignment="1" applyProtection="1">
      <alignment vertical="center" wrapText="1"/>
      <protection locked="0"/>
    </xf>
    <xf numFmtId="0" fontId="11" fillId="0" borderId="0" xfId="1" applyFont="1" applyFill="1" applyBorder="1">
      <alignment vertical="center"/>
    </xf>
    <xf numFmtId="0" fontId="8" fillId="0" borderId="42" xfId="1" applyFont="1" applyBorder="1">
      <alignment vertical="center"/>
    </xf>
    <xf numFmtId="0" fontId="10" fillId="0" borderId="42" xfId="1" applyFont="1" applyBorder="1" applyAlignment="1">
      <alignment horizontal="left" vertical="center"/>
    </xf>
    <xf numFmtId="0" fontId="11" fillId="2" borderId="43" xfId="1" applyFont="1" applyFill="1" applyBorder="1">
      <alignment vertical="center"/>
    </xf>
    <xf numFmtId="0" fontId="8" fillId="0" borderId="44" xfId="1" applyFont="1" applyBorder="1">
      <alignment vertical="center"/>
    </xf>
    <xf numFmtId="0" fontId="8" fillId="10" borderId="44" xfId="1" applyFont="1" applyFill="1" applyBorder="1">
      <alignment vertical="center"/>
    </xf>
    <xf numFmtId="0" fontId="11" fillId="0" borderId="44" xfId="1" applyFont="1" applyBorder="1">
      <alignment vertical="center"/>
    </xf>
    <xf numFmtId="0" fontId="13" fillId="0" borderId="44" xfId="1" applyFont="1" applyBorder="1">
      <alignment vertical="center"/>
    </xf>
    <xf numFmtId="0" fontId="8" fillId="0" borderId="44" xfId="1" applyFont="1" applyFill="1" applyBorder="1">
      <alignment vertical="center"/>
    </xf>
    <xf numFmtId="0" fontId="10" fillId="0" borderId="44" xfId="1" applyFont="1" applyBorder="1">
      <alignment vertical="center"/>
    </xf>
    <xf numFmtId="0" fontId="8" fillId="0" borderId="44" xfId="0" applyFont="1" applyBorder="1" applyAlignment="1">
      <alignment vertical="center"/>
    </xf>
    <xf numFmtId="0" fontId="14" fillId="0" borderId="44" xfId="1" applyFont="1" applyBorder="1" applyAlignment="1">
      <alignment vertical="center" wrapText="1"/>
    </xf>
    <xf numFmtId="0" fontId="8" fillId="0" borderId="44" xfId="1" applyFont="1" applyBorder="1" applyAlignment="1">
      <alignment vertical="center" wrapText="1"/>
    </xf>
    <xf numFmtId="0" fontId="15" fillId="0" borderId="45" xfId="1" applyFont="1" applyBorder="1">
      <alignment vertical="center"/>
    </xf>
    <xf numFmtId="0" fontId="11" fillId="0" borderId="42" xfId="1" applyFont="1" applyFill="1" applyBorder="1">
      <alignment vertical="center"/>
    </xf>
    <xf numFmtId="0" fontId="7" fillId="0" borderId="42" xfId="1" applyBorder="1">
      <alignment vertical="center"/>
    </xf>
    <xf numFmtId="0" fontId="8" fillId="0" borderId="46" xfId="1" applyFont="1" applyBorder="1" applyAlignment="1">
      <alignment horizontal="center" vertical="center" wrapText="1"/>
    </xf>
    <xf numFmtId="0" fontId="11" fillId="2" borderId="47" xfId="1" applyFont="1" applyFill="1" applyBorder="1">
      <alignment vertical="center"/>
    </xf>
    <xf numFmtId="166" fontId="8" fillId="0" borderId="48" xfId="1" applyNumberFormat="1" applyFont="1" applyBorder="1" applyAlignment="1">
      <alignment horizontal="center" vertical="center"/>
    </xf>
    <xf numFmtId="2" fontId="8" fillId="10" borderId="48" xfId="1" applyNumberFormat="1" applyFont="1" applyFill="1" applyBorder="1" applyAlignment="1">
      <alignment horizontal="center" vertical="center"/>
    </xf>
    <xf numFmtId="2" fontId="8" fillId="0" borderId="48" xfId="1" applyNumberFormat="1" applyFont="1" applyBorder="1" applyAlignment="1">
      <alignment horizontal="center" vertical="center"/>
    </xf>
    <xf numFmtId="0" fontId="12" fillId="0" borderId="48" xfId="1" applyFont="1" applyBorder="1" applyAlignment="1">
      <alignment horizontal="center" vertical="center"/>
    </xf>
    <xf numFmtId="0" fontId="8" fillId="0" borderId="48" xfId="1" applyFont="1" applyBorder="1" applyAlignment="1">
      <alignment horizontal="center" vertical="center"/>
    </xf>
    <xf numFmtId="167" fontId="8" fillId="0" borderId="48" xfId="1" applyNumberFormat="1" applyFont="1" applyBorder="1" applyAlignment="1">
      <alignment horizontal="center" vertical="center"/>
    </xf>
    <xf numFmtId="170" fontId="8" fillId="0" borderId="48" xfId="1" applyNumberFormat="1" applyFont="1" applyBorder="1" applyAlignment="1">
      <alignment horizontal="center" vertical="center"/>
    </xf>
    <xf numFmtId="168" fontId="8" fillId="0" borderId="48" xfId="1" applyNumberFormat="1" applyFont="1" applyBorder="1" applyAlignment="1">
      <alignment horizontal="center" vertical="center"/>
    </xf>
    <xf numFmtId="169" fontId="8" fillId="0" borderId="48" xfId="1" applyNumberFormat="1" applyFont="1" applyBorder="1" applyAlignment="1">
      <alignment horizontal="center" vertical="center"/>
    </xf>
    <xf numFmtId="167" fontId="8" fillId="2" borderId="48" xfId="1" applyNumberFormat="1" applyFont="1" applyFill="1" applyBorder="1" applyAlignment="1">
      <alignment horizontal="center" vertical="center"/>
    </xf>
    <xf numFmtId="165" fontId="8" fillId="2" borderId="48" xfId="1" applyNumberFormat="1" applyFont="1" applyFill="1" applyBorder="1" applyAlignment="1">
      <alignment horizontal="center" vertical="center"/>
    </xf>
    <xf numFmtId="167" fontId="14" fillId="0" borderId="48" xfId="1" applyNumberFormat="1" applyFont="1" applyBorder="1" applyAlignment="1">
      <alignment horizontal="center" vertical="center"/>
    </xf>
    <xf numFmtId="1" fontId="8" fillId="0" borderId="49" xfId="1" applyNumberFormat="1" applyFont="1" applyBorder="1" applyAlignment="1">
      <alignment horizontal="center" vertical="center"/>
    </xf>
    <xf numFmtId="0" fontId="8" fillId="0" borderId="46" xfId="1" applyFont="1" applyFill="1" applyBorder="1">
      <alignment vertical="center"/>
    </xf>
    <xf numFmtId="10" fontId="8" fillId="0" borderId="48" xfId="1" applyNumberFormat="1" applyFont="1" applyBorder="1" applyAlignment="1">
      <alignment horizontal="center" vertical="center"/>
    </xf>
    <xf numFmtId="165" fontId="8" fillId="0" borderId="48" xfId="1" applyNumberFormat="1" applyFont="1" applyBorder="1" applyAlignment="1">
      <alignment horizontal="center" vertical="center"/>
    </xf>
    <xf numFmtId="0" fontId="8" fillId="0" borderId="46" xfId="1" applyFont="1" applyBorder="1" applyAlignment="1">
      <alignment horizontal="center" vertical="center"/>
    </xf>
    <xf numFmtId="0" fontId="7" fillId="0" borderId="0" xfId="1" applyAlignment="1">
      <alignment vertical="center" wrapText="1"/>
    </xf>
    <xf numFmtId="0" fontId="8" fillId="0" borderId="8" xfId="1" applyFont="1" applyBorder="1" applyAlignment="1">
      <alignment vertical="center" wrapText="1"/>
    </xf>
    <xf numFmtId="0" fontId="44" fillId="0" borderId="0" xfId="1" applyFont="1" applyAlignment="1">
      <alignment vertical="center" wrapText="1"/>
    </xf>
    <xf numFmtId="167" fontId="8" fillId="2" borderId="48" xfId="1" applyNumberFormat="1" applyFont="1" applyFill="1" applyBorder="1" applyAlignment="1">
      <alignment horizontal="center" vertical="center" wrapText="1"/>
    </xf>
    <xf numFmtId="0" fontId="45" fillId="0" borderId="8" xfId="0" applyFont="1" applyFill="1" applyBorder="1" applyProtection="1">
      <protection locked="0"/>
    </xf>
    <xf numFmtId="0" fontId="46" fillId="0" borderId="8" xfId="0" applyFont="1" applyFill="1" applyBorder="1" applyAlignment="1" applyProtection="1">
      <alignment horizontal="center"/>
      <protection locked="0"/>
    </xf>
    <xf numFmtId="165" fontId="45" fillId="0" borderId="8" xfId="0" applyNumberFormat="1" applyFont="1" applyFill="1" applyBorder="1" applyAlignment="1" applyProtection="1">
      <alignment horizontal="left"/>
      <protection locked="0"/>
    </xf>
    <xf numFmtId="0" fontId="2" fillId="3" borderId="9" xfId="0" applyFont="1" applyFill="1" applyBorder="1" applyAlignment="1" applyProtection="1">
      <alignment horizontal="left" vertical="center" wrapText="1"/>
      <protection locked="0" hidden="1"/>
    </xf>
    <xf numFmtId="0" fontId="2" fillId="3" borderId="11" xfId="0" applyFont="1" applyFill="1" applyBorder="1" applyAlignment="1" applyProtection="1">
      <alignment horizontal="left" vertical="center" wrapText="1"/>
      <protection locked="0" hidden="1"/>
    </xf>
    <xf numFmtId="0" fontId="2" fillId="3" borderId="12" xfId="0" applyFont="1" applyFill="1" applyBorder="1" applyAlignment="1" applyProtection="1">
      <alignment horizontal="left" vertical="center" wrapText="1"/>
      <protection locked="0" hidden="1"/>
    </xf>
    <xf numFmtId="0" fontId="2" fillId="3" borderId="13" xfId="0" applyFont="1" applyFill="1" applyBorder="1" applyAlignment="1" applyProtection="1">
      <alignment horizontal="left" vertical="center" wrapText="1"/>
      <protection locked="0" hidden="1"/>
    </xf>
    <xf numFmtId="0" fontId="2" fillId="3" borderId="14" xfId="0" applyFont="1" applyFill="1" applyBorder="1" applyAlignment="1" applyProtection="1">
      <alignment horizontal="left" vertical="center" wrapText="1"/>
      <protection locked="0" hidden="1"/>
    </xf>
    <xf numFmtId="0" fontId="2" fillId="3" borderId="16" xfId="0" applyFont="1" applyFill="1" applyBorder="1" applyAlignment="1" applyProtection="1">
      <alignment horizontal="left" vertical="center" wrapText="1"/>
      <protection locked="0" hidden="1"/>
    </xf>
    <xf numFmtId="0" fontId="8" fillId="0" borderId="0" xfId="1" applyFont="1" applyFill="1" applyBorder="1" applyAlignment="1">
      <alignment horizontal="center" vertical="center" wrapText="1"/>
    </xf>
    <xf numFmtId="166" fontId="8" fillId="0" borderId="0" xfId="1" applyNumberFormat="1" applyFont="1" applyFill="1" applyBorder="1" applyAlignment="1">
      <alignment horizontal="center" vertical="center"/>
    </xf>
    <xf numFmtId="2" fontId="8" fillId="0" borderId="0" xfId="1" applyNumberFormat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167" fontId="8" fillId="0" borderId="0" xfId="1" applyNumberFormat="1" applyFont="1" applyFill="1" applyBorder="1" applyAlignment="1">
      <alignment horizontal="center" vertical="center"/>
    </xf>
    <xf numFmtId="170" fontId="8" fillId="0" borderId="0" xfId="1" applyNumberFormat="1" applyFont="1" applyFill="1" applyBorder="1" applyAlignment="1">
      <alignment horizontal="center" vertical="center"/>
    </xf>
    <xf numFmtId="168" fontId="8" fillId="0" borderId="0" xfId="1" applyNumberFormat="1" applyFont="1" applyFill="1" applyBorder="1" applyAlignment="1">
      <alignment horizontal="center" vertical="center"/>
    </xf>
    <xf numFmtId="167" fontId="8" fillId="0" borderId="0" xfId="1" applyNumberFormat="1" applyFont="1" applyFill="1" applyBorder="1" applyAlignment="1">
      <alignment horizontal="center" vertical="center" wrapText="1"/>
    </xf>
    <xf numFmtId="169" fontId="8" fillId="0" borderId="0" xfId="1" applyNumberFormat="1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>
      <alignment horizontal="center" vertical="center"/>
    </xf>
    <xf numFmtId="167" fontId="14" fillId="0" borderId="0" xfId="1" applyNumberFormat="1" applyFont="1" applyFill="1" applyBorder="1" applyAlignment="1">
      <alignment horizontal="center" vertical="center"/>
    </xf>
    <xf numFmtId="170" fontId="14" fillId="0" borderId="0" xfId="1" applyNumberFormat="1" applyFont="1" applyFill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0" fontId="8" fillId="0" borderId="0" xfId="1" applyNumberFormat="1" applyFont="1" applyFill="1" applyBorder="1" applyAlignment="1">
      <alignment horizontal="center" vertical="center"/>
    </xf>
    <xf numFmtId="174" fontId="8" fillId="0" borderId="46" xfId="1" applyNumberFormat="1" applyFont="1" applyBorder="1" applyAlignment="1">
      <alignment horizontal="center" vertical="center"/>
    </xf>
    <xf numFmtId="169" fontId="8" fillId="11" borderId="44" xfId="1" applyNumberFormat="1" applyFont="1" applyFill="1" applyBorder="1" applyAlignment="1">
      <alignment horizontal="left" vertical="center"/>
    </xf>
    <xf numFmtId="169" fontId="8" fillId="11" borderId="8" xfId="1" applyNumberFormat="1" applyFont="1" applyFill="1" applyBorder="1" applyAlignment="1">
      <alignment horizontal="left" vertical="center"/>
    </xf>
    <xf numFmtId="169" fontId="8" fillId="11" borderId="48" xfId="1" applyNumberFormat="1" applyFont="1" applyFill="1" applyBorder="1" applyAlignment="1">
      <alignment horizontal="center" vertical="center"/>
    </xf>
    <xf numFmtId="0" fontId="14" fillId="11" borderId="44" xfId="1" applyFont="1" applyFill="1" applyBorder="1" applyAlignment="1">
      <alignment vertical="center" wrapText="1"/>
    </xf>
    <xf numFmtId="0" fontId="14" fillId="11" borderId="8" xfId="1" applyFont="1" applyFill="1" applyBorder="1">
      <alignment vertical="center"/>
    </xf>
    <xf numFmtId="170" fontId="14" fillId="11" borderId="48" xfId="1" applyNumberFormat="1" applyFont="1" applyFill="1" applyBorder="1" applyAlignment="1">
      <alignment horizontal="center" vertical="center"/>
    </xf>
    <xf numFmtId="0" fontId="47" fillId="0" borderId="0" xfId="0" applyFont="1" applyFill="1" applyBorder="1" applyAlignment="1" applyProtection="1">
      <alignment horizontal="left" vertical="center"/>
      <protection locked="0"/>
    </xf>
    <xf numFmtId="167" fontId="8" fillId="0" borderId="48" xfId="1" applyNumberFormat="1" applyFont="1" applyFill="1" applyBorder="1" applyAlignment="1">
      <alignment horizontal="center" vertical="center"/>
    </xf>
    <xf numFmtId="0" fontId="25" fillId="0" borderId="25" xfId="0" applyFont="1" applyBorder="1" applyAlignment="1" applyProtection="1">
      <alignment horizontal="left" vertical="center" wrapText="1"/>
      <protection locked="0"/>
    </xf>
    <xf numFmtId="0" fontId="25" fillId="0" borderId="0" xfId="0" applyFont="1" applyBorder="1" applyAlignment="1" applyProtection="1">
      <alignment horizontal="left" vertical="center" wrapText="1"/>
      <protection locked="0"/>
    </xf>
    <xf numFmtId="0" fontId="6" fillId="0" borderId="17" xfId="0" applyFont="1" applyFill="1" applyBorder="1" applyAlignment="1" applyProtection="1">
      <alignment horizontal="left" vertical="center"/>
      <protection locked="0"/>
    </xf>
    <xf numFmtId="0" fontId="6" fillId="0" borderId="19" xfId="0" applyFont="1" applyFill="1" applyBorder="1" applyAlignment="1" applyProtection="1">
      <alignment horizontal="left" vertical="center"/>
      <protection locked="0"/>
    </xf>
    <xf numFmtId="0" fontId="6" fillId="0" borderId="18" xfId="0" applyFont="1" applyFill="1" applyBorder="1" applyAlignment="1" applyProtection="1">
      <alignment horizontal="left" vertical="center"/>
      <protection locked="0"/>
    </xf>
    <xf numFmtId="0" fontId="6" fillId="0" borderId="25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41" fillId="0" borderId="17" xfId="0" applyFont="1" applyFill="1" applyBorder="1" applyAlignment="1" applyProtection="1">
      <alignment horizontal="center" wrapText="1"/>
      <protection locked="0"/>
    </xf>
    <xf numFmtId="0" fontId="41" fillId="0" borderId="19" xfId="0" applyFont="1" applyFill="1" applyBorder="1" applyAlignment="1" applyProtection="1">
      <alignment horizontal="center" wrapText="1"/>
      <protection locked="0"/>
    </xf>
    <xf numFmtId="0" fontId="43" fillId="0" borderId="21" xfId="0" applyFont="1" applyBorder="1" applyAlignment="1" applyProtection="1">
      <alignment horizontal="center" vertical="center" wrapText="1"/>
      <protection locked="0"/>
    </xf>
    <xf numFmtId="0" fontId="43" fillId="0" borderId="24" xfId="0" applyFont="1" applyBorder="1" applyAlignment="1" applyProtection="1">
      <alignment horizontal="center" vertical="center" wrapText="1"/>
      <protection locked="0"/>
    </xf>
    <xf numFmtId="0" fontId="43" fillId="0" borderId="41" xfId="0" applyFont="1" applyBorder="1" applyAlignment="1" applyProtection="1">
      <alignment horizontal="center" vertical="center" wrapText="1"/>
      <protection locked="0"/>
    </xf>
    <xf numFmtId="0" fontId="43" fillId="0" borderId="0" xfId="0" applyFont="1" applyBorder="1" applyAlignment="1" applyProtection="1">
      <alignment horizontal="center" vertical="center" wrapText="1"/>
      <protection locked="0"/>
    </xf>
    <xf numFmtId="0" fontId="35" fillId="0" borderId="46" xfId="1" applyFont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  <protection locked="0" hidden="1"/>
    </xf>
    <xf numFmtId="0" fontId="2" fillId="3" borderId="4" xfId="0" applyFont="1" applyFill="1" applyBorder="1" applyAlignment="1" applyProtection="1">
      <alignment horizontal="center" vertical="center" wrapText="1"/>
      <protection locked="0" hidden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</cellXfs>
  <cellStyles count="5">
    <cellStyle name="常规" xfId="0" builtinId="0"/>
    <cellStyle name="常规 2" xfId="1" xr:uid="{C3D6F4F5-AC38-47CF-97FC-B20C4C64131B}"/>
    <cellStyle name="常规 3" xfId="4" xr:uid="{BB5B075F-AF3E-4780-AE04-A2E2F50E12D6}"/>
    <cellStyle name="常规 4" xfId="3" xr:uid="{354B5358-7744-4342-9EA6-970D36072641}"/>
    <cellStyle name="百分比 2" xfId="2" xr:uid="{E7A87376-1AA0-42A6-AB0B-2A6C246DE658}"/>
  </cellStyles>
  <dxfs count="11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FF00"/>
      <color rgb="FF7DF52B"/>
      <color rgb="FF6EF612"/>
      <color rgb="FF7AF725"/>
      <color rgb="FF81F731"/>
      <color rgb="FF75F6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649941</xdr:colOff>
      <xdr:row>25</xdr:row>
      <xdr:rowOff>112059</xdr:rowOff>
    </xdr:from>
    <xdr:to>
      <xdr:col>16</xdr:col>
      <xdr:colOff>328639</xdr:colOff>
      <xdr:row>36</xdr:row>
      <xdr:rowOff>138686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C144B80-20AE-40ED-8A10-08EBFCE80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5382" y="5468471"/>
          <a:ext cx="6514286" cy="21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33618</xdr:colOff>
      <xdr:row>13</xdr:row>
      <xdr:rowOff>67235</xdr:rowOff>
    </xdr:from>
    <xdr:to>
      <xdr:col>19</xdr:col>
      <xdr:colOff>395874</xdr:colOff>
      <xdr:row>24</xdr:row>
      <xdr:rowOff>105068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56ACB2C-5971-4596-9217-80B14C5AC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736" y="2835088"/>
          <a:ext cx="6514286" cy="21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44823</xdr:colOff>
      <xdr:row>8</xdr:row>
      <xdr:rowOff>11207</xdr:rowOff>
    </xdr:from>
    <xdr:to>
      <xdr:col>8</xdr:col>
      <xdr:colOff>182467</xdr:colOff>
      <xdr:row>21</xdr:row>
      <xdr:rowOff>45060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3183ACD-AE5E-467E-83C3-DB346A99D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4588" y="2039472"/>
          <a:ext cx="1504762" cy="26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78440</xdr:colOff>
      <xdr:row>6</xdr:row>
      <xdr:rowOff>168088</xdr:rowOff>
    </xdr:from>
    <xdr:to>
      <xdr:col>10</xdr:col>
      <xdr:colOff>292275</xdr:colOff>
      <xdr:row>21</xdr:row>
      <xdr:rowOff>97131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7088B21-4F9A-4F0D-9708-80019B8FB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5322" y="1815353"/>
          <a:ext cx="1580952" cy="2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437031</xdr:colOff>
      <xdr:row>35</xdr:row>
      <xdr:rowOff>134471</xdr:rowOff>
    </xdr:from>
    <xdr:to>
      <xdr:col>17</xdr:col>
      <xdr:colOff>549512</xdr:colOff>
      <xdr:row>41</xdr:row>
      <xdr:rowOff>171807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1C74E4-EFF8-4B50-A1DF-4E31409A1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7413" y="7832912"/>
          <a:ext cx="5580952" cy="16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336175</xdr:colOff>
      <xdr:row>36</xdr:row>
      <xdr:rowOff>145675</xdr:rowOff>
    </xdr:from>
    <xdr:to>
      <xdr:col>19</xdr:col>
      <xdr:colOff>158631</xdr:colOff>
      <xdr:row>53</xdr:row>
      <xdr:rowOff>33733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4B0227-10E6-4943-864C-12F0E518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13322" y="8090646"/>
          <a:ext cx="3923809" cy="35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257735</xdr:colOff>
      <xdr:row>23</xdr:row>
      <xdr:rowOff>1</xdr:rowOff>
    </xdr:from>
    <xdr:to>
      <xdr:col>10</xdr:col>
      <xdr:colOff>512174</xdr:colOff>
      <xdr:row>37</xdr:row>
      <xdr:rowOff>4050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B04D7B1-29EB-4AA3-BF8B-29776005D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86264" y="4728883"/>
          <a:ext cx="3952381" cy="34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291354</xdr:colOff>
      <xdr:row>53</xdr:row>
      <xdr:rowOff>134471</xdr:rowOff>
    </xdr:from>
    <xdr:to>
      <xdr:col>16</xdr:col>
      <xdr:colOff>251360</xdr:colOff>
      <xdr:row>62</xdr:row>
      <xdr:rowOff>109618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7E1EDA-6172-40F3-AA35-5CFABA236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7119" y="11564471"/>
          <a:ext cx="6190476" cy="1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280147</xdr:colOff>
      <xdr:row>57</xdr:row>
      <xdr:rowOff>33618</xdr:rowOff>
    </xdr:from>
    <xdr:to>
      <xdr:col>5</xdr:col>
      <xdr:colOff>302557</xdr:colOff>
      <xdr:row>68</xdr:row>
      <xdr:rowOff>145414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CFF15DF-54EB-4227-995F-070D183F1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147" y="12180794"/>
          <a:ext cx="4796116" cy="20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33619</xdr:colOff>
      <xdr:row>5</xdr:row>
      <xdr:rowOff>179293</xdr:rowOff>
    </xdr:from>
    <xdr:to>
      <xdr:col>15</xdr:col>
      <xdr:colOff>70905</xdr:colOff>
      <xdr:row>16</xdr:row>
      <xdr:rowOff>93862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7E5827D-C77C-483A-ACD5-A81DE886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32060" y="1176617"/>
          <a:ext cx="6514286" cy="21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22411</xdr:colOff>
      <xdr:row>20</xdr:row>
      <xdr:rowOff>22412</xdr:rowOff>
    </xdr:from>
    <xdr:to>
      <xdr:col>11</xdr:col>
      <xdr:colOff>473820</xdr:colOff>
      <xdr:row>33</xdr:row>
      <xdr:rowOff>123500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078CB26-0A5F-4F50-8404-C1118EB9A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04293" y="4045324"/>
          <a:ext cx="1504762" cy="26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437027</xdr:colOff>
      <xdr:row>18</xdr:row>
      <xdr:rowOff>134472</xdr:rowOff>
    </xdr:from>
    <xdr:to>
      <xdr:col>13</xdr:col>
      <xdr:colOff>258655</xdr:colOff>
      <xdr:row>33</xdr:row>
      <xdr:rowOff>108338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3939984-8320-4B11-AB1F-BAC1C583E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72262" y="3753972"/>
          <a:ext cx="1580952" cy="2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7</xdr:col>
      <xdr:colOff>832903</xdr:colOff>
      <xdr:row>44</xdr:row>
      <xdr:rowOff>295569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1C7F58F-EF45-44FB-9C2E-678641ED2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8529" y="6701118"/>
          <a:ext cx="6514286" cy="2133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4.236.50\Documents%20and%20Settings\dinghp\Local%20Settings\Temporary%20Internet%20Files\Content.Outlook\YHLBZX24\Two-stage%20Part%20Load%20efficiency%20Map%20(fixed%20speed%20%20variable%20speed)_2012-05-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1.Engineering\20.KeyDesignData\LC_ProductData_Database_201306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REFPROP\REFPROP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S PL Map (2D-interplation)"/>
      <sheetName val="FS PL Map (2D-interplation)"/>
      <sheetName val="Nom Rot Mach Num"/>
      <sheetName val="Surge&amp;Choke line"/>
      <sheetName val="Adv design points correction"/>
      <sheetName val="Mech Loss Calculation"/>
      <sheetName val="ECS_MTR_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MEA_Chart"/>
      <sheetName val="Agenda"/>
      <sheetName val="DFMEA"/>
      <sheetName val="PFMEA"/>
      <sheetName val="SR"/>
      <sheetName val="OR"/>
      <sheetName val="DR"/>
      <sheetName val="WT"/>
      <sheetName val="PLN"/>
      <sheetName val="BLauch"/>
      <sheetName val="Catalog&amp;Envelope"/>
      <sheetName val="Performance"/>
      <sheetName val="ProductData"/>
      <sheetName val="Control"/>
      <sheetName val="DDS"/>
      <sheetName val="ADD"/>
      <sheetName val="TRD"/>
      <sheetName val="CD"/>
      <sheetName val="HXD"/>
      <sheetName val="TD"/>
      <sheetName val="WBD"/>
      <sheetName val="EVPD"/>
      <sheetName val="CMD"/>
      <sheetName val="MMD"/>
      <sheetName val="SDT"/>
      <sheetName val="PDCA"/>
      <sheetName val="PDCA_Photo"/>
      <sheetName val="CDC"/>
      <sheetName val="PM"/>
      <sheetName val="TFMEA"/>
      <sheetName val="TP"/>
      <sheetName val="DTD"/>
      <sheetName val="B2TD"/>
      <sheetName val="B1TD"/>
      <sheetName val="Data"/>
      <sheetName val="DTDS"/>
      <sheetName val="BTDS"/>
      <sheetName val="BOM_E5046"/>
      <sheetName val="BOM_E6466"/>
      <sheetName val="P&amp;C"/>
      <sheetName val="DrawingReivewSWI"/>
      <sheetName val="Requirements"/>
      <sheetName val="ActionI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N2" t="str">
            <v>NGC D</v>
          </cell>
          <cell r="O2" t="str">
            <v>Prototype Building(SDC)</v>
          </cell>
        </row>
        <row r="3">
          <cell r="N3" t="str">
            <v>NGC B2</v>
          </cell>
          <cell r="O3" t="str">
            <v>Prototype Testing(SDC)</v>
          </cell>
        </row>
        <row r="4">
          <cell r="N4" t="str">
            <v>NGC B1</v>
          </cell>
          <cell r="O4" t="str">
            <v>Family(SDC)</v>
          </cell>
        </row>
        <row r="5">
          <cell r="N5" t="str">
            <v>NGC C</v>
          </cell>
          <cell r="O5" t="str">
            <v>ECS Building(SDC)</v>
          </cell>
        </row>
        <row r="6">
          <cell r="O6" t="str">
            <v>ECS Testing(SDC)</v>
          </cell>
        </row>
        <row r="7">
          <cell r="O7" t="str">
            <v>MCS Building (YLC)</v>
          </cell>
        </row>
        <row r="8">
          <cell r="O8" t="str">
            <v>MCS Testing (YLC)</v>
          </cell>
        </row>
        <row r="9">
          <cell r="O9" t="str">
            <v>MCS Building(CLT)</v>
          </cell>
        </row>
        <row r="10">
          <cell r="O10" t="str">
            <v>MCS Testing(CLT)</v>
          </cell>
        </row>
        <row r="11">
          <cell r="O11" t="str">
            <v>Production (YLC)</v>
          </cell>
        </row>
        <row r="12">
          <cell r="O12" t="str">
            <v>Production (CLT)</v>
          </cell>
        </row>
        <row r="13">
          <cell r="O13" t="str">
            <v>Service&amp;Operation (YLC)</v>
          </cell>
        </row>
        <row r="14">
          <cell r="O14" t="str">
            <v>Service&amp;Operation (CLT)</v>
          </cell>
        </row>
      </sheetData>
      <sheetData sheetId="26"/>
      <sheetData sheetId="27">
        <row r="2">
          <cell r="N2" t="str">
            <v>NGC D</v>
          </cell>
        </row>
      </sheetData>
      <sheetData sheetId="28">
        <row r="2">
          <cell r="N2" t="str">
            <v>NGC D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FPROP"/>
    </sheetNames>
    <definedNames>
      <definedName name="Density"/>
      <definedName name="Enthalpy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031B-87E9-4D6E-A15D-E1E564F41C91}">
  <sheetPr codeName="Sheet5"/>
  <dimension ref="A1:H33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E9" sqref="E9"/>
    </sheetView>
  </sheetViews>
  <sheetFormatPr defaultColWidth="9" defaultRowHeight="14.5"/>
  <cols>
    <col min="1" max="1" width="34.453125" style="93" customWidth="1"/>
    <col min="2" max="2" width="10.1796875" style="102" customWidth="1"/>
    <col min="3" max="3" width="21.81640625" style="28" customWidth="1"/>
    <col min="4" max="4" width="61.26953125" style="111" customWidth="1"/>
    <col min="5" max="5" width="23.1796875" style="32" customWidth="1"/>
    <col min="6" max="6" width="15.54296875" style="32" customWidth="1"/>
    <col min="7" max="7" width="50.453125" style="32" customWidth="1"/>
    <col min="8" max="16384" width="9" style="32"/>
  </cols>
  <sheetData>
    <row r="1" spans="1:8" s="27" customFormat="1" ht="33.75" customHeight="1" thickBot="1">
      <c r="A1" s="81" t="s">
        <v>30</v>
      </c>
      <c r="B1" s="94"/>
      <c r="C1" s="25"/>
      <c r="D1" s="108"/>
    </row>
    <row r="2" spans="1:8" s="26" customFormat="1" ht="60.75" customHeight="1" thickBot="1">
      <c r="A2" s="36" t="s">
        <v>32</v>
      </c>
      <c r="B2" s="37"/>
      <c r="C2" s="38"/>
      <c r="D2" s="107" t="s">
        <v>112</v>
      </c>
      <c r="F2" s="290" t="s">
        <v>204</v>
      </c>
      <c r="G2" s="291"/>
      <c r="H2" s="28"/>
    </row>
    <row r="3" spans="1:8" s="73" customFormat="1" ht="26.25" customHeight="1">
      <c r="A3" s="82" t="s">
        <v>33</v>
      </c>
      <c r="B3" s="95"/>
      <c r="C3" s="29" t="s">
        <v>34</v>
      </c>
      <c r="D3" s="109"/>
      <c r="F3" s="80" t="s">
        <v>97</v>
      </c>
      <c r="G3" s="123"/>
      <c r="H3" s="75"/>
    </row>
    <row r="4" spans="1:8" s="26" customFormat="1" ht="15">
      <c r="A4" s="83" t="s">
        <v>22</v>
      </c>
      <c r="B4" s="48" t="s">
        <v>36</v>
      </c>
      <c r="C4" s="195">
        <v>1300</v>
      </c>
      <c r="D4" s="116" t="s">
        <v>114</v>
      </c>
      <c r="E4" s="77"/>
      <c r="F4" s="124"/>
      <c r="G4" s="67" t="s">
        <v>111</v>
      </c>
      <c r="H4" s="28"/>
    </row>
    <row r="5" spans="1:8" s="26" customFormat="1" ht="15">
      <c r="A5" s="199" t="s">
        <v>13</v>
      </c>
      <c r="B5" s="96"/>
      <c r="C5" s="196">
        <v>70</v>
      </c>
      <c r="D5" s="117" t="s">
        <v>115</v>
      </c>
      <c r="E5" s="77"/>
      <c r="F5" s="66" t="s">
        <v>202</v>
      </c>
      <c r="G5" s="67" t="s">
        <v>178</v>
      </c>
      <c r="H5" s="28"/>
    </row>
    <row r="6" spans="1:8" s="73" customFormat="1" ht="15" thickBot="1">
      <c r="A6" s="84" t="s">
        <v>14</v>
      </c>
      <c r="B6" s="97"/>
      <c r="C6" s="197">
        <v>2</v>
      </c>
      <c r="D6" s="117" t="s">
        <v>115</v>
      </c>
      <c r="E6" s="77"/>
      <c r="F6" s="31" t="s">
        <v>108</v>
      </c>
      <c r="G6" s="74" t="s">
        <v>121</v>
      </c>
      <c r="H6" s="75"/>
    </row>
    <row r="7" spans="1:8" s="73" customFormat="1" ht="15" thickBot="1">
      <c r="A7" s="84" t="s">
        <v>15</v>
      </c>
      <c r="B7" s="97"/>
      <c r="C7" s="197" t="s">
        <v>127</v>
      </c>
      <c r="D7" s="117" t="s">
        <v>115</v>
      </c>
      <c r="E7" s="77"/>
      <c r="F7" s="31" t="s">
        <v>109</v>
      </c>
      <c r="G7" s="74" t="s">
        <v>201</v>
      </c>
      <c r="H7" s="75"/>
    </row>
    <row r="8" spans="1:8" ht="15" thickBot="1">
      <c r="A8" s="83" t="s">
        <v>17</v>
      </c>
      <c r="B8" s="96" t="s">
        <v>16</v>
      </c>
      <c r="C8" s="115">
        <v>71.599999999999994</v>
      </c>
      <c r="D8" s="117" t="s">
        <v>114</v>
      </c>
      <c r="F8" s="31" t="s">
        <v>99</v>
      </c>
      <c r="G8" s="74" t="s">
        <v>125</v>
      </c>
    </row>
    <row r="9" spans="1:8" s="26" customFormat="1" ht="42.5" thickBot="1">
      <c r="A9" s="83" t="s">
        <v>20</v>
      </c>
      <c r="B9" s="48" t="s">
        <v>38</v>
      </c>
      <c r="C9" s="30">
        <v>58.4</v>
      </c>
      <c r="D9" s="116" t="s">
        <v>114</v>
      </c>
      <c r="F9" s="31" t="s">
        <v>107</v>
      </c>
      <c r="G9" s="74" t="s">
        <v>126</v>
      </c>
    </row>
    <row r="10" spans="1:8" s="26" customFormat="1">
      <c r="A10" s="83" t="s">
        <v>98</v>
      </c>
      <c r="B10" s="96" t="s">
        <v>16</v>
      </c>
      <c r="C10" s="115">
        <v>59</v>
      </c>
      <c r="D10" s="117" t="s">
        <v>114</v>
      </c>
    </row>
    <row r="11" spans="1:8" s="26" customFormat="1">
      <c r="A11" s="85" t="s">
        <v>41</v>
      </c>
      <c r="B11" s="48" t="s">
        <v>16</v>
      </c>
      <c r="C11" s="30">
        <v>106.7</v>
      </c>
      <c r="D11" s="116" t="s">
        <v>114</v>
      </c>
    </row>
    <row r="12" spans="1:8" s="26" customFormat="1">
      <c r="A12" s="85" t="s">
        <v>37</v>
      </c>
      <c r="B12" s="48" t="s">
        <v>38</v>
      </c>
      <c r="C12" s="30">
        <v>100.2</v>
      </c>
      <c r="D12" s="116" t="s">
        <v>114</v>
      </c>
    </row>
    <row r="13" spans="1:8" s="26" customFormat="1">
      <c r="A13" s="85" t="s">
        <v>100</v>
      </c>
      <c r="B13" s="48"/>
      <c r="C13" s="195" t="s">
        <v>141</v>
      </c>
      <c r="D13" s="116" t="s">
        <v>116</v>
      </c>
    </row>
    <row r="14" spans="1:8" s="26" customFormat="1" ht="29">
      <c r="A14" s="86" t="s">
        <v>21</v>
      </c>
      <c r="B14" s="48" t="s">
        <v>38</v>
      </c>
      <c r="C14" s="195">
        <v>81.99</v>
      </c>
      <c r="D14" s="116" t="s">
        <v>114</v>
      </c>
    </row>
    <row r="15" spans="1:8" s="26" customFormat="1">
      <c r="A15" s="85" t="s">
        <v>42</v>
      </c>
      <c r="B15" s="48" t="s">
        <v>43</v>
      </c>
      <c r="C15" s="195">
        <v>11.57</v>
      </c>
      <c r="D15" s="116" t="s">
        <v>114</v>
      </c>
    </row>
    <row r="16" spans="1:8" s="26" customFormat="1" ht="15" thickBot="1">
      <c r="A16" s="87" t="s">
        <v>44</v>
      </c>
      <c r="B16" s="98" t="s">
        <v>43</v>
      </c>
      <c r="C16" s="198">
        <f>C10-C9</f>
        <v>0.60000000000000142</v>
      </c>
      <c r="D16" s="118" t="s">
        <v>114</v>
      </c>
    </row>
    <row r="17" spans="1:5" s="26" customFormat="1" ht="15" thickBot="1">
      <c r="A17" s="33"/>
      <c r="B17" s="34"/>
      <c r="C17" s="35"/>
      <c r="D17" s="104"/>
    </row>
    <row r="18" spans="1:5" s="26" customFormat="1" ht="15.5">
      <c r="A18" s="36" t="s">
        <v>101</v>
      </c>
      <c r="B18" s="37"/>
      <c r="C18" s="38"/>
      <c r="D18" s="107"/>
    </row>
    <row r="19" spans="1:5" s="26" customFormat="1">
      <c r="A19" s="88" t="s">
        <v>93</v>
      </c>
      <c r="B19" s="99" t="s">
        <v>66</v>
      </c>
      <c r="C19" s="71">
        <f>'19XRC_Econ'!D55</f>
        <v>250</v>
      </c>
      <c r="D19" s="119" t="s">
        <v>117</v>
      </c>
    </row>
    <row r="20" spans="1:5" s="26" customFormat="1" ht="15" thickBot="1">
      <c r="A20" s="89" t="s">
        <v>104</v>
      </c>
      <c r="B20" s="100" t="s">
        <v>94</v>
      </c>
      <c r="C20" s="72" t="e">
        <f ca="1">'19XRC_Econ'!D56</f>
        <v>#NAME?</v>
      </c>
      <c r="D20" s="120" t="s">
        <v>118</v>
      </c>
      <c r="E20" s="39"/>
    </row>
    <row r="21" spans="1:5" s="26" customFormat="1" ht="15" thickBot="1">
      <c r="A21" s="89" t="s">
        <v>196</v>
      </c>
      <c r="B21" s="100" t="s">
        <v>94</v>
      </c>
      <c r="C21" s="72" t="e">
        <f ca="1">'19XRC_Econ'!D57</f>
        <v>#NAME?</v>
      </c>
      <c r="D21" s="120" t="s">
        <v>206</v>
      </c>
      <c r="E21" s="39"/>
    </row>
    <row r="22" spans="1:5" s="26" customFormat="1" ht="15" thickBot="1">
      <c r="A22" s="90" t="s">
        <v>96</v>
      </c>
      <c r="B22" s="64" t="s">
        <v>36</v>
      </c>
      <c r="C22" s="65">
        <f>'19XRC_Evap'!D32</f>
        <v>1746.2987344695794</v>
      </c>
      <c r="D22" s="105"/>
    </row>
    <row r="23" spans="1:5" s="26" customFormat="1">
      <c r="A23" s="91"/>
      <c r="B23" s="40"/>
      <c r="C23" s="41"/>
      <c r="D23" s="106"/>
    </row>
    <row r="24" spans="1:5" s="43" customFormat="1" ht="15" thickBot="1">
      <c r="A24" s="91"/>
      <c r="B24" s="40"/>
      <c r="C24" s="42"/>
      <c r="D24" s="106"/>
    </row>
    <row r="25" spans="1:5" s="43" customFormat="1" ht="15.5">
      <c r="A25" s="36" t="s">
        <v>102</v>
      </c>
      <c r="B25" s="44"/>
      <c r="C25" s="103"/>
      <c r="D25" s="110"/>
    </row>
    <row r="26" spans="1:5" ht="19.5" customHeight="1">
      <c r="A26" s="68" t="s">
        <v>65</v>
      </c>
      <c r="B26" s="69" t="s">
        <v>66</v>
      </c>
      <c r="C26" s="70" t="e">
        <f ca="1">'19XRC_Econ'!D29</f>
        <v>#NAME?</v>
      </c>
      <c r="D26" s="121" t="s">
        <v>119</v>
      </c>
    </row>
    <row r="27" spans="1:5" ht="15.5">
      <c r="A27" s="45" t="s">
        <v>103</v>
      </c>
      <c r="B27" s="46" t="s">
        <v>86</v>
      </c>
      <c r="C27" s="76" t="e">
        <f ca="1">'19XRC_Econ'!D48</f>
        <v>#NAME?</v>
      </c>
      <c r="D27" s="122" t="s">
        <v>120</v>
      </c>
    </row>
    <row r="28" spans="1:5">
      <c r="A28" s="68" t="s">
        <v>65</v>
      </c>
      <c r="B28" s="69" t="s">
        <v>66</v>
      </c>
      <c r="C28" s="76" t="e">
        <f ca="1">IF(C26&lt;C19,"OK","NO")</f>
        <v>#NAME?</v>
      </c>
      <c r="D28" s="122" t="s">
        <v>122</v>
      </c>
    </row>
    <row r="29" spans="1:5" ht="15.5">
      <c r="A29" s="45" t="s">
        <v>103</v>
      </c>
      <c r="B29" s="46" t="s">
        <v>86</v>
      </c>
      <c r="C29" s="76" t="e">
        <f ca="1">IF(C27&lt;=C20,"OK",IF(C27&lt;C21,"ETO","NO"))</f>
        <v>#NAME?</v>
      </c>
      <c r="D29" s="122" t="s">
        <v>205</v>
      </c>
    </row>
    <row r="30" spans="1:5">
      <c r="A30" s="45" t="s">
        <v>105</v>
      </c>
      <c r="B30" s="48" t="s">
        <v>36</v>
      </c>
      <c r="C30" s="47" t="str">
        <f>IF(C22&gt;C4,"OK","NO")</f>
        <v>OK</v>
      </c>
      <c r="D30" s="122" t="s">
        <v>123</v>
      </c>
    </row>
    <row r="31" spans="1:5" s="79" customFormat="1" ht="15" thickBot="1">
      <c r="A31" s="92" t="s">
        <v>106</v>
      </c>
      <c r="B31" s="101"/>
      <c r="C31" s="78" t="e">
        <f ca="1">IF(OR(C28="NO",C29="NO",C30="NO"),"Failed","Pass")</f>
        <v>#NAME?</v>
      </c>
      <c r="D31" s="122" t="s">
        <v>124</v>
      </c>
    </row>
    <row r="32" spans="1:5" s="79" customFormat="1" ht="15" thickBot="1">
      <c r="A32" s="114"/>
      <c r="B32" s="112"/>
      <c r="C32" s="288"/>
      <c r="D32" s="113"/>
    </row>
    <row r="33" spans="1:4" s="75" customFormat="1" ht="65.25" customHeight="1" thickBot="1">
      <c r="A33" s="126" t="s">
        <v>113</v>
      </c>
      <c r="B33" s="125"/>
      <c r="C33" s="128" t="e">
        <f ca="1">IF(C31="Failed","拒绝此选型订单",IF(OR(C28="ETO",C29="ETO",C30="ETO"),"首次ETO设计出厂，必须添加测试","Go ahead"))</f>
        <v>#NAME?</v>
      </c>
      <c r="D33" s="127"/>
    </row>
  </sheetData>
  <sheetProtection selectLockedCells="1"/>
  <protectedRanges>
    <protectedRange sqref="C10 C5:C8" name="区域1"/>
  </protectedRanges>
  <mergeCells count="1">
    <mergeCell ref="F2:G2"/>
  </mergeCells>
  <phoneticPr fontId="9" type="noConversion"/>
  <conditionalFormatting sqref="C31">
    <cfRule type="cellIs" dxfId="10" priority="1" stopIfTrue="1" operator="equal">
      <formula>Pass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A17D2FCB-23FB-489A-9EB3-575E0B86DD20}">
          <x14:formula1>
            <xm:f>Category!$E$3:$E$6</xm:f>
          </x14:formula1>
          <xm:sqref>C13</xm:sqref>
        </x14:dataValidation>
        <x14:dataValidation type="list" showInputMessage="1" showErrorMessage="1" xr:uid="{70A8D1B5-772B-455F-B481-35DFB41FE599}">
          <x14:formula1>
            <xm:f>Category!$C$3:$C$24</xm:f>
          </x14:formula1>
          <xm:sqref>C5</xm:sqref>
        </x14:dataValidation>
        <x14:dataValidation type="list" showInputMessage="1" showErrorMessage="1" xr:uid="{D1E40BD6-8D6C-4661-8876-66272CC5F1CF}">
          <x14:formula1>
            <xm:f>Category!$A$3:$A$5</xm:f>
          </x14:formula1>
          <xm:sqref>C6</xm:sqref>
        </x14:dataValidation>
        <x14:dataValidation type="list" showInputMessage="1" showErrorMessage="1" xr:uid="{F071E5A6-B1E2-45B3-A01F-75751CA9AEC6}">
          <x14:formula1>
            <xm:f>Category!$B$3:$B$4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6B8A-63B4-46A0-B9F2-0B63110B37D9}">
  <dimension ref="A2:E24"/>
  <sheetViews>
    <sheetView workbookViewId="0">
      <selection activeCell="E4" sqref="E4:E6"/>
    </sheetView>
  </sheetViews>
  <sheetFormatPr defaultRowHeight="14.5"/>
  <cols>
    <col min="2" max="2" width="15.54296875" customWidth="1"/>
    <col min="4" max="4" width="15.54296875" customWidth="1"/>
    <col min="5" max="5" width="16.7265625" customWidth="1"/>
  </cols>
  <sheetData>
    <row r="2" spans="1:5" ht="25">
      <c r="A2" s="192" t="s">
        <v>173</v>
      </c>
      <c r="B2" s="192" t="s">
        <v>15</v>
      </c>
      <c r="C2" s="192" t="s">
        <v>175</v>
      </c>
      <c r="D2" s="192" t="s">
        <v>167</v>
      </c>
      <c r="E2" s="192" t="s">
        <v>100</v>
      </c>
    </row>
    <row r="3" spans="1:5">
      <c r="A3" s="193">
        <v>1</v>
      </c>
      <c r="B3" s="193" t="s">
        <v>127</v>
      </c>
      <c r="C3" s="193">
        <v>70</v>
      </c>
      <c r="D3" s="193">
        <v>12</v>
      </c>
      <c r="E3" s="194" t="s">
        <v>179</v>
      </c>
    </row>
    <row r="4" spans="1:5">
      <c r="A4" s="193">
        <v>2</v>
      </c>
      <c r="B4" s="193" t="s">
        <v>174</v>
      </c>
      <c r="C4" s="193">
        <v>71</v>
      </c>
      <c r="D4" s="193">
        <v>14</v>
      </c>
      <c r="E4" s="194"/>
    </row>
    <row r="5" spans="1:5">
      <c r="A5" s="193">
        <v>3</v>
      </c>
      <c r="B5" s="193"/>
      <c r="C5" s="193">
        <v>72</v>
      </c>
      <c r="D5" s="193">
        <v>16</v>
      </c>
      <c r="E5" s="194"/>
    </row>
    <row r="6" spans="1:5">
      <c r="C6" s="193">
        <v>73</v>
      </c>
      <c r="E6" s="194"/>
    </row>
    <row r="7" spans="1:5">
      <c r="C7" s="193">
        <v>74</v>
      </c>
    </row>
    <row r="8" spans="1:5">
      <c r="C8" s="193">
        <v>75</v>
      </c>
    </row>
    <row r="9" spans="1:5">
      <c r="C9" s="193">
        <v>76</v>
      </c>
    </row>
    <row r="10" spans="1:5">
      <c r="C10" s="193">
        <v>77</v>
      </c>
    </row>
    <row r="11" spans="1:5">
      <c r="C11" s="193">
        <v>78</v>
      </c>
    </row>
    <row r="12" spans="1:5">
      <c r="C12" s="193">
        <v>79</v>
      </c>
    </row>
    <row r="13" spans="1:5">
      <c r="C13" s="193" t="s">
        <v>129</v>
      </c>
    </row>
    <row r="14" spans="1:5">
      <c r="C14" s="193" t="s">
        <v>130</v>
      </c>
    </row>
    <row r="15" spans="1:5">
      <c r="C15" s="193" t="s">
        <v>131</v>
      </c>
    </row>
    <row r="16" spans="1:5">
      <c r="C16" s="193" t="s">
        <v>132</v>
      </c>
    </row>
    <row r="17" spans="3:3">
      <c r="C17" s="193" t="s">
        <v>133</v>
      </c>
    </row>
    <row r="18" spans="3:3">
      <c r="C18" s="193" t="s">
        <v>134</v>
      </c>
    </row>
    <row r="19" spans="3:3">
      <c r="C19" s="193" t="s">
        <v>135</v>
      </c>
    </row>
    <row r="20" spans="3:3">
      <c r="C20" s="193" t="s">
        <v>136</v>
      </c>
    </row>
    <row r="21" spans="3:3">
      <c r="C21" s="193" t="s">
        <v>137</v>
      </c>
    </row>
    <row r="22" spans="3:3">
      <c r="C22" s="193" t="s">
        <v>138</v>
      </c>
    </row>
    <row r="23" spans="3:3">
      <c r="C23" s="193" t="s">
        <v>139</v>
      </c>
    </row>
    <row r="24" spans="3:3">
      <c r="C24" s="193" t="s">
        <v>140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8D7E-CD73-4059-9326-68A5955EE53D}">
  <sheetPr codeName="Sheet4"/>
  <dimension ref="A1:G59"/>
  <sheetViews>
    <sheetView topLeftCell="B1" zoomScale="85" zoomScaleNormal="85" workbookViewId="0">
      <pane ySplit="1" topLeftCell="A14" activePane="bottomLeft" state="frozen"/>
      <selection activeCell="E4" sqref="E4:E6"/>
      <selection pane="bottomLeft" activeCell="E4" sqref="E4:E6"/>
    </sheetView>
  </sheetViews>
  <sheetFormatPr defaultColWidth="9" defaultRowHeight="13"/>
  <cols>
    <col min="1" max="1" width="9.54296875" style="49" customWidth="1"/>
    <col min="2" max="2" width="33.81640625" style="49" customWidth="1"/>
    <col min="3" max="3" width="6.26953125" style="60" customWidth="1"/>
    <col min="4" max="4" width="26.26953125" style="61" customWidth="1"/>
    <col min="5" max="6" width="5" style="183" customWidth="1"/>
    <col min="7" max="16384" width="9" style="49"/>
  </cols>
  <sheetData>
    <row r="1" spans="1:6" ht="44.25" customHeight="1">
      <c r="B1" s="292" t="s">
        <v>28</v>
      </c>
      <c r="C1" s="293"/>
      <c r="D1" s="294"/>
      <c r="E1" s="297" t="s">
        <v>172</v>
      </c>
      <c r="F1" s="298"/>
    </row>
    <row r="2" spans="1:6" ht="25.5" customHeight="1">
      <c r="A2" s="50"/>
      <c r="B2" s="51" t="s">
        <v>12</v>
      </c>
      <c r="C2" s="52"/>
      <c r="D2" s="53" t="s">
        <v>154</v>
      </c>
      <c r="E2" s="184"/>
      <c r="F2" s="184"/>
    </row>
    <row r="3" spans="1:6">
      <c r="A3" s="299" t="s">
        <v>181</v>
      </c>
      <c r="B3" s="205" t="s">
        <v>22</v>
      </c>
      <c r="C3" s="206" t="s">
        <v>23</v>
      </c>
      <c r="D3" s="207">
        <f>'19XRC Low Lift Eco&amp;Cooler Check'!C4</f>
        <v>1300</v>
      </c>
    </row>
    <row r="4" spans="1:6">
      <c r="A4" s="300"/>
      <c r="B4" s="205" t="s">
        <v>13</v>
      </c>
      <c r="C4" s="206"/>
      <c r="D4" s="208">
        <f>'19XRC Low Lift Eco&amp;Cooler Check'!C5</f>
        <v>70</v>
      </c>
    </row>
    <row r="5" spans="1:6">
      <c r="A5" s="300"/>
      <c r="B5" s="205" t="s">
        <v>167</v>
      </c>
      <c r="C5" s="206" t="s">
        <v>169</v>
      </c>
      <c r="D5" s="208">
        <f>VLOOKUP($D$4,'EDR Database-XRC'!$B$5:$I$26,8,FALSE)</f>
        <v>14</v>
      </c>
    </row>
    <row r="6" spans="1:6">
      <c r="A6" s="300"/>
      <c r="B6" s="205" t="s">
        <v>14</v>
      </c>
      <c r="C6" s="206"/>
      <c r="D6" s="208">
        <f>'19XRC Low Lift Eco&amp;Cooler Check'!C6</f>
        <v>2</v>
      </c>
    </row>
    <row r="7" spans="1:6">
      <c r="A7" s="300"/>
      <c r="B7" s="205" t="s">
        <v>15</v>
      </c>
      <c r="C7" s="206"/>
      <c r="D7" s="208" t="str">
        <f>'19XRC Low Lift Eco&amp;Cooler Check'!C7</f>
        <v>Drive End</v>
      </c>
    </row>
    <row r="8" spans="1:6">
      <c r="A8" s="300"/>
      <c r="B8" s="205" t="s">
        <v>17</v>
      </c>
      <c r="C8" s="206" t="s">
        <v>16</v>
      </c>
      <c r="D8" s="209">
        <f>'19XRC Low Lift Eco&amp;Cooler Check'!C8</f>
        <v>71.599999999999994</v>
      </c>
    </row>
    <row r="9" spans="1:6">
      <c r="A9" s="300"/>
      <c r="B9" s="205" t="s">
        <v>98</v>
      </c>
      <c r="C9" s="206" t="s">
        <v>16</v>
      </c>
      <c r="D9" s="209">
        <f>'19XRC Low Lift Eco&amp;Cooler Check'!C10</f>
        <v>59</v>
      </c>
    </row>
    <row r="10" spans="1:6" ht="16">
      <c r="A10" s="300"/>
      <c r="B10" s="205" t="s">
        <v>20</v>
      </c>
      <c r="C10" s="206" t="s">
        <v>16</v>
      </c>
      <c r="D10" s="209">
        <f>'19XRC Low Lift Eco&amp;Cooler Check'!C9</f>
        <v>58.4</v>
      </c>
    </row>
    <row r="11" spans="1:6" s="54" customFormat="1" ht="15" customHeight="1">
      <c r="A11" s="301"/>
      <c r="B11" s="210" t="s">
        <v>21</v>
      </c>
      <c r="C11" s="211" t="s">
        <v>18</v>
      </c>
      <c r="D11" s="212">
        <f>'19XRC Low Lift Eco&amp;Cooler Check'!C14</f>
        <v>81.99</v>
      </c>
      <c r="E11" s="185"/>
      <c r="F11" s="185"/>
    </row>
    <row r="12" spans="1:6">
      <c r="B12" s="50" t="s">
        <v>168</v>
      </c>
      <c r="C12" s="153" t="s">
        <v>18</v>
      </c>
      <c r="D12" s="154">
        <f>D8-D9</f>
        <v>12.599999999999994</v>
      </c>
    </row>
    <row r="13" spans="1:6" ht="21.75" customHeight="1">
      <c r="B13" s="172" t="s">
        <v>95</v>
      </c>
      <c r="C13" s="55"/>
      <c r="D13" s="55"/>
    </row>
    <row r="14" spans="1:6">
      <c r="A14" s="50"/>
      <c r="B14" s="140" t="s">
        <v>7</v>
      </c>
      <c r="C14" s="152"/>
      <c r="D14" s="166">
        <f>IF(D$7=$B$38,IF(D$6=1,VLOOKUP(D$4,'EDR Database-XRC'!B5:H26,2,FALSE),IF(D$6=2,VLOOKUP(D$4,'EDR Database-XRC'!$B$5:$H$26,3,FALSE),VLOOKUP('19XRC_Evap'!D$4,'EDR Database-XRC'!$B$5:$H$26,4,FALSE))),IF('19XRC_Evap'!D$6=1,VLOOKUP('19XRC_Evap'!D$4,'EDR Database-XRC'!$B$5:$H$26,5,FALSE),IF('19XRC_Evap'!D$6=2,VLOOKUP('19XRC_Evap'!D$4,'EDR Database-XRC'!$B$5:$H$26,6,FALSE),VLOOKUP('19XRC_Evap'!D$4,'EDR Database-XRC'!$B$5:$H$26,7,FALSE))))</f>
        <v>1321</v>
      </c>
    </row>
    <row r="15" spans="1:6">
      <c r="A15" s="50"/>
      <c r="B15" s="165" t="s">
        <v>155</v>
      </c>
      <c r="C15" s="57"/>
      <c r="D15" s="58">
        <f>IF(D$7=$B$38,VLOOKUP($B$15,'EDR Database-XRC'!$G$54:$I$62,2,FALSE),IF(D$7=$B$39,VLOOKUP($B$15,'EDR Database-XRC'!$G$54:$I$62,3,FALSE)))</f>
        <v>-2.1354999999999999E-9</v>
      </c>
    </row>
    <row r="16" spans="1:6">
      <c r="A16" s="50"/>
      <c r="B16" s="165" t="s">
        <v>156</v>
      </c>
      <c r="C16" s="57"/>
      <c r="D16" s="58">
        <f>IF(D$7=$B$38,VLOOKUP($B$16,'EDR Database-XRC'!$G$54:$I$62,2,FALSE),IF(D$7=$B$39,VLOOKUP($B$16,'EDR Database-XRC'!$G$54:$I$62,3,FALSE)))</f>
        <v>1.1950999999999999E-7</v>
      </c>
    </row>
    <row r="17" spans="1:7">
      <c r="A17" s="50"/>
      <c r="B17" s="165" t="s">
        <v>157</v>
      </c>
      <c r="C17" s="57"/>
      <c r="D17" s="58">
        <f>IF(D$7=$B$38,VLOOKUP($B$17,'EDR Database-XRC'!$G$54:$I$62,2,FALSE),IF(D$7=$B$39,VLOOKUP($B$17,'EDR Database-XRC'!$G$54:$I$62,3,FALSE)))</f>
        <v>7.4529000000000004E-5</v>
      </c>
    </row>
    <row r="18" spans="1:7">
      <c r="A18" s="50"/>
      <c r="B18" s="56" t="s">
        <v>8</v>
      </c>
      <c r="C18" s="57"/>
      <c r="D18" s="144">
        <f>D15*D$11^2+D16*D$11+D17</f>
        <v>6.9972024906450004E-5</v>
      </c>
    </row>
    <row r="19" spans="1:7">
      <c r="A19" s="50"/>
      <c r="B19" s="165" t="s">
        <v>158</v>
      </c>
      <c r="C19" s="57"/>
      <c r="D19" s="59">
        <f>IF(D$7=$B$38,VLOOKUP($B$19,'EDR Database-XRC'!$G$54:$I$62,2,FALSE),IF(D$7=$B$39,VLOOKUP($B$19,'EDR Database-XRC'!$G$54:$I$62,3,FALSE)))</f>
        <v>7.2381000000000005E-8</v>
      </c>
    </row>
    <row r="20" spans="1:7">
      <c r="A20" s="50"/>
      <c r="B20" s="165" t="s">
        <v>159</v>
      </c>
      <c r="C20" s="57"/>
      <c r="D20" s="59">
        <f>IF(D$7=$B$38,VLOOKUP($B$20,'EDR Database-XRC'!$G$54:$I$62,2,FALSE),IF(D$7=$B$39,VLOOKUP($B$20,'EDR Database-XRC'!$G$54:$I$62,3,FALSE)))</f>
        <v>-5.2881000000000004E-5</v>
      </c>
    </row>
    <row r="21" spans="1:7">
      <c r="A21" s="50"/>
      <c r="B21" s="165" t="s">
        <v>160</v>
      </c>
      <c r="C21" s="57"/>
      <c r="D21" s="59">
        <f>IF(D$7=$B$38,VLOOKUP($B$21,'EDR Database-XRC'!$G$54:$I$62,2,FALSE),IF(D$7=$B$39,VLOOKUP($B$21,'EDR Database-XRC'!$G$54:$I$62,3,FALSE)))</f>
        <v>1.3459E-2</v>
      </c>
    </row>
    <row r="22" spans="1:7">
      <c r="A22" s="50"/>
      <c r="B22" s="56" t="s">
        <v>9</v>
      </c>
      <c r="C22" s="57"/>
      <c r="D22" s="144">
        <f>D19*D$11^2+D20*D$11+D21</f>
        <v>9.6098579563981008E-3</v>
      </c>
    </row>
    <row r="23" spans="1:7">
      <c r="A23" s="50"/>
      <c r="B23" s="165" t="s">
        <v>161</v>
      </c>
      <c r="C23" s="57"/>
      <c r="D23" s="59">
        <f>IF(D$7=$B$38,VLOOKUP($B$23,'EDR Database-XRC'!$G$54:$I$62,2,FALSE),IF(D$7=$B$39,VLOOKUP($B$23,'EDR Database-XRC'!$G$54:$I$62,3,FALSE)))</f>
        <v>-3.7261999999999996E-6</v>
      </c>
    </row>
    <row r="24" spans="1:7">
      <c r="A24" s="50"/>
      <c r="B24" s="165" t="s">
        <v>162</v>
      </c>
      <c r="C24" s="57"/>
      <c r="D24" s="59">
        <f>IF(D$7=$B$38,VLOOKUP($B$24,'EDR Database-XRC'!$G$54:$I$62,2,FALSE),IF(D$7=$B$39,VLOOKUP($B$24,'EDR Database-XRC'!$G$54:$I$62,3,FALSE)))</f>
        <v>-1.9233E-3</v>
      </c>
    </row>
    <row r="25" spans="1:7">
      <c r="A25" s="50"/>
      <c r="B25" s="165" t="s">
        <v>163</v>
      </c>
      <c r="C25" s="57"/>
      <c r="D25" s="59">
        <f>IF(D$7=$B$38,VLOOKUP($B$25,'EDR Database-XRC'!$G$54:$I$62,2,FALSE),IF(D$7=$B$39,VLOOKUP($B$25,'EDR Database-XRC'!$G$54:$I$62,3,FALSE)))</f>
        <v>0.67948000000000008</v>
      </c>
    </row>
    <row r="26" spans="1:7">
      <c r="A26" s="50"/>
      <c r="B26" s="56" t="s">
        <v>10</v>
      </c>
      <c r="C26" s="57"/>
      <c r="D26" s="144">
        <f>D23*D$11^2+D24*D$11+D25</f>
        <v>0.49673977479538012</v>
      </c>
    </row>
    <row r="27" spans="1:7">
      <c r="A27" s="50"/>
      <c r="B27" s="257" t="s">
        <v>11</v>
      </c>
      <c r="C27" s="258"/>
      <c r="D27" s="259">
        <f>D18*D$10*D$10+D22*D$10+D26</f>
        <v>1.2965992687139714</v>
      </c>
    </row>
    <row r="28" spans="1:7">
      <c r="A28" s="50"/>
      <c r="B28" s="56" t="s">
        <v>164</v>
      </c>
      <c r="C28" s="57"/>
      <c r="D28" s="164">
        <f>IF(D$7=$B$38,IF(D$5=12,VLOOKUP(B$28,'EDR Database-XRC'!$B$29:$H$33,2,FALSE),IF(D$5=14,VLOOKUP(B$28,'EDR Database-XRC'!$B$29:$H$33,3,FALSE),VLOOKUP(B$28,'EDR Database-XRC'!$B$29:$H$33,4,FALSE))),IF(D$5=12,VLOOKUP(B$28,'EDR Database-XRC'!$B$29:$H$33,5,FALSE),IF(D$5=14,VLOOKUP(B$28,'EDR Database-XRC'!$B$29:$H$33,6,FALSE),VLOOKUP(B$28,'EDR Database-XRC'!$B$29:$H$33,7,FALSE))))</f>
        <v>-6.1431000000000002E-5</v>
      </c>
      <c r="E28" s="295"/>
      <c r="F28" s="296"/>
      <c r="G28" s="296"/>
    </row>
    <row r="29" spans="1:7">
      <c r="A29" s="50"/>
      <c r="B29" s="56" t="s">
        <v>165</v>
      </c>
      <c r="C29" s="57"/>
      <c r="D29" s="164">
        <f>IF(D$7=$B$38,IF(D$5=12,VLOOKUP(B$29,'EDR Database-XRC'!$B$29:$H$33,2,FALSE),IF(D$5=14,VLOOKUP(B$29,'EDR Database-XRC'!$B$29:$H$33,3,FALSE),VLOOKUP(B$29,'EDR Database-XRC'!$B$29:$H$33,4,FALSE))),IF(D$5=12,VLOOKUP(B$29,'EDR Database-XRC'!$B$29:$H$33,5,FALSE),IF(D$5=14,VLOOKUP(B$29,'EDR Database-XRC'!$B$29:$H$33,6,FALSE),VLOOKUP(B$29,'EDR Database-XRC'!$B$29:$H$33,7,FALSE))))</f>
        <v>8.6861999999999998E-3</v>
      </c>
      <c r="E29" s="295"/>
      <c r="F29" s="296"/>
      <c r="G29" s="296"/>
    </row>
    <row r="30" spans="1:7">
      <c r="A30" s="50"/>
      <c r="B30" s="56" t="s">
        <v>166</v>
      </c>
      <c r="C30" s="57"/>
      <c r="D30" s="164">
        <f>IF(D$7=$B$38,IF(D$5=12,VLOOKUP(B$30,'EDR Database-XRC'!$B$29:$H$33,2,FALSE),IF(D$5=14,VLOOKUP(B$30,'EDR Database-XRC'!$B$29:$H$33,3,FALSE),VLOOKUP(B$30,'EDR Database-XRC'!$B$29:$H$33,4,FALSE))),IF(D$5=12,VLOOKUP(B$30,'EDR Database-XRC'!$B$29:$H$33,5,FALSE),IF(D$5=14,VLOOKUP(B$30,'EDR Database-XRC'!$B$29:$H$33,6,FALSE),VLOOKUP(B$30,'EDR Database-XRC'!$B$29:$H$33,7,FALSE))))</f>
        <v>0.91986000000000012</v>
      </c>
    </row>
    <row r="31" spans="1:7" ht="15" customHeight="1">
      <c r="A31" s="50"/>
      <c r="B31" s="257" t="s">
        <v>19</v>
      </c>
      <c r="C31" s="258"/>
      <c r="D31" s="259">
        <f>D$28*D$12^2+D$29*D$12+D$30</f>
        <v>1.0195533344400001</v>
      </c>
    </row>
    <row r="32" spans="1:7" ht="13.5" thickBot="1">
      <c r="A32" s="179"/>
      <c r="B32" s="143" t="s">
        <v>96</v>
      </c>
      <c r="C32" s="141" t="s">
        <v>27</v>
      </c>
      <c r="D32" s="142">
        <f>D$14*D$27*D$31</f>
        <v>1746.2987344695794</v>
      </c>
    </row>
    <row r="33" spans="1:4">
      <c r="A33" s="173"/>
      <c r="B33" s="178" t="s">
        <v>171</v>
      </c>
      <c r="C33" s="167"/>
      <c r="D33" s="168"/>
    </row>
    <row r="34" spans="1:4">
      <c r="A34" s="173"/>
      <c r="B34" s="169"/>
      <c r="C34" s="170"/>
      <c r="D34" s="171"/>
    </row>
    <row r="35" spans="1:4">
      <c r="A35" s="173"/>
      <c r="B35" s="169"/>
      <c r="C35" s="170"/>
      <c r="D35" s="171"/>
    </row>
    <row r="36" spans="1:4">
      <c r="A36" s="173"/>
      <c r="B36" s="91"/>
      <c r="C36" s="170"/>
      <c r="D36" s="171"/>
    </row>
    <row r="37" spans="1:4" ht="14.25" customHeight="1" thickBot="1"/>
    <row r="38" spans="1:4" ht="14.25" customHeight="1">
      <c r="B38" s="180" t="s">
        <v>174</v>
      </c>
      <c r="C38" s="62"/>
    </row>
    <row r="39" spans="1:4" ht="14.25" customHeight="1" thickBot="1">
      <c r="B39" s="181" t="s">
        <v>25</v>
      </c>
      <c r="C39" s="63"/>
    </row>
    <row r="40" spans="1:4">
      <c r="A40" s="174"/>
      <c r="B40" s="174"/>
      <c r="C40" s="170"/>
    </row>
    <row r="41" spans="1:4">
      <c r="A41" s="174"/>
      <c r="B41" s="174"/>
      <c r="C41" s="170"/>
    </row>
    <row r="42" spans="1:4">
      <c r="A42" s="174"/>
      <c r="B42" s="174"/>
      <c r="C42" s="170"/>
    </row>
    <row r="43" spans="1:4">
      <c r="A43" s="174"/>
      <c r="B43" s="174"/>
      <c r="C43" s="170"/>
    </row>
    <row r="44" spans="1:4">
      <c r="A44" s="174"/>
      <c r="B44" s="174"/>
      <c r="C44" s="170"/>
    </row>
    <row r="45" spans="1:4" ht="14">
      <c r="A45" s="175"/>
      <c r="B45" s="176"/>
      <c r="C45" s="170"/>
    </row>
    <row r="46" spans="1:4" ht="14">
      <c r="A46" s="175"/>
      <c r="B46" s="177"/>
      <c r="C46" s="170"/>
    </row>
    <row r="47" spans="1:4" ht="14">
      <c r="A47" s="175"/>
      <c r="B47" s="177"/>
      <c r="C47" s="170"/>
    </row>
    <row r="48" spans="1:4" ht="14">
      <c r="A48" s="175"/>
      <c r="B48" s="177"/>
      <c r="C48" s="170"/>
    </row>
    <row r="49" spans="1:3" ht="14">
      <c r="A49" s="175"/>
      <c r="B49" s="177"/>
      <c r="C49" s="170"/>
    </row>
    <row r="50" spans="1:3" ht="14">
      <c r="A50" s="175"/>
      <c r="B50" s="177"/>
      <c r="C50" s="170"/>
    </row>
    <row r="51" spans="1:3" ht="14">
      <c r="A51" s="175"/>
      <c r="B51" s="177"/>
      <c r="C51" s="170"/>
    </row>
    <row r="52" spans="1:3" ht="14">
      <c r="A52" s="175"/>
      <c r="B52" s="177"/>
      <c r="C52" s="170"/>
    </row>
    <row r="53" spans="1:3" ht="14">
      <c r="A53" s="175"/>
      <c r="B53" s="177"/>
      <c r="C53" s="170"/>
    </row>
    <row r="54" spans="1:3" ht="14">
      <c r="A54" s="175"/>
      <c r="B54" s="177"/>
      <c r="C54" s="170"/>
    </row>
    <row r="55" spans="1:3" ht="14">
      <c r="A55" s="175"/>
      <c r="B55" s="177"/>
      <c r="C55" s="170"/>
    </row>
    <row r="56" spans="1:3">
      <c r="A56" s="174"/>
      <c r="B56" s="177"/>
      <c r="C56" s="170"/>
    </row>
    <row r="57" spans="1:3">
      <c r="A57" s="174"/>
      <c r="B57" s="177"/>
      <c r="C57" s="170"/>
    </row>
    <row r="58" spans="1:3">
      <c r="A58" s="174"/>
      <c r="B58" s="177"/>
      <c r="C58" s="170"/>
    </row>
    <row r="59" spans="1:3">
      <c r="A59" s="169"/>
      <c r="B59" s="169"/>
      <c r="C59" s="170"/>
    </row>
  </sheetData>
  <sheetProtection formatCells="0" selectLockedCells="1" selectUnlockedCells="1"/>
  <protectedRanges>
    <protectedRange sqref="D3:D11" name="区域1"/>
  </protectedRanges>
  <mergeCells count="4">
    <mergeCell ref="B1:D1"/>
    <mergeCell ref="E28:G29"/>
    <mergeCell ref="E1:F1"/>
    <mergeCell ref="A3:A11"/>
  </mergeCells>
  <phoneticPr fontId="1" type="noConversion"/>
  <conditionalFormatting sqref="D36">
    <cfRule type="cellIs" dxfId="9" priority="3" operator="greaterThanOrEqual">
      <formula>#REF!</formula>
    </cfRule>
    <cfRule type="cellIs" dxfId="8" priority="4" operator="lessThan">
      <formula>#REF!</formula>
    </cfRule>
  </conditionalFormatting>
  <conditionalFormatting sqref="D32">
    <cfRule type="cellIs" dxfId="7" priority="1" operator="greaterThanOrEqual">
      <formula>#REF!</formula>
    </cfRule>
    <cfRule type="cellIs" dxfId="6" priority="2" operator="lessThan">
      <formula>#REF!</formula>
    </cfRule>
  </conditionalFormatting>
  <dataValidations count="1">
    <dataValidation type="list" showInputMessage="1" showErrorMessage="1" sqref="D5" xr:uid="{0141CD11-9345-4F86-B3B8-A09F93F3098E}">
      <formula1>"12,14,16"</formula1>
    </dataValidation>
  </dataValidation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7D29FE14-DE49-43EA-B548-A6CB59298B02}">
          <x14:formula1>
            <xm:f>'EDR Database-XRC'!$B$5:$B$26</xm:f>
          </x14:formula1>
          <xm:sqref>D4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4988-CCE8-445F-8EF7-93316A8FAE05}">
  <dimension ref="A1:J60"/>
  <sheetViews>
    <sheetView zoomScale="85" zoomScaleNormal="85" workbookViewId="0">
      <pane xSplit="3" ySplit="3" topLeftCell="D35" activePane="bottomRight" state="frozen"/>
      <selection pane="topRight" activeCell="C1" sqref="C1"/>
      <selection pane="bottomLeft" activeCell="A4" sqref="A4"/>
      <selection pane="bottomRight" activeCell="E61" sqref="E61"/>
    </sheetView>
  </sheetViews>
  <sheetFormatPr defaultColWidth="9" defaultRowHeight="14.5"/>
  <cols>
    <col min="1" max="1" width="16.81640625" style="17" customWidth="1"/>
    <col min="2" max="2" width="37.54296875" style="233" customWidth="1"/>
    <col min="3" max="3" width="8.453125" style="17" customWidth="1"/>
    <col min="4" max="4" width="30.1796875" style="252" customWidth="1"/>
    <col min="5" max="5" width="20.54296875" style="270" customWidth="1"/>
    <col min="6" max="6" width="9" style="17"/>
    <col min="7" max="8" width="15.26953125" style="17" customWidth="1"/>
    <col min="9" max="16384" width="9" style="17"/>
  </cols>
  <sheetData>
    <row r="1" spans="1:5">
      <c r="B1" s="219"/>
      <c r="C1" s="16"/>
      <c r="D1" s="234" t="s">
        <v>29</v>
      </c>
      <c r="E1" s="266"/>
    </row>
    <row r="2" spans="1:5" s="18" customFormat="1" ht="36" customHeight="1" thickBot="1">
      <c r="B2" s="220" t="s">
        <v>30</v>
      </c>
      <c r="D2" s="234" t="s">
        <v>31</v>
      </c>
      <c r="E2" s="266"/>
    </row>
    <row r="3" spans="1:5" ht="36" customHeight="1">
      <c r="A3" s="216"/>
      <c r="B3" s="221" t="s">
        <v>32</v>
      </c>
      <c r="C3" s="19"/>
      <c r="D3" s="235"/>
      <c r="E3" s="218"/>
    </row>
    <row r="4" spans="1:5">
      <c r="A4" s="302" t="s">
        <v>181</v>
      </c>
      <c r="B4" s="222" t="s">
        <v>33</v>
      </c>
      <c r="C4" s="20"/>
      <c r="D4" s="236" t="s">
        <v>34</v>
      </c>
      <c r="E4" s="267"/>
    </row>
    <row r="5" spans="1:5" ht="14.25" customHeight="1">
      <c r="A5" s="302"/>
      <c r="B5" s="223" t="s">
        <v>35</v>
      </c>
      <c r="C5" s="215" t="s">
        <v>36</v>
      </c>
      <c r="D5" s="237">
        <f>'19XRC Low Lift Eco&amp;Cooler Check'!C4</f>
        <v>1300</v>
      </c>
      <c r="E5" s="268"/>
    </row>
    <row r="6" spans="1:5" ht="14.25" customHeight="1">
      <c r="A6" s="302"/>
      <c r="B6" s="223" t="s">
        <v>37</v>
      </c>
      <c r="C6" s="215" t="s">
        <v>38</v>
      </c>
      <c r="D6" s="237">
        <f>'19XRC Low Lift Eco&amp;Cooler Check'!C12</f>
        <v>100.2</v>
      </c>
      <c r="E6" s="268"/>
    </row>
    <row r="7" spans="1:5" ht="14.25" customHeight="1">
      <c r="A7" s="302"/>
      <c r="B7" s="223" t="s">
        <v>39</v>
      </c>
      <c r="C7" s="215" t="s">
        <v>38</v>
      </c>
      <c r="D7" s="237">
        <f>'19XRC Low Lift Eco&amp;Cooler Check'!C14</f>
        <v>81.99</v>
      </c>
      <c r="E7" s="268"/>
    </row>
    <row r="8" spans="1:5" ht="14.25" customHeight="1">
      <c r="A8" s="302"/>
      <c r="B8" s="223" t="s">
        <v>40</v>
      </c>
      <c r="C8" s="215" t="s">
        <v>38</v>
      </c>
      <c r="D8" s="237">
        <f>'19XRC Low Lift Eco&amp;Cooler Check'!C9</f>
        <v>58.4</v>
      </c>
      <c r="E8" s="268"/>
    </row>
    <row r="9" spans="1:5" ht="14.25" customHeight="1">
      <c r="A9" s="302"/>
      <c r="B9" s="223" t="s">
        <v>41</v>
      </c>
      <c r="C9" s="215" t="s">
        <v>16</v>
      </c>
      <c r="D9" s="237">
        <f>'19XRC Low Lift Eco&amp;Cooler Check'!C11</f>
        <v>106.7</v>
      </c>
      <c r="E9" s="268"/>
    </row>
    <row r="10" spans="1:5" ht="14.25" customHeight="1">
      <c r="A10" s="302"/>
      <c r="B10" s="223" t="s">
        <v>42</v>
      </c>
      <c r="C10" s="215" t="s">
        <v>43</v>
      </c>
      <c r="D10" s="237">
        <f>'19XRC Low Lift Eco&amp;Cooler Check'!C15</f>
        <v>11.57</v>
      </c>
      <c r="E10" s="268"/>
    </row>
    <row r="11" spans="1:5" ht="14.25" customHeight="1">
      <c r="A11" s="302"/>
      <c r="B11" s="223" t="s">
        <v>44</v>
      </c>
      <c r="C11" s="215" t="s">
        <v>43</v>
      </c>
      <c r="D11" s="237">
        <f>'19XRC Low Lift Eco&amp;Cooler Check'!C16</f>
        <v>0.60000000000000142</v>
      </c>
      <c r="E11" s="268"/>
    </row>
    <row r="12" spans="1:5" ht="14.25" customHeight="1">
      <c r="A12" s="217"/>
      <c r="B12" s="222" t="s">
        <v>45</v>
      </c>
      <c r="C12" s="20" t="s">
        <v>43</v>
      </c>
      <c r="D12" s="238">
        <f>D9-D8</f>
        <v>48.300000000000004</v>
      </c>
      <c r="E12" s="268"/>
    </row>
    <row r="13" spans="1:5" ht="15.75" customHeight="1">
      <c r="A13" s="217"/>
      <c r="B13" s="224" t="s">
        <v>46</v>
      </c>
      <c r="C13" s="21"/>
      <c r="D13" s="239"/>
      <c r="E13" s="269"/>
    </row>
    <row r="14" spans="1:5">
      <c r="A14" s="216"/>
      <c r="B14" s="222" t="s">
        <v>47</v>
      </c>
      <c r="C14" s="20" t="s">
        <v>48</v>
      </c>
      <c r="D14" s="240">
        <f t="shared" ref="D14" si="0">32.174</f>
        <v>32.173999999999999</v>
      </c>
    </row>
    <row r="15" spans="1:5" ht="15.5">
      <c r="B15" s="224" t="s">
        <v>49</v>
      </c>
      <c r="C15" s="20"/>
      <c r="D15" s="240"/>
    </row>
    <row r="16" spans="1:5">
      <c r="B16" s="222" t="s">
        <v>50</v>
      </c>
      <c r="C16" s="20" t="s">
        <v>51</v>
      </c>
      <c r="D16" s="241" t="e" cm="1">
        <f t="array" aca="1" ref="D16" ca="1">[3]!Enthalpy(D4,"tvap","E",D8)</f>
        <v>#NAME?</v>
      </c>
      <c r="E16" s="271"/>
    </row>
    <row r="17" spans="1:5">
      <c r="B17" s="222" t="s">
        <v>52</v>
      </c>
      <c r="C17" s="20" t="s">
        <v>51</v>
      </c>
      <c r="D17" s="241" t="e" cm="1">
        <f t="array" aca="1" ref="D17" ca="1">[3]!Enthalpy(D4,"tliq","E",D8)</f>
        <v>#NAME?</v>
      </c>
      <c r="E17" s="271"/>
    </row>
    <row r="18" spans="1:5">
      <c r="B18" s="222" t="s">
        <v>53</v>
      </c>
      <c r="C18" s="20" t="s">
        <v>51</v>
      </c>
      <c r="D18" s="241" t="e" cm="1">
        <f t="array" aca="1" ref="D18" ca="1">[3]!Enthalpy(D4,"tliq","E",D6)</f>
        <v>#NAME?</v>
      </c>
      <c r="E18" s="271"/>
    </row>
    <row r="19" spans="1:5">
      <c r="B19" s="222" t="s">
        <v>54</v>
      </c>
      <c r="C19" s="20" t="s">
        <v>51</v>
      </c>
      <c r="D19" s="241" t="e" cm="1">
        <f t="array" aca="1" ref="D19" ca="1">[3]!Enthalpy(D4,"tliq","E",D7)</f>
        <v>#NAME?</v>
      </c>
      <c r="E19" s="271"/>
    </row>
    <row r="20" spans="1:5">
      <c r="B20" s="222" t="s">
        <v>55</v>
      </c>
      <c r="C20" s="20" t="s">
        <v>51</v>
      </c>
      <c r="D20" s="241" t="e" cm="1">
        <f t="array" aca="1" ref="D20" ca="1">[3]!Enthalpy(D4,"tvap","E",D7)</f>
        <v>#NAME?</v>
      </c>
      <c r="E20" s="271"/>
    </row>
    <row r="21" spans="1:5">
      <c r="B21" s="222" t="s">
        <v>56</v>
      </c>
      <c r="C21" s="20"/>
      <c r="D21" s="242" t="e">
        <f ca="1">(D18-D19)/(D20-D18)</f>
        <v>#NAME?</v>
      </c>
      <c r="E21" s="272"/>
    </row>
    <row r="22" spans="1:5">
      <c r="B22" s="222" t="s">
        <v>110</v>
      </c>
      <c r="C22" s="20"/>
      <c r="D22" s="242" t="e">
        <f ca="1">(D18-D19)/(D20-D19)</f>
        <v>#NAME?</v>
      </c>
      <c r="E22" s="272"/>
    </row>
    <row r="23" spans="1:5">
      <c r="B23" s="222" t="s">
        <v>57</v>
      </c>
      <c r="C23" s="20" t="s">
        <v>58</v>
      </c>
      <c r="D23" s="241" t="e" cm="1">
        <f t="array" aca="1" ref="D23" ca="1">[3]!Density(D4,"Tliq","E",D7)</f>
        <v>#NAME?</v>
      </c>
      <c r="E23" s="271"/>
    </row>
    <row r="24" spans="1:5">
      <c r="B24" s="222" t="s">
        <v>59</v>
      </c>
      <c r="C24" s="20" t="s">
        <v>58</v>
      </c>
      <c r="D24" s="243" t="e" cm="1">
        <f t="array" aca="1" ref="D24" ca="1">[3]!Density(D4,"Tvap","E",D7)</f>
        <v>#NAME?</v>
      </c>
      <c r="E24" s="273"/>
    </row>
    <row r="25" spans="1:5">
      <c r="B25" s="222" t="s">
        <v>60</v>
      </c>
      <c r="C25" s="20" t="s">
        <v>58</v>
      </c>
      <c r="D25" s="242" t="e">
        <f ca="1">D23*(1-D22)+D24*D22</f>
        <v>#NAME?</v>
      </c>
      <c r="E25" s="272"/>
    </row>
    <row r="26" spans="1:5" s="253" customFormat="1" ht="38.25" customHeight="1">
      <c r="A26" s="255" t="s">
        <v>183</v>
      </c>
      <c r="B26" s="230" t="s">
        <v>61</v>
      </c>
      <c r="C26" s="254" t="s">
        <v>62</v>
      </c>
      <c r="D26" s="256" t="e">
        <f ca="1">D5*200/(D16-D19)</f>
        <v>#NAME?</v>
      </c>
      <c r="E26" s="274"/>
    </row>
    <row r="27" spans="1:5" s="253" customFormat="1" ht="38.25" customHeight="1">
      <c r="A27" s="255" t="s">
        <v>184</v>
      </c>
      <c r="B27" s="230" t="s">
        <v>63</v>
      </c>
      <c r="C27" s="254" t="s">
        <v>62</v>
      </c>
      <c r="D27" s="256" t="e">
        <f ca="1">D26*D21</f>
        <v>#NAME?</v>
      </c>
      <c r="E27" s="274"/>
    </row>
    <row r="28" spans="1:5">
      <c r="B28" s="222" t="s">
        <v>64</v>
      </c>
      <c r="C28" s="20" t="s">
        <v>62</v>
      </c>
      <c r="D28" s="241" t="e">
        <f ca="1">D26</f>
        <v>#NAME?</v>
      </c>
      <c r="E28" s="271"/>
    </row>
    <row r="29" spans="1:5">
      <c r="B29" s="282" t="s">
        <v>65</v>
      </c>
      <c r="C29" s="283" t="s">
        <v>66</v>
      </c>
      <c r="D29" s="284" t="e">
        <f ca="1">D27/D24</f>
        <v>#NAME?</v>
      </c>
      <c r="E29" s="275"/>
    </row>
    <row r="30" spans="1:5">
      <c r="B30" s="222" t="s">
        <v>67</v>
      </c>
      <c r="C30" s="20" t="s">
        <v>68</v>
      </c>
      <c r="D30" s="241" t="e">
        <f ca="1">D28/D23</f>
        <v>#NAME?</v>
      </c>
      <c r="E30" s="271"/>
    </row>
    <row r="31" spans="1:5">
      <c r="B31" s="222"/>
      <c r="C31" s="20"/>
      <c r="D31" s="241"/>
      <c r="E31" s="271"/>
    </row>
    <row r="32" spans="1:5">
      <c r="B32" s="225" t="s">
        <v>69</v>
      </c>
      <c r="C32" s="20"/>
      <c r="D32" s="241"/>
      <c r="E32" s="271"/>
    </row>
    <row r="33" spans="1:10" ht="19.5" customHeight="1">
      <c r="A33" s="303" t="s">
        <v>182</v>
      </c>
      <c r="B33" s="226" t="s">
        <v>70</v>
      </c>
      <c r="C33" s="20" t="s">
        <v>71</v>
      </c>
      <c r="D33" s="289">
        <f>18-(20/25.4)</f>
        <v>17.212598425196852</v>
      </c>
      <c r="E33" s="271"/>
    </row>
    <row r="34" spans="1:10" ht="19.5" customHeight="1">
      <c r="A34" s="303"/>
      <c r="B34" s="226" t="s">
        <v>72</v>
      </c>
      <c r="C34" s="20" t="s">
        <v>71</v>
      </c>
      <c r="D34" s="289">
        <v>47.4</v>
      </c>
      <c r="E34" s="275">
        <v>58.4</v>
      </c>
      <c r="F34" s="17">
        <v>47.4</v>
      </c>
    </row>
    <row r="35" spans="1:10" ht="19.5" customHeight="1">
      <c r="A35" s="303"/>
      <c r="B35" s="226" t="s">
        <v>73</v>
      </c>
      <c r="C35" s="20" t="s">
        <v>71</v>
      </c>
      <c r="D35" s="245">
        <v>4</v>
      </c>
      <c r="E35" s="271"/>
    </row>
    <row r="36" spans="1:10" ht="19.5" customHeight="1">
      <c r="A36" s="303"/>
      <c r="B36" s="226" t="s">
        <v>74</v>
      </c>
      <c r="C36" s="20" t="s">
        <v>71</v>
      </c>
      <c r="D36" s="245">
        <v>4</v>
      </c>
      <c r="E36" s="271"/>
    </row>
    <row r="37" spans="1:10" ht="19.5" customHeight="1">
      <c r="A37" s="303"/>
      <c r="B37" s="222" t="s">
        <v>75</v>
      </c>
      <c r="C37" s="20" t="s">
        <v>76</v>
      </c>
      <c r="D37" s="246">
        <v>0.435</v>
      </c>
      <c r="E37" s="276"/>
    </row>
    <row r="38" spans="1:10">
      <c r="B38" s="222"/>
      <c r="C38" s="20"/>
      <c r="D38" s="241"/>
      <c r="E38" s="271"/>
    </row>
    <row r="39" spans="1:10" ht="15.5">
      <c r="B39" s="227" t="s">
        <v>77</v>
      </c>
      <c r="C39" s="20"/>
      <c r="D39" s="240"/>
    </row>
    <row r="40" spans="1:10">
      <c r="B40" s="228" t="s">
        <v>176</v>
      </c>
      <c r="C40" s="20" t="s">
        <v>76</v>
      </c>
      <c r="D40" s="241">
        <f>PI()*(D33/24)^2</f>
        <v>1.6159215121564989</v>
      </c>
      <c r="E40" s="271"/>
    </row>
    <row r="41" spans="1:10" ht="43.5">
      <c r="A41" s="253" t="s">
        <v>203</v>
      </c>
      <c r="B41" s="228" t="s">
        <v>177</v>
      </c>
      <c r="C41" s="20" t="s">
        <v>76</v>
      </c>
      <c r="D41" s="245">
        <v>5.45</v>
      </c>
      <c r="E41" s="271"/>
    </row>
    <row r="42" spans="1:10">
      <c r="B42" s="222" t="s">
        <v>78</v>
      </c>
      <c r="C42" s="20" t="s">
        <v>79</v>
      </c>
      <c r="D42" s="241">
        <f>PI()*(D35/24)^2</f>
        <v>8.7266462599716474E-2</v>
      </c>
      <c r="E42" s="271"/>
    </row>
    <row r="43" spans="1:10">
      <c r="B43" s="222" t="s">
        <v>80</v>
      </c>
      <c r="C43" s="20" t="s">
        <v>79</v>
      </c>
      <c r="D43" s="241">
        <f>PI()*(D36/24)^2</f>
        <v>8.7266462599716474E-2</v>
      </c>
      <c r="E43" s="271"/>
    </row>
    <row r="44" spans="1:10" ht="15" thickBot="1">
      <c r="B44" s="222"/>
      <c r="C44" s="20"/>
      <c r="D44" s="241"/>
      <c r="E44" s="271"/>
    </row>
    <row r="45" spans="1:10" ht="16" thickBot="1">
      <c r="B45" s="227" t="s">
        <v>81</v>
      </c>
      <c r="C45" s="20"/>
      <c r="D45" s="241"/>
      <c r="E45" s="271"/>
      <c r="G45" s="304" t="s">
        <v>198</v>
      </c>
      <c r="H45" s="305"/>
    </row>
    <row r="46" spans="1:10" ht="28">
      <c r="B46" s="229" t="s">
        <v>82</v>
      </c>
      <c r="C46" s="22" t="s">
        <v>83</v>
      </c>
      <c r="D46" s="247" t="e">
        <f ca="1">D29/(60*D42)</f>
        <v>#NAME?</v>
      </c>
      <c r="E46" s="277"/>
      <c r="G46" s="260" t="s">
        <v>185</v>
      </c>
      <c r="H46" s="261" t="s">
        <v>186</v>
      </c>
    </row>
    <row r="47" spans="1:10">
      <c r="B47" s="230" t="s">
        <v>84</v>
      </c>
      <c r="C47" s="20" t="s">
        <v>83</v>
      </c>
      <c r="D47" s="241" t="e">
        <f ca="1">D30/(D43*60)</f>
        <v>#NAME?</v>
      </c>
      <c r="E47" s="271"/>
      <c r="G47" s="262">
        <v>0</v>
      </c>
      <c r="H47" s="263">
        <v>1.87</v>
      </c>
    </row>
    <row r="48" spans="1:10">
      <c r="B48" s="285" t="s">
        <v>85</v>
      </c>
      <c r="C48" s="286" t="s">
        <v>86</v>
      </c>
      <c r="D48" s="287" t="e">
        <f ca="1">D26/D23/(60*D37)</f>
        <v>#NAME?</v>
      </c>
      <c r="E48" s="278"/>
      <c r="G48" s="262">
        <v>1500</v>
      </c>
      <c r="H48" s="263">
        <v>1.87</v>
      </c>
      <c r="I48" s="17" t="s">
        <v>199</v>
      </c>
      <c r="J48" s="17" t="s">
        <v>200</v>
      </c>
    </row>
    <row r="49" spans="2:10">
      <c r="B49" s="229" t="s">
        <v>87</v>
      </c>
      <c r="C49" s="22" t="s">
        <v>83</v>
      </c>
      <c r="D49" s="247" t="e">
        <f ca="1">D30/(60*D40)</f>
        <v>#NAME?</v>
      </c>
      <c r="E49" s="277"/>
      <c r="G49" s="262">
        <v>3021</v>
      </c>
      <c r="H49" s="263">
        <v>1.76</v>
      </c>
      <c r="I49" s="17" t="s">
        <v>188</v>
      </c>
      <c r="J49" s="17" t="s">
        <v>189</v>
      </c>
    </row>
    <row r="50" spans="2:10" ht="15" thickBot="1">
      <c r="B50" s="229" t="s">
        <v>88</v>
      </c>
      <c r="C50" s="22" t="s">
        <v>83</v>
      </c>
      <c r="D50" s="247" t="e">
        <f ca="1">D29/(60*D40)</f>
        <v>#NAME?</v>
      </c>
      <c r="E50" s="277"/>
      <c r="G50" s="264">
        <v>8900</v>
      </c>
      <c r="H50" s="265">
        <v>1.6</v>
      </c>
      <c r="I50" s="17" t="s">
        <v>191</v>
      </c>
      <c r="J50" s="17" t="s">
        <v>192</v>
      </c>
    </row>
    <row r="51" spans="2:10">
      <c r="B51" s="229" t="s">
        <v>89</v>
      </c>
      <c r="C51" s="22" t="s">
        <v>83</v>
      </c>
      <c r="D51" s="247" t="e">
        <f ca="1">D29/(60*D41)</f>
        <v>#NAME?</v>
      </c>
      <c r="E51" s="277"/>
    </row>
    <row r="52" spans="2:10" ht="15" thickBot="1">
      <c r="B52" s="231" t="s">
        <v>90</v>
      </c>
      <c r="C52" s="23"/>
      <c r="D52" s="248" t="e">
        <f ca="1">D24*(D51*60)^2</f>
        <v>#NAME?</v>
      </c>
      <c r="E52" s="279"/>
    </row>
    <row r="53" spans="2:10" s="214" customFormat="1" ht="16" thickBot="1">
      <c r="B53" s="232"/>
      <c r="C53" s="213"/>
      <c r="D53" s="249"/>
      <c r="E53" s="186"/>
    </row>
    <row r="54" spans="2:10" ht="15" thickBot="1">
      <c r="B54" s="225" t="s">
        <v>91</v>
      </c>
      <c r="C54" s="20" t="s">
        <v>92</v>
      </c>
      <c r="D54" s="250"/>
      <c r="E54" s="280"/>
      <c r="G54" s="304" t="s">
        <v>197</v>
      </c>
      <c r="H54" s="305"/>
    </row>
    <row r="55" spans="2:10" ht="18" customHeight="1">
      <c r="B55" s="222" t="s">
        <v>93</v>
      </c>
      <c r="C55" s="24" t="s">
        <v>66</v>
      </c>
      <c r="D55" s="244">
        <v>250</v>
      </c>
      <c r="E55" s="186"/>
      <c r="G55" s="260" t="s">
        <v>185</v>
      </c>
      <c r="H55" s="261" t="s">
        <v>186</v>
      </c>
    </row>
    <row r="56" spans="2:10">
      <c r="B56" s="222" t="s">
        <v>104</v>
      </c>
      <c r="C56" s="22" t="s">
        <v>94</v>
      </c>
      <c r="D56" s="251" t="e">
        <f ca="1">IF(D$52&lt;=1500,1.87,IF(D$52&gt;3021,1.76-(1.76-1.6)*(D$52-3021)/(8900-3021),1.87-(1.87-1.76)*(D$52-1500)/(3021-1500)))</f>
        <v>#NAME?</v>
      </c>
      <c r="E56" s="280"/>
      <c r="G56" s="262">
        <v>0</v>
      </c>
      <c r="H56" s="263">
        <v>2.1</v>
      </c>
    </row>
    <row r="57" spans="2:10">
      <c r="B57" s="222" t="s">
        <v>195</v>
      </c>
      <c r="C57" s="22" t="s">
        <v>94</v>
      </c>
      <c r="D57" s="251" t="e">
        <f ca="1">IF(D$52&lt;=800,2.1,IF(D$52&gt;3021,1.76-(1.76-1.6)*(D$52-3021)/(8900-3021),IF(D$52&gt;1500,1.87-(1.87-1.76)*(D$52-1500)/(3021-1500),2.1-(2.1-1.87)*(D$52-800)/(1500-800))))</f>
        <v>#NAME?</v>
      </c>
      <c r="E57" s="186"/>
      <c r="G57" s="262">
        <v>800</v>
      </c>
      <c r="H57" s="263">
        <v>2.1</v>
      </c>
      <c r="I57" s="17" t="s">
        <v>193</v>
      </c>
      <c r="J57" s="17" t="s">
        <v>194</v>
      </c>
    </row>
    <row r="58" spans="2:10">
      <c r="D58" s="281"/>
      <c r="E58" s="268"/>
      <c r="G58" s="262">
        <v>1500</v>
      </c>
      <c r="H58" s="263">
        <v>1.87</v>
      </c>
      <c r="I58" s="17" t="s">
        <v>187</v>
      </c>
      <c r="J58" s="17" t="s">
        <v>190</v>
      </c>
    </row>
    <row r="59" spans="2:10">
      <c r="G59" s="262">
        <v>3021</v>
      </c>
      <c r="H59" s="263">
        <v>1.76</v>
      </c>
      <c r="I59" s="17" t="s">
        <v>188</v>
      </c>
      <c r="J59" s="17" t="s">
        <v>189</v>
      </c>
    </row>
    <row r="60" spans="2:10" ht="15" thickBot="1">
      <c r="G60" s="264">
        <v>8900</v>
      </c>
      <c r="H60" s="265">
        <v>1.6</v>
      </c>
      <c r="I60" s="17" t="s">
        <v>191</v>
      </c>
      <c r="J60" s="17" t="s">
        <v>192</v>
      </c>
    </row>
  </sheetData>
  <sheetProtection selectLockedCells="1"/>
  <mergeCells count="4">
    <mergeCell ref="A4:A11"/>
    <mergeCell ref="A33:A37"/>
    <mergeCell ref="G54:H54"/>
    <mergeCell ref="G45:H45"/>
  </mergeCells>
  <phoneticPr fontId="1" type="noConversion"/>
  <conditionalFormatting sqref="D55">
    <cfRule type="cellIs" dxfId="5" priority="5" operator="lessThan">
      <formula>$D$29</formula>
    </cfRule>
    <cfRule type="cellIs" dxfId="4" priority="8" operator="greaterThanOrEqual">
      <formula>$D$29</formula>
    </cfRule>
  </conditionalFormatting>
  <conditionalFormatting sqref="D56">
    <cfRule type="cellIs" dxfId="3" priority="6" operator="lessThan">
      <formula>$D$48</formula>
    </cfRule>
    <cfRule type="cellIs" dxfId="2" priority="7" operator="greaterThanOrEqual">
      <formula>$D$48</formula>
    </cfRule>
  </conditionalFormatting>
  <conditionalFormatting sqref="D57">
    <cfRule type="cellIs" dxfId="1" priority="1" operator="lessThan">
      <formula>$D$48</formula>
    </cfRule>
    <cfRule type="cellIs" dxfId="0" priority="2" operator="greaterThanOrEqual">
      <formula>$D$48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60FD-DCB5-46ED-B7F8-DAF3BCD67DF7}">
  <dimension ref="A1:O71"/>
  <sheetViews>
    <sheetView zoomScale="85" zoomScaleNormal="85" workbookViewId="0">
      <selection activeCell="J38" sqref="J38"/>
    </sheetView>
  </sheetViews>
  <sheetFormatPr defaultRowHeight="14.5"/>
  <cols>
    <col min="1" max="2" width="13.26953125" customWidth="1"/>
    <col min="3" max="3" width="12.7265625" bestFit="1" customWidth="1"/>
    <col min="4" max="4" width="12.1796875" bestFit="1" customWidth="1"/>
    <col min="5" max="5" width="11.26953125" bestFit="1" customWidth="1"/>
    <col min="6" max="6" width="12.1796875" bestFit="1" customWidth="1"/>
    <col min="7" max="7" width="13.1796875" bestFit="1" customWidth="1"/>
    <col min="8" max="8" width="13.26953125" bestFit="1" customWidth="1"/>
    <col min="9" max="9" width="13.1796875" bestFit="1" customWidth="1"/>
    <col min="10" max="10" width="13" bestFit="1" customWidth="1"/>
    <col min="11" max="11" width="13.81640625" bestFit="1" customWidth="1"/>
    <col min="12" max="12" width="9.81640625" bestFit="1" customWidth="1"/>
    <col min="13" max="13" width="13.26953125" bestFit="1" customWidth="1"/>
    <col min="14" max="14" width="12.81640625" bestFit="1" customWidth="1"/>
    <col min="15" max="15" width="9.1796875" bestFit="1" customWidth="1"/>
    <col min="16" max="16" width="9.81640625" bestFit="1" customWidth="1"/>
    <col min="18" max="19" width="9.81640625" bestFit="1" customWidth="1"/>
  </cols>
  <sheetData>
    <row r="1" spans="2:9" ht="15" thickBot="1"/>
    <row r="2" spans="2:9" ht="15" customHeight="1" thickBot="1">
      <c r="B2" s="306" t="s">
        <v>0</v>
      </c>
      <c r="C2" s="312" t="s">
        <v>128</v>
      </c>
      <c r="D2" s="313"/>
      <c r="E2" s="313"/>
      <c r="F2" s="313"/>
      <c r="G2" s="313"/>
      <c r="H2" s="314"/>
      <c r="I2" s="306" t="s">
        <v>180</v>
      </c>
    </row>
    <row r="3" spans="2:9" ht="18" customHeight="1">
      <c r="B3" s="307"/>
      <c r="C3" s="315" t="s">
        <v>24</v>
      </c>
      <c r="D3" s="315"/>
      <c r="E3" s="315"/>
      <c r="F3" s="315" t="s">
        <v>25</v>
      </c>
      <c r="G3" s="315"/>
      <c r="H3" s="316"/>
      <c r="I3" s="307"/>
    </row>
    <row r="4" spans="2:9" ht="15" customHeight="1" thickBot="1">
      <c r="B4" s="308"/>
      <c r="C4" s="130" t="s">
        <v>1</v>
      </c>
      <c r="D4" s="131" t="s">
        <v>2</v>
      </c>
      <c r="E4" s="132" t="s">
        <v>3</v>
      </c>
      <c r="F4" s="133" t="s">
        <v>1</v>
      </c>
      <c r="G4" s="131" t="s">
        <v>2</v>
      </c>
      <c r="H4" s="132" t="s">
        <v>3</v>
      </c>
      <c r="I4" s="308"/>
    </row>
    <row r="5" spans="2:9" ht="15" thickBot="1">
      <c r="B5" s="14">
        <v>70</v>
      </c>
      <c r="C5" s="15">
        <v>1165</v>
      </c>
      <c r="D5" s="15">
        <v>1226</v>
      </c>
      <c r="E5" s="15">
        <v>1225</v>
      </c>
      <c r="F5" s="15">
        <v>1424</v>
      </c>
      <c r="G5" s="15">
        <v>1321</v>
      </c>
      <c r="H5" s="15">
        <v>1295</v>
      </c>
      <c r="I5" s="14">
        <v>14</v>
      </c>
    </row>
    <row r="6" spans="2:9" ht="15" thickBot="1">
      <c r="B6" s="14">
        <v>71</v>
      </c>
      <c r="C6" s="15">
        <v>1092</v>
      </c>
      <c r="D6" s="15">
        <v>1145</v>
      </c>
      <c r="E6" s="15">
        <v>1145</v>
      </c>
      <c r="F6" s="15">
        <v>1349</v>
      </c>
      <c r="G6" s="15">
        <v>1250</v>
      </c>
      <c r="H6" s="15">
        <v>1221</v>
      </c>
      <c r="I6" s="14">
        <v>14</v>
      </c>
    </row>
    <row r="7" spans="2:9" ht="15" thickBot="1">
      <c r="B7" s="14">
        <v>72</v>
      </c>
      <c r="C7" s="15">
        <v>1018</v>
      </c>
      <c r="D7" s="15">
        <v>1064</v>
      </c>
      <c r="E7" s="15">
        <v>1064</v>
      </c>
      <c r="F7" s="15">
        <v>1268</v>
      </c>
      <c r="G7" s="15">
        <v>1174</v>
      </c>
      <c r="H7" s="15">
        <v>1143</v>
      </c>
      <c r="I7" s="14">
        <v>14</v>
      </c>
    </row>
    <row r="8" spans="2:9" ht="15" thickBot="1">
      <c r="B8" s="14">
        <v>73</v>
      </c>
      <c r="C8" s="15" t="s">
        <v>26</v>
      </c>
      <c r="D8" s="15" t="s">
        <v>26</v>
      </c>
      <c r="E8" s="15">
        <v>1064</v>
      </c>
      <c r="F8" s="15" t="s">
        <v>26</v>
      </c>
      <c r="G8" s="15" t="s">
        <v>26</v>
      </c>
      <c r="H8" s="15">
        <v>1143</v>
      </c>
      <c r="I8" s="14">
        <v>14</v>
      </c>
    </row>
    <row r="9" spans="2:9" ht="15" thickBot="1">
      <c r="B9" s="14">
        <v>74</v>
      </c>
      <c r="C9" s="15">
        <v>1018</v>
      </c>
      <c r="D9" s="15">
        <v>1064</v>
      </c>
      <c r="E9" s="15" t="s">
        <v>26</v>
      </c>
      <c r="F9" s="15">
        <v>1268</v>
      </c>
      <c r="G9" s="15">
        <v>1174</v>
      </c>
      <c r="H9" s="15" t="s">
        <v>26</v>
      </c>
      <c r="I9" s="14">
        <v>14</v>
      </c>
    </row>
    <row r="10" spans="2:9" ht="15" thickBot="1">
      <c r="B10" s="129">
        <v>75</v>
      </c>
      <c r="C10" s="13">
        <v>1408</v>
      </c>
      <c r="D10" s="13">
        <v>1415</v>
      </c>
      <c r="E10" s="13">
        <v>1401</v>
      </c>
      <c r="F10" s="129">
        <v>1497</v>
      </c>
      <c r="G10" s="13">
        <v>1450</v>
      </c>
      <c r="H10" s="13">
        <v>1426</v>
      </c>
      <c r="I10" s="182">
        <v>16</v>
      </c>
    </row>
    <row r="11" spans="2:9" ht="15" thickBot="1">
      <c r="B11" s="129">
        <v>76</v>
      </c>
      <c r="C11" s="13">
        <v>1327</v>
      </c>
      <c r="D11" s="13">
        <v>1330</v>
      </c>
      <c r="E11" s="13">
        <v>1315</v>
      </c>
      <c r="F11" s="129">
        <v>1412</v>
      </c>
      <c r="G11" s="13">
        <v>1367</v>
      </c>
      <c r="H11" s="13">
        <v>1341</v>
      </c>
      <c r="I11" s="182">
        <v>16</v>
      </c>
    </row>
    <row r="12" spans="2:9" ht="15" thickBot="1">
      <c r="B12" s="129">
        <v>77</v>
      </c>
      <c r="C12" s="13">
        <v>1243</v>
      </c>
      <c r="D12" s="13">
        <v>1242</v>
      </c>
      <c r="E12" s="13">
        <v>1226</v>
      </c>
      <c r="F12" s="129">
        <v>1323</v>
      </c>
      <c r="G12" s="13">
        <v>1279</v>
      </c>
      <c r="H12" s="13">
        <v>1253</v>
      </c>
      <c r="I12" s="182">
        <v>16</v>
      </c>
    </row>
    <row r="13" spans="2:9" ht="15" thickBot="1">
      <c r="B13" s="129">
        <v>78</v>
      </c>
      <c r="C13" s="13" t="s">
        <v>26</v>
      </c>
      <c r="D13" s="13" t="s">
        <v>26</v>
      </c>
      <c r="E13" s="13">
        <v>1226</v>
      </c>
      <c r="F13" s="129" t="s">
        <v>26</v>
      </c>
      <c r="G13" s="13" t="s">
        <v>26</v>
      </c>
      <c r="H13" s="13">
        <v>1253</v>
      </c>
      <c r="I13" s="182">
        <v>16</v>
      </c>
    </row>
    <row r="14" spans="2:9" ht="15" thickBot="1">
      <c r="B14" s="129">
        <v>79</v>
      </c>
      <c r="C14" s="13">
        <v>1243</v>
      </c>
      <c r="D14" s="13">
        <v>1242</v>
      </c>
      <c r="E14" s="13" t="s">
        <v>26</v>
      </c>
      <c r="F14" s="129">
        <v>1323</v>
      </c>
      <c r="G14" s="13">
        <v>1279</v>
      </c>
      <c r="H14" s="13" t="s">
        <v>26</v>
      </c>
      <c r="I14" s="182">
        <v>16</v>
      </c>
    </row>
    <row r="15" spans="2:9" ht="15" thickBot="1">
      <c r="B15" s="14" t="s">
        <v>129</v>
      </c>
      <c r="C15" s="15" t="s">
        <v>26</v>
      </c>
      <c r="D15" s="15" t="s">
        <v>26</v>
      </c>
      <c r="E15" s="15">
        <v>1423</v>
      </c>
      <c r="F15" s="15" t="s">
        <v>26</v>
      </c>
      <c r="G15" s="15" t="s">
        <v>26</v>
      </c>
      <c r="H15" s="15">
        <v>1464</v>
      </c>
      <c r="I15" s="14">
        <v>14</v>
      </c>
    </row>
    <row r="16" spans="2:9" ht="15" thickBot="1">
      <c r="B16" s="14" t="s">
        <v>130</v>
      </c>
      <c r="C16" s="15" t="s">
        <v>26</v>
      </c>
      <c r="D16" s="15" t="s">
        <v>26</v>
      </c>
      <c r="E16" s="15">
        <v>1362</v>
      </c>
      <c r="F16" s="15" t="s">
        <v>26</v>
      </c>
      <c r="G16" s="15" t="s">
        <v>26</v>
      </c>
      <c r="H16" s="15">
        <v>1406</v>
      </c>
      <c r="I16" s="14">
        <v>14</v>
      </c>
    </row>
    <row r="17" spans="1:9" ht="15" thickBot="1">
      <c r="B17" s="14" t="s">
        <v>131</v>
      </c>
      <c r="C17" s="15" t="s">
        <v>26</v>
      </c>
      <c r="D17" s="15" t="s">
        <v>26</v>
      </c>
      <c r="E17" s="15">
        <v>1298</v>
      </c>
      <c r="F17" s="15" t="s">
        <v>26</v>
      </c>
      <c r="G17" s="15" t="s">
        <v>26</v>
      </c>
      <c r="H17" s="15">
        <v>1344</v>
      </c>
      <c r="I17" s="14">
        <v>14</v>
      </c>
    </row>
    <row r="18" spans="1:9" ht="15" thickBot="1">
      <c r="B18" s="14" t="s">
        <v>132</v>
      </c>
      <c r="C18" s="15">
        <v>1355</v>
      </c>
      <c r="D18" s="15">
        <v>1427</v>
      </c>
      <c r="E18" s="15" t="s">
        <v>26</v>
      </c>
      <c r="F18" s="15">
        <v>1569</v>
      </c>
      <c r="G18" s="15">
        <v>1475</v>
      </c>
      <c r="H18" s="15" t="s">
        <v>26</v>
      </c>
      <c r="I18" s="14">
        <v>14</v>
      </c>
    </row>
    <row r="19" spans="1:9" ht="15" thickBot="1">
      <c r="B19" s="14" t="s">
        <v>133</v>
      </c>
      <c r="C19" s="15">
        <v>1296</v>
      </c>
      <c r="D19" s="15">
        <v>1366</v>
      </c>
      <c r="E19" s="15" t="s">
        <v>26</v>
      </c>
      <c r="F19" s="15">
        <v>1513</v>
      </c>
      <c r="G19" s="15">
        <v>1419</v>
      </c>
      <c r="H19" s="15" t="s">
        <v>26</v>
      </c>
      <c r="I19" s="14">
        <v>14</v>
      </c>
    </row>
    <row r="20" spans="1:9" ht="15" thickBot="1">
      <c r="B20" s="14" t="s">
        <v>134</v>
      </c>
      <c r="C20" s="15">
        <v>1234</v>
      </c>
      <c r="D20" s="15">
        <v>1301</v>
      </c>
      <c r="E20" s="15" t="s">
        <v>26</v>
      </c>
      <c r="F20" s="15">
        <v>1451</v>
      </c>
      <c r="G20" s="15">
        <v>1359</v>
      </c>
      <c r="H20" s="15" t="s">
        <v>26</v>
      </c>
      <c r="I20" s="14">
        <v>14</v>
      </c>
    </row>
    <row r="21" spans="1:9" ht="15" thickBot="1">
      <c r="B21" s="129" t="s">
        <v>135</v>
      </c>
      <c r="C21" s="13" t="s">
        <v>26</v>
      </c>
      <c r="D21" s="13" t="s">
        <v>26</v>
      </c>
      <c r="E21" s="13">
        <v>1609</v>
      </c>
      <c r="F21" s="13" t="s">
        <v>26</v>
      </c>
      <c r="G21" s="13" t="s">
        <v>26</v>
      </c>
      <c r="H21" s="13">
        <v>1625</v>
      </c>
      <c r="I21" s="182">
        <v>16</v>
      </c>
    </row>
    <row r="22" spans="1:9" ht="15" thickBot="1">
      <c r="B22" s="129" t="s">
        <v>136</v>
      </c>
      <c r="C22" s="13" t="s">
        <v>26</v>
      </c>
      <c r="D22" s="13" t="s">
        <v>26</v>
      </c>
      <c r="E22" s="13">
        <v>1542</v>
      </c>
      <c r="F22" s="13" t="s">
        <v>26</v>
      </c>
      <c r="G22" s="13" t="s">
        <v>26</v>
      </c>
      <c r="H22" s="13">
        <v>1558</v>
      </c>
      <c r="I22" s="182">
        <v>16</v>
      </c>
    </row>
    <row r="23" spans="1:9" ht="15" thickBot="1">
      <c r="B23" s="129" t="s">
        <v>137</v>
      </c>
      <c r="C23" s="13" t="s">
        <v>26</v>
      </c>
      <c r="D23" s="13" t="s">
        <v>26</v>
      </c>
      <c r="E23" s="13">
        <v>1470</v>
      </c>
      <c r="F23" s="13" t="s">
        <v>26</v>
      </c>
      <c r="G23" s="13" t="s">
        <v>26</v>
      </c>
      <c r="H23" s="13">
        <v>1487</v>
      </c>
      <c r="I23" s="182">
        <v>16</v>
      </c>
    </row>
    <row r="24" spans="1:9" ht="15" thickBot="1">
      <c r="B24" s="129" t="s">
        <v>138</v>
      </c>
      <c r="C24" s="13">
        <v>1600</v>
      </c>
      <c r="D24" s="13">
        <v>1619</v>
      </c>
      <c r="E24" s="13" t="s">
        <v>26</v>
      </c>
      <c r="F24" s="129">
        <v>1680</v>
      </c>
      <c r="G24" s="13">
        <v>1637</v>
      </c>
      <c r="H24" s="13" t="s">
        <v>26</v>
      </c>
      <c r="I24" s="182">
        <v>16</v>
      </c>
    </row>
    <row r="25" spans="1:9" ht="15" thickBot="1">
      <c r="B25" s="129" t="s">
        <v>139</v>
      </c>
      <c r="C25" s="13">
        <v>1535</v>
      </c>
      <c r="D25" s="13">
        <v>1552</v>
      </c>
      <c r="E25" s="13" t="s">
        <v>26</v>
      </c>
      <c r="F25" s="129">
        <v>1614</v>
      </c>
      <c r="G25" s="13">
        <v>1572</v>
      </c>
      <c r="H25" s="13" t="s">
        <v>26</v>
      </c>
      <c r="I25" s="182">
        <v>16</v>
      </c>
    </row>
    <row r="26" spans="1:9" ht="15" thickBot="1">
      <c r="B26" s="129" t="s">
        <v>140</v>
      </c>
      <c r="C26" s="13">
        <v>1466</v>
      </c>
      <c r="D26" s="13">
        <v>1481</v>
      </c>
      <c r="E26" s="13" t="s">
        <v>26</v>
      </c>
      <c r="F26" s="129">
        <v>1544</v>
      </c>
      <c r="G26" s="13">
        <v>1503</v>
      </c>
      <c r="H26" s="13" t="s">
        <v>26</v>
      </c>
      <c r="I26" s="182">
        <v>16</v>
      </c>
    </row>
    <row r="27" spans="1:9" ht="15" customHeight="1"/>
    <row r="28" spans="1:9" ht="15" thickBot="1">
      <c r="A28" s="162"/>
      <c r="B28" s="162"/>
      <c r="C28" s="162"/>
      <c r="D28" s="162"/>
      <c r="E28" s="162"/>
      <c r="F28" s="162"/>
      <c r="G28" s="162"/>
      <c r="H28" s="162"/>
    </row>
    <row r="29" spans="1:9">
      <c r="A29" s="309"/>
      <c r="B29" s="317" t="s">
        <v>170</v>
      </c>
      <c r="C29" s="321" t="s">
        <v>24</v>
      </c>
      <c r="D29" s="315"/>
      <c r="E29" s="315"/>
      <c r="F29" s="315" t="s">
        <v>25</v>
      </c>
      <c r="G29" s="315"/>
      <c r="H29" s="316"/>
    </row>
    <row r="30" spans="1:9" ht="14.25" customHeight="1">
      <c r="A30" s="309"/>
      <c r="B30" s="318"/>
      <c r="C30" s="200">
        <v>12</v>
      </c>
      <c r="D30" s="4">
        <v>14</v>
      </c>
      <c r="E30" s="4">
        <v>16</v>
      </c>
      <c r="F30" s="4">
        <v>12</v>
      </c>
      <c r="G30" s="4">
        <v>14</v>
      </c>
      <c r="H30" s="8">
        <v>16</v>
      </c>
    </row>
    <row r="31" spans="1:9" ht="14.25" customHeight="1">
      <c r="A31" s="3"/>
      <c r="B31" s="203" t="s">
        <v>4</v>
      </c>
      <c r="C31" s="201">
        <f>1.3734*10^(-4)</f>
        <v>1.3734000000000001E-4</v>
      </c>
      <c r="D31" s="5">
        <f>2.2688*10^(-5)</f>
        <v>2.2688000000000004E-5</v>
      </c>
      <c r="E31" s="5">
        <f>-3.7504*10^(-5)</f>
        <v>-3.7504000000000005E-5</v>
      </c>
      <c r="F31" s="155">
        <f>-7.1646*10^(-5)</f>
        <v>-7.1646000000000012E-5</v>
      </c>
      <c r="G31" s="155">
        <f>-6.1431*10^(-5)</f>
        <v>-6.1431000000000002E-5</v>
      </c>
      <c r="H31" s="156">
        <f>-8.7204*10^(-5)</f>
        <v>-8.7204000000000001E-5</v>
      </c>
    </row>
    <row r="32" spans="1:9" ht="14.25" customHeight="1">
      <c r="A32" s="3"/>
      <c r="B32" s="203" t="s">
        <v>5</v>
      </c>
      <c r="C32" s="201">
        <f>-1.0517*10^(-2)</f>
        <v>-1.0517E-2</v>
      </c>
      <c r="D32" s="5">
        <f>-1.7183*10^(-3)</f>
        <v>-1.7183000000000001E-3</v>
      </c>
      <c r="E32" s="5">
        <f>3.987*10^(-3)</f>
        <v>3.9870000000000001E-3</v>
      </c>
      <c r="F32" s="155">
        <f>1.0838*10^(-2)</f>
        <v>1.0838E-2</v>
      </c>
      <c r="G32" s="155">
        <f>8.6862*10^(-3)</f>
        <v>8.6861999999999998E-3</v>
      </c>
      <c r="H32" s="156">
        <f>8.2889*10^(-3)</f>
        <v>8.2889000000000001E-3</v>
      </c>
    </row>
    <row r="33" spans="1:15" ht="15" customHeight="1" thickBot="1">
      <c r="A33" s="3"/>
      <c r="B33" s="204" t="s">
        <v>6</v>
      </c>
      <c r="C33" s="202">
        <f>1.0897*10^(0)</f>
        <v>1.0896999999999999</v>
      </c>
      <c r="D33" s="7">
        <f>1.0146*10^(0)</f>
        <v>1.0145999999999999</v>
      </c>
      <c r="E33" s="7">
        <f>9.6392*10^(-1)</f>
        <v>0.96392000000000011</v>
      </c>
      <c r="F33" s="157">
        <f>8.9957*10^(-1)</f>
        <v>0.89956999999999998</v>
      </c>
      <c r="G33" s="157">
        <f>9.1986*10^(-1)</f>
        <v>0.91986000000000012</v>
      </c>
      <c r="H33" s="158">
        <f>9.2563*10^(-1)</f>
        <v>0.92562999999999995</v>
      </c>
    </row>
    <row r="34" spans="1:15">
      <c r="A34" s="161"/>
      <c r="B34" s="161"/>
      <c r="C34" s="159"/>
      <c r="D34" s="159"/>
      <c r="E34" s="159"/>
      <c r="F34" s="159"/>
      <c r="G34" s="159"/>
      <c r="H34" s="159"/>
    </row>
    <row r="35" spans="1:15" ht="15.75" customHeight="1">
      <c r="A35" s="163"/>
      <c r="B35" s="163"/>
      <c r="C35" s="163"/>
      <c r="D35" s="163"/>
      <c r="E35" s="163"/>
      <c r="F35" s="163"/>
      <c r="G35" s="163"/>
      <c r="H35" s="160"/>
    </row>
    <row r="36" spans="1:15" ht="15" customHeight="1">
      <c r="A36" s="163"/>
      <c r="B36" s="163"/>
      <c r="C36" s="163"/>
      <c r="D36" s="163"/>
      <c r="E36" s="163"/>
      <c r="F36" s="163"/>
      <c r="G36" s="163"/>
      <c r="H36" s="159"/>
    </row>
    <row r="37" spans="1:15" ht="14.25" customHeight="1">
      <c r="A37" s="163"/>
      <c r="B37" s="163"/>
      <c r="C37" s="163"/>
      <c r="D37" s="163"/>
      <c r="E37" s="163"/>
      <c r="F37" s="163"/>
      <c r="G37" s="163"/>
      <c r="H37" s="10"/>
    </row>
    <row r="38" spans="1:15" ht="14.25" customHeight="1">
      <c r="A38" s="163"/>
      <c r="B38" s="163"/>
      <c r="C38" s="163"/>
      <c r="D38" s="163"/>
      <c r="E38" s="163"/>
      <c r="F38" s="163"/>
      <c r="G38" s="163"/>
      <c r="H38" s="10"/>
    </row>
    <row r="39" spans="1:15" ht="14.25" customHeight="1">
      <c r="A39" s="163"/>
      <c r="B39" s="163"/>
      <c r="C39" s="163"/>
      <c r="D39" s="163"/>
      <c r="E39" s="163"/>
      <c r="F39" s="163"/>
      <c r="G39" s="163"/>
      <c r="H39" s="2"/>
    </row>
    <row r="40" spans="1:15" ht="14.25" customHeight="1"/>
    <row r="41" spans="1:15" ht="14.25" customHeight="1"/>
    <row r="42" spans="1:15" ht="15" customHeight="1"/>
    <row r="43" spans="1:15" ht="14.25" customHeight="1"/>
    <row r="44" spans="1:15" ht="14.25" customHeight="1"/>
    <row r="45" spans="1:15" ht="66" customHeight="1">
      <c r="A45" s="151"/>
      <c r="B45" s="151"/>
      <c r="C45" s="136"/>
    </row>
    <row r="46" spans="1:15" ht="14.25" customHeight="1"/>
    <row r="47" spans="1:15" ht="27" customHeight="1" thickBot="1">
      <c r="G47" s="2"/>
      <c r="H47" s="9"/>
      <c r="I47" s="9"/>
    </row>
    <row r="48" spans="1:15" ht="14.25" customHeight="1">
      <c r="A48" s="3"/>
      <c r="B48" s="3"/>
      <c r="C48" s="3"/>
      <c r="D48" s="3"/>
      <c r="E48" s="3"/>
      <c r="F48" s="138" t="s">
        <v>142</v>
      </c>
      <c r="G48" s="310" t="s">
        <v>143</v>
      </c>
      <c r="H48" s="310"/>
      <c r="I48" s="310"/>
      <c r="J48" s="310" t="s">
        <v>145</v>
      </c>
      <c r="K48" s="310"/>
      <c r="L48" s="310"/>
      <c r="M48" s="310" t="s">
        <v>150</v>
      </c>
      <c r="N48" s="310"/>
      <c r="O48" s="311"/>
    </row>
    <row r="49" spans="1:15" ht="19.5" customHeight="1">
      <c r="A49" s="9"/>
      <c r="B49" s="9"/>
      <c r="C49" s="3"/>
      <c r="D49" s="136"/>
      <c r="E49" s="136"/>
      <c r="F49" s="149"/>
      <c r="G49" s="3" t="s">
        <v>155</v>
      </c>
      <c r="H49" s="3" t="s">
        <v>156</v>
      </c>
      <c r="I49" s="3" t="s">
        <v>157</v>
      </c>
      <c r="J49" s="3" t="s">
        <v>158</v>
      </c>
      <c r="K49" s="3" t="s">
        <v>159</v>
      </c>
      <c r="L49" s="3" t="s">
        <v>160</v>
      </c>
      <c r="M49" s="3" t="s">
        <v>161</v>
      </c>
      <c r="N49" s="3" t="s">
        <v>162</v>
      </c>
      <c r="O49" s="150" t="s">
        <v>163</v>
      </c>
    </row>
    <row r="50" spans="1:15" ht="28.5" customHeight="1">
      <c r="A50" s="9"/>
      <c r="B50" s="9"/>
      <c r="C50" s="3"/>
      <c r="D50" s="3"/>
      <c r="E50" s="3"/>
      <c r="F50" s="134" t="s">
        <v>24</v>
      </c>
      <c r="G50" s="145">
        <f>-6.3024*10^(-10)</f>
        <v>-6.3023999999999999E-10</v>
      </c>
      <c r="H50" s="145">
        <f>-1.4624*10^(-7)</f>
        <v>-1.4623999999999999E-7</v>
      </c>
      <c r="I50" s="145" t="s">
        <v>152</v>
      </c>
      <c r="J50" s="145">
        <f>-2.7298*10^(-8)</f>
        <v>-2.7298000000000001E-8</v>
      </c>
      <c r="K50" s="145">
        <f>-4.3609*10^(-5)</f>
        <v>-4.3609000000000002E-5</v>
      </c>
      <c r="L50" s="145" t="s">
        <v>144</v>
      </c>
      <c r="M50" s="145">
        <f>-2.1893*10^(-6)</f>
        <v>-2.1892999999999995E-6</v>
      </c>
      <c r="N50" s="145">
        <f>-2.2537*10^(-3)</f>
        <v>-2.2537E-3</v>
      </c>
      <c r="O50" s="147" t="s">
        <v>146</v>
      </c>
    </row>
    <row r="51" spans="1:15" ht="15" thickBot="1">
      <c r="A51" s="2"/>
      <c r="B51" s="2"/>
      <c r="C51" s="2"/>
      <c r="D51" s="2"/>
      <c r="E51" s="2"/>
      <c r="F51" s="135" t="s">
        <v>25</v>
      </c>
      <c r="G51" s="146">
        <f>-2.1355*10^(-9)</f>
        <v>-2.1354999999999999E-9</v>
      </c>
      <c r="H51" s="146" t="s">
        <v>153</v>
      </c>
      <c r="I51" s="146" t="s">
        <v>151</v>
      </c>
      <c r="J51" s="146" t="s">
        <v>147</v>
      </c>
      <c r="K51" s="146">
        <f>-5.2881*10^(-5)</f>
        <v>-5.2881000000000004E-5</v>
      </c>
      <c r="L51" s="146" t="s">
        <v>148</v>
      </c>
      <c r="M51" s="146">
        <f>-3.7262*10^(-6)</f>
        <v>-3.7261999999999996E-6</v>
      </c>
      <c r="N51" s="146">
        <f>-1.9233*10^(-3)</f>
        <v>-1.9233E-3</v>
      </c>
      <c r="O51" s="148" t="s">
        <v>149</v>
      </c>
    </row>
    <row r="52" spans="1:15" ht="15" thickBot="1">
      <c r="A52" s="3"/>
      <c r="B52" s="3"/>
      <c r="C52" s="3"/>
      <c r="D52" s="3"/>
      <c r="G52" s="137"/>
      <c r="H52" s="2"/>
      <c r="I52" s="2"/>
    </row>
    <row r="53" spans="1:15" ht="29">
      <c r="A53" s="9"/>
      <c r="B53" s="9"/>
      <c r="C53" s="3"/>
      <c r="D53" s="136"/>
      <c r="F53" s="138" t="s">
        <v>11</v>
      </c>
      <c r="G53" s="139"/>
      <c r="H53" s="11" t="s">
        <v>24</v>
      </c>
      <c r="I53" s="12" t="s">
        <v>25</v>
      </c>
    </row>
    <row r="54" spans="1:15">
      <c r="A54" s="9"/>
      <c r="B54" s="9"/>
      <c r="C54" s="3"/>
      <c r="D54" s="3"/>
      <c r="F54" s="319" t="s">
        <v>8</v>
      </c>
      <c r="G54" s="1" t="s">
        <v>155</v>
      </c>
      <c r="H54" s="145">
        <f>-6.3024*10^(-10)</f>
        <v>-6.3023999999999999E-10</v>
      </c>
      <c r="I54" s="147">
        <f>-2.1355*10^(-9)</f>
        <v>-2.1354999999999999E-9</v>
      </c>
    </row>
    <row r="55" spans="1:15">
      <c r="A55" s="2"/>
      <c r="B55" s="2"/>
      <c r="C55" s="2"/>
      <c r="D55" s="2"/>
      <c r="F55" s="319"/>
      <c r="G55" s="1" t="s">
        <v>156</v>
      </c>
      <c r="H55" s="145">
        <f>-1.4624*10^(-7)</f>
        <v>-1.4623999999999999E-7</v>
      </c>
      <c r="I55" s="147">
        <f>1.1951*10^(-7)</f>
        <v>1.1950999999999999E-7</v>
      </c>
    </row>
    <row r="56" spans="1:15">
      <c r="A56" s="3"/>
      <c r="B56" s="3"/>
      <c r="C56" s="3"/>
      <c r="D56" s="3"/>
      <c r="F56" s="319"/>
      <c r="G56" s="1" t="s">
        <v>157</v>
      </c>
      <c r="H56" s="145">
        <f>9.5348*10^(-5)</f>
        <v>9.5348000000000009E-5</v>
      </c>
      <c r="I56" s="147">
        <f>7.4529*10^(-5)</f>
        <v>7.4529000000000004E-5</v>
      </c>
    </row>
    <row r="57" spans="1:15">
      <c r="A57" s="9"/>
      <c r="B57" s="9"/>
      <c r="C57" s="3"/>
      <c r="D57" s="136"/>
      <c r="F57" s="319" t="s">
        <v>9</v>
      </c>
      <c r="G57" s="1" t="s">
        <v>158</v>
      </c>
      <c r="H57" s="145">
        <f>-2.7298*10^(-8)</f>
        <v>-2.7298000000000001E-8</v>
      </c>
      <c r="I57" s="147">
        <f>7.2381*10^(-8)</f>
        <v>7.2381000000000005E-8</v>
      </c>
    </row>
    <row r="58" spans="1:15">
      <c r="A58" s="160"/>
      <c r="B58" s="160"/>
      <c r="C58" s="160"/>
      <c r="D58" s="160"/>
      <c r="F58" s="319"/>
      <c r="G58" s="1" t="s">
        <v>159</v>
      </c>
      <c r="H58" s="145">
        <f>-4.3609*10^(-5)</f>
        <v>-4.3609000000000002E-5</v>
      </c>
      <c r="I58" s="147">
        <f>-5.2881*10^(-5)</f>
        <v>-5.2881000000000004E-5</v>
      </c>
    </row>
    <row r="59" spans="1:15">
      <c r="A59" s="136"/>
      <c r="B59" s="136"/>
      <c r="C59" s="136"/>
      <c r="D59" s="136"/>
      <c r="F59" s="319"/>
      <c r="G59" s="1" t="s">
        <v>160</v>
      </c>
      <c r="H59" s="145">
        <f>1.3245*10^(-2)</f>
        <v>1.3245E-2</v>
      </c>
      <c r="I59" s="147">
        <f>1.3459*10^(-2)</f>
        <v>1.3459E-2</v>
      </c>
    </row>
    <row r="60" spans="1:15">
      <c r="A60" s="186"/>
      <c r="B60" s="186"/>
      <c r="C60" s="187"/>
      <c r="D60" s="187"/>
      <c r="F60" s="319" t="s">
        <v>10</v>
      </c>
      <c r="G60" s="1" t="s">
        <v>161</v>
      </c>
      <c r="H60" s="145">
        <f>-2.1893*10^(-6)</f>
        <v>-2.1892999999999995E-6</v>
      </c>
      <c r="I60" s="147">
        <f>-3.7262*10^(-6)</f>
        <v>-3.7261999999999996E-6</v>
      </c>
    </row>
    <row r="61" spans="1:15">
      <c r="A61" s="186"/>
      <c r="B61" s="186"/>
      <c r="C61" s="187"/>
      <c r="D61" s="188"/>
      <c r="F61" s="319"/>
      <c r="G61" s="1" t="s">
        <v>162</v>
      </c>
      <c r="H61" s="145">
        <f>-2.2537*10^(-3)</f>
        <v>-2.2537E-3</v>
      </c>
      <c r="I61" s="147">
        <f>-1.9233*10^(-3)</f>
        <v>-1.9233E-3</v>
      </c>
    </row>
    <row r="62" spans="1:15" ht="15" thickBot="1">
      <c r="A62" s="160"/>
      <c r="B62" s="160"/>
      <c r="C62" s="160"/>
      <c r="D62" s="160"/>
      <c r="F62" s="320"/>
      <c r="G62" s="6" t="s">
        <v>163</v>
      </c>
      <c r="H62" s="146">
        <f>6.8701*10^(-1)</f>
        <v>0.68701000000000001</v>
      </c>
      <c r="I62" s="148">
        <f>6.7948*10^(-1)</f>
        <v>0.67948000000000008</v>
      </c>
    </row>
    <row r="63" spans="1:15">
      <c r="A63" s="160"/>
      <c r="B63" s="160"/>
      <c r="C63" s="160"/>
      <c r="D63" s="160"/>
    </row>
    <row r="64" spans="1:15">
      <c r="A64" s="136"/>
      <c r="B64" s="136"/>
      <c r="C64" s="136"/>
      <c r="D64" s="136"/>
    </row>
    <row r="65" spans="1:4">
      <c r="A65" s="186"/>
      <c r="B65" s="186"/>
      <c r="C65" s="187"/>
      <c r="D65" s="187"/>
    </row>
    <row r="66" spans="1:4">
      <c r="A66" s="186"/>
      <c r="B66" s="186"/>
      <c r="C66" s="187"/>
      <c r="D66" s="188"/>
    </row>
    <row r="67" spans="1:4">
      <c r="A67" s="160"/>
      <c r="B67" s="160"/>
      <c r="C67" s="160"/>
      <c r="D67" s="160"/>
    </row>
    <row r="68" spans="1:4">
      <c r="A68" s="136"/>
      <c r="B68" s="136"/>
      <c r="C68" s="136"/>
      <c r="D68" s="136"/>
    </row>
    <row r="69" spans="1:4">
      <c r="A69" s="189"/>
      <c r="B69" s="189"/>
      <c r="C69" s="190"/>
      <c r="D69" s="191"/>
    </row>
    <row r="70" spans="1:4">
      <c r="A70" s="189"/>
      <c r="B70" s="189"/>
      <c r="C70" s="190"/>
      <c r="D70" s="191"/>
    </row>
    <row r="71" spans="1:4">
      <c r="A71" s="160"/>
      <c r="B71" s="160"/>
      <c r="C71" s="160"/>
      <c r="D71" s="160"/>
    </row>
  </sheetData>
  <sheetProtection selectLockedCells="1"/>
  <mergeCells count="15">
    <mergeCell ref="F54:F56"/>
    <mergeCell ref="F57:F59"/>
    <mergeCell ref="F60:F62"/>
    <mergeCell ref="C29:E29"/>
    <mergeCell ref="F29:H29"/>
    <mergeCell ref="I2:I4"/>
    <mergeCell ref="A29:A30"/>
    <mergeCell ref="J48:L48"/>
    <mergeCell ref="M48:O48"/>
    <mergeCell ref="G48:I48"/>
    <mergeCell ref="B2:B4"/>
    <mergeCell ref="C2:H2"/>
    <mergeCell ref="C3:E3"/>
    <mergeCell ref="F3:H3"/>
    <mergeCell ref="B29:B30"/>
  </mergeCells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19XRC Low Lift Eco&amp;Cooler Check</vt:lpstr>
      <vt:lpstr>Category</vt:lpstr>
      <vt:lpstr>19XRC_Evap</vt:lpstr>
      <vt:lpstr>19XRC_Econ</vt:lpstr>
      <vt:lpstr>EDR Database-XRC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Rui</dc:creator>
  <cp:lastModifiedBy>Wang, Mingyu</cp:lastModifiedBy>
  <dcterms:created xsi:type="dcterms:W3CDTF">2015-06-05T18:17:20Z</dcterms:created>
  <dcterms:modified xsi:type="dcterms:W3CDTF">2023-04-10T01:59:26Z</dcterms:modified>
</cp:coreProperties>
</file>